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72.xml" ContentType="application/vnd.openxmlformats-officedocument.spreadsheetml.revisionLog+xml"/>
  <Override PartName="/xl/revisions/revisionLog364.xml" ContentType="application/vnd.openxmlformats-officedocument.spreadsheetml.revisionLog+xml"/>
  <Override PartName="/xl/revisions/revisionLog380.xml" ContentType="application/vnd.openxmlformats-officedocument.spreadsheetml.revisionLog+xml"/>
  <Override PartName="/xl/revisions/revisionLog394.xml" ContentType="application/vnd.openxmlformats-officedocument.spreadsheetml.revisionLog+xml"/>
  <Override PartName="/xl/revisions/revisionLog397.xml" ContentType="application/vnd.openxmlformats-officedocument.spreadsheetml.revisionLog+xml"/>
  <Override PartName="/xl/revisions/revisionLog418.xml" ContentType="application/vnd.openxmlformats-officedocument.spreadsheetml.revisionLog+xml"/>
  <Override PartName="/xl/revisions/revisionLog444.xml" ContentType="application/vnd.openxmlformats-officedocument.spreadsheetml.revisionLog+xml"/>
  <Override PartName="/xl/revisions/revisionLog423.xml" ContentType="application/vnd.openxmlformats-officedocument.spreadsheetml.revisionLog+xml"/>
  <Override PartName="/xl/revisions/revisionLog367.xml" ContentType="application/vnd.openxmlformats-officedocument.spreadsheetml.revisionLog+xml"/>
  <Override PartName="/xl/revisions/revisionLog402.xml" ContentType="application/vnd.openxmlformats-officedocument.spreadsheetml.revisionLog+xml"/>
  <Override PartName="/xl/revisions/revisionLog452.xml" ContentType="application/vnd.openxmlformats-officedocument.spreadsheetml.revisionLog+xml"/>
  <Override PartName="/xl/revisions/revisionLog431.xml" ContentType="application/vnd.openxmlformats-officedocument.spreadsheetml.revisionLog+xml"/>
  <Override PartName="/xl/revisions/revisionLog405.xml" ContentType="application/vnd.openxmlformats-officedocument.spreadsheetml.revisionLog+xml"/>
  <Override PartName="/xl/revisions/revisionLog410.xml" ContentType="application/vnd.openxmlformats-officedocument.spreadsheetml.revisionLog+xml"/>
  <Override PartName="/xl/revisions/revisionLog375.xml" ContentType="application/vnd.openxmlformats-officedocument.spreadsheetml.revisionLog+xml"/>
  <Override PartName="/xl/revisions/revisionLog389.xml" ContentType="application/vnd.openxmlformats-officedocument.spreadsheetml.revisionLog+xml"/>
  <Override PartName="/xl/revisions/revisionLog7.xml" ContentType="application/vnd.openxmlformats-officedocument.spreadsheetml.revisionLog+xml"/>
  <Override PartName="/xl/revisions/revisionLog439.xml" ContentType="application/vnd.openxmlformats-officedocument.spreadsheetml.revisionLog+xml"/>
  <Override PartName="/xl/revisions/revisionLog2.xml" ContentType="application/vnd.openxmlformats-officedocument.spreadsheetml.revisionLog+xml"/>
  <Override PartName="/xl/revisions/revisionLog426.xml" ContentType="application/vnd.openxmlformats-officedocument.spreadsheetml.revisionLog+xml"/>
  <Override PartName="/xl/revisions/revisionLog447.xml" ContentType="application/vnd.openxmlformats-officedocument.spreadsheetml.revisionLog+xml"/>
  <Override PartName="/xl/revisions/revisionLog383.xml" ContentType="application/vnd.openxmlformats-officedocument.spreadsheetml.revisionLog+xml"/>
  <Override PartName="/xl/revisions/revisionLog408.xml" ContentType="application/vnd.openxmlformats-officedocument.spreadsheetml.revisionLog+xml"/>
  <Override PartName="/xl/revisions/revisionLog387.xml" ContentType="application/vnd.openxmlformats-officedocument.spreadsheetml.revisionLog+xml"/>
  <Override PartName="/xl/revisions/revisionLog434.xml" ContentType="application/vnd.openxmlformats-officedocument.spreadsheetml.revisionLog+xml"/>
  <Override PartName="/xl/revisions/revisionLog413.xml" ContentType="application/vnd.openxmlformats-officedocument.spreadsheetml.revisionLog+xml"/>
  <Override PartName="/xl/revisions/revisionLog392.xml" ContentType="application/vnd.openxmlformats-officedocument.spreadsheetml.revisionLog+xml"/>
  <Override PartName="/xl/revisions/revisionLog378.xml" ContentType="application/vnd.openxmlformats-officedocument.spreadsheetml.revisionLog+xml"/>
  <Override PartName="/xl/revisions/revisionLog365.xml" ContentType="application/vnd.openxmlformats-officedocument.spreadsheetml.revisionLog+xml"/>
  <Override PartName="/xl/revisions/revisionLog442.xml" ContentType="application/vnd.openxmlformats-officedocument.spreadsheetml.revisionLog+xml"/>
  <Override PartName="/xl/revisions/revisionLog370.xml" ContentType="application/vnd.openxmlformats-officedocument.spreadsheetml.revisionLog+xml"/>
  <Override PartName="/xl/revisions/revisionLog421.xml" ContentType="application/vnd.openxmlformats-officedocument.spreadsheetml.revisionLog+xml"/>
  <Override PartName="/xl/revisions/revisionLog400.xml" ContentType="application/vnd.openxmlformats-officedocument.spreadsheetml.revisionLog+xml"/>
  <Override PartName="/xl/revisions/revisionLog450.xml" ContentType="application/vnd.openxmlformats-officedocument.spreadsheetml.revisionLog+xml"/>
  <Override PartName="/xl/revisions/revisionLog429.xml" ContentType="application/vnd.openxmlformats-officedocument.spreadsheetml.revisionLog+xml"/>
  <Override PartName="/xl/revisions/revisionLog445.xml" ContentType="application/vnd.openxmlformats-officedocument.spreadsheetml.revisionLog+xml"/>
  <Override PartName="/xl/revisions/revisionLog395.xml" ContentType="application/vnd.openxmlformats-officedocument.spreadsheetml.revisionLog+xml"/>
  <Override PartName="/xl/revisions/revisionLog5.xml" ContentType="application/vnd.openxmlformats-officedocument.spreadsheetml.revisionLog+xml"/>
  <Override PartName="/xl/revisions/revisionLog437.xml" ContentType="application/vnd.openxmlformats-officedocument.spreadsheetml.revisionLog+xml"/>
  <Override PartName="/xl/revisions/revisionLog416.xml" ContentType="application/vnd.openxmlformats-officedocument.spreadsheetml.revisionLog+xml"/>
  <Override PartName="/xl/revisions/revisionLog373.xml" ContentType="application/vnd.openxmlformats-officedocument.spreadsheetml.revisionLog+xml"/>
  <Override PartName="/xl/revisions/revisionLog398.xml" ContentType="application/vnd.openxmlformats-officedocument.spreadsheetml.revisionLog+xml"/>
  <Override PartName="/xl/revisions/revisionLog424.xml" ContentType="application/vnd.openxmlformats-officedocument.spreadsheetml.revisionLog+xml"/>
  <Override PartName="/xl/revisions/revisionLog403.xml" ContentType="application/vnd.openxmlformats-officedocument.spreadsheetml.revisionLog+xml"/>
  <Override PartName="/xl/revisions/revisionLog368.xml" ContentType="application/vnd.openxmlformats-officedocument.spreadsheetml.revisionLog+xml"/>
  <Override PartName="/xl/revisions/revisionLog376.xml" ContentType="application/vnd.openxmlformats-officedocument.spreadsheetml.revisionLog+xml"/>
  <Override PartName="/xl/revisions/revisionLog390.xml" ContentType="application/vnd.openxmlformats-officedocument.spreadsheetml.revisionLog+xml"/>
  <Override PartName="/xl/revisions/revisionLog381.xml" ContentType="application/vnd.openxmlformats-officedocument.spreadsheetml.revisionLog+xml"/>
  <Override PartName="/xl/revisions/revisionLog432.xml" ContentType="application/vnd.openxmlformats-officedocument.spreadsheetml.revisionLog+xml"/>
  <Override PartName="/xl/revisions/revisionLog411.xml" ContentType="application/vnd.openxmlformats-officedocument.spreadsheetml.revisionLog+xml"/>
  <Override PartName="/xl/revisions/revisionLog435.xml" ContentType="application/vnd.openxmlformats-officedocument.spreadsheetml.revisionLog+xml"/>
  <Override PartName="/xl/revisions/revisionLog440.xml" ContentType="application/vnd.openxmlformats-officedocument.spreadsheetml.revisionLog+xml"/>
  <Override PartName="/xl/revisions/revisionLog3.xml" ContentType="application/vnd.openxmlformats-officedocument.spreadsheetml.revisionLog+xml"/>
  <Override PartName="/xl/revisions/revisionLog419.xml" ContentType="application/vnd.openxmlformats-officedocument.spreadsheetml.revisionLog+xml"/>
  <Override PartName="/xl/revisions/revisionLog427.xml" ContentType="application/vnd.openxmlformats-officedocument.spreadsheetml.revisionLog+xml"/>
  <Override PartName="/xl/revisions/revisionLog385.xml" ContentType="application/vnd.openxmlformats-officedocument.spreadsheetml.revisionLog+xml"/>
  <Override PartName="/xl/revisions/revisionLog453.xml" ContentType="application/vnd.openxmlformats-officedocument.spreadsheetml.revisionLog+xml"/>
  <Override PartName="/xl/revisions/revisionLog448.xml" ContentType="application/vnd.openxmlformats-officedocument.spreadsheetml.revisionLog+xml"/>
  <Override PartName="/xl/revisions/revisionLog406.xml" ContentType="application/vnd.openxmlformats-officedocument.spreadsheetml.revisionLog+xml"/>
  <Override PartName="/xl/revisions/revisionLog388.xml" ContentType="application/vnd.openxmlformats-officedocument.spreadsheetml.revisionLog+xml"/>
  <Override PartName="/xl/revisions/revisionLog384.xml" ContentType="application/vnd.openxmlformats-officedocument.spreadsheetml.revisionLog+xml"/>
  <Override PartName="/xl/revisions/revisionLog363.xml" ContentType="application/vnd.openxmlformats-officedocument.spreadsheetml.revisionLog+xml"/>
  <Override PartName="/xl/revisions/revisionLog414.xml" ContentType="application/vnd.openxmlformats-officedocument.spreadsheetml.revisionLog+xml"/>
  <Override PartName="/xl/revisions/revisionLog393.xml" ContentType="application/vnd.openxmlformats-officedocument.spreadsheetml.revisionLog+xml"/>
  <Override PartName="/xl/revisions/revisionLog379.xml" ContentType="application/vnd.openxmlformats-officedocument.spreadsheetml.revisionLog+xml"/>
  <Override PartName="/xl/revisions/revisionLog401.xml" ContentType="application/vnd.openxmlformats-officedocument.spreadsheetml.revisionLog+xml"/>
  <Override PartName="/xl/revisions/revisionLog366.xml" ContentType="application/vnd.openxmlformats-officedocument.spreadsheetml.revisionLog+xml"/>
  <Override PartName="/xl/revisions/revisionLog371.xml" ContentType="application/vnd.openxmlformats-officedocument.spreadsheetml.revisionLog+xml"/>
  <Override PartName="/xl/revisions/revisionLog425.xml" ContentType="application/vnd.openxmlformats-officedocument.spreadsheetml.revisionLog+xml"/>
  <Override PartName="/xl/revisions/revisionLog451.xml" ContentType="application/vnd.openxmlformats-officedocument.spreadsheetml.revisionLog+xml"/>
  <Override PartName="/xl/revisions/revisionLog409.xml" ContentType="application/vnd.openxmlformats-officedocument.spreadsheetml.revisionLog+xml"/>
  <Override PartName="/xl/revisions/revisionLog430.xml" ContentType="application/vnd.openxmlformats-officedocument.spreadsheetml.revisionLog+xml"/>
  <Override PartName="/xl/revisions/revisionLog396.xml" ContentType="application/vnd.openxmlformats-officedocument.spreadsheetml.revisionLog+xml"/>
  <Override PartName="/xl/revisions/revisionLog6.xml" ContentType="application/vnd.openxmlformats-officedocument.spreadsheetml.revisionLog+xml"/>
  <Override PartName="/xl/revisions/revisionLog422.xml" ContentType="application/vnd.openxmlformats-officedocument.spreadsheetml.revisionLog+xml"/>
  <Override PartName="/xl/revisions/revisionLog443.xml" ContentType="application/vnd.openxmlformats-officedocument.spreadsheetml.revisionLog+xml"/>
  <Override PartName="/xl/revisions/revisionLog438.xml" ContentType="application/vnd.openxmlformats-officedocument.spreadsheetml.revisionLog+xml"/>
  <Override PartName="/xl/revisions/revisionLog417.xml" ContentType="application/vnd.openxmlformats-officedocument.spreadsheetml.revisionLog+xml"/>
  <Override PartName="/xl/revisions/revisionLog446.xml" ContentType="application/vnd.openxmlformats-officedocument.spreadsheetml.revisionLog+xml"/>
  <Override PartName="/xl/revisions/revisionLog374.xml" ContentType="application/vnd.openxmlformats-officedocument.spreadsheetml.revisionLog+xml"/>
  <Override PartName="/xl/revisions/revisionLog391.xml" ContentType="application/vnd.openxmlformats-officedocument.spreadsheetml.revisionLog+xml"/>
  <Override PartName="/xl/revisions/revisionLog382.xml" ContentType="application/vnd.openxmlformats-officedocument.spreadsheetml.revisionLog+xml"/>
  <Override PartName="/xl/revisions/revisionLog404.xml" ContentType="application/vnd.openxmlformats-officedocument.spreadsheetml.revisionLog+xml"/>
  <Override PartName="/xl/revisions/revisionLog369.xml" ContentType="application/vnd.openxmlformats-officedocument.spreadsheetml.revisionLog+xml"/>
  <Override PartName="/xl/revisions/revisionLog441.xml" ContentType="application/vnd.openxmlformats-officedocument.spreadsheetml.revisionLog+xml"/>
  <Override PartName="/xl/revisions/revisionLog420.xml" ContentType="application/vnd.openxmlformats-officedocument.spreadsheetml.revisionLog+xml"/>
  <Override PartName="/xl/revisions/revisionLog399.xml" ContentType="application/vnd.openxmlformats-officedocument.spreadsheetml.revisionLog+xml"/>
  <Override PartName="/xl/revisions/revisionLog415.xml" ContentType="application/vnd.openxmlformats-officedocument.spreadsheetml.revisionLog+xml"/>
  <Override PartName="/xl/revisions/revisionLog428.xml" ContentType="application/vnd.openxmlformats-officedocument.spreadsheetml.revisionLog+xml"/>
  <Override PartName="/xl/revisions/revisionLog377.xml" ContentType="application/vnd.openxmlformats-officedocument.spreadsheetml.revisionLog+xml"/>
  <Override PartName="/xl/revisions/revisionLog412.xml" ContentType="application/vnd.openxmlformats-officedocument.spreadsheetml.revisionLog+xml"/>
  <Override PartName="/xl/revisions/revisionLog433.xml" ContentType="application/vnd.openxmlformats-officedocument.spreadsheetml.revisionLog+xml"/>
  <Override PartName="/xl/revisions/revisionLog449.xml" ContentType="application/vnd.openxmlformats-officedocument.spreadsheetml.revisionLog+xml"/>
  <Override PartName="/xl/revisions/revisionLog1.xml" ContentType="application/vnd.openxmlformats-officedocument.spreadsheetml.revisionLog+xml"/>
  <Override PartName="/xl/revisions/revisionLog407.xml" ContentType="application/vnd.openxmlformats-officedocument.spreadsheetml.revisionLog+xml"/>
  <Override PartName="/xl/revisions/revisionLog386.xml" ContentType="application/vnd.openxmlformats-officedocument.spreadsheetml.revisionLog+xml"/>
  <Override PartName="/xl/revisions/revisionLog436.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К\- ОТДЕЛ КУЛЬТУРЫ -\СЕТЕВЫЕ ГРАФИКИ И ТЕХЗАДАНИЯ\2024\МП Культурное пространство\в УЭ и на сайт\4. апрель\"/>
    </mc:Choice>
  </mc:AlternateContent>
  <bookViews>
    <workbookView xWindow="0" yWindow="0" windowWidth="28800" windowHeight="12300" tabRatio="798" firstSheet="7" activeTab="7"/>
  </bookViews>
  <sheets>
    <sheet name="Оглавление" sheetId="1" state="hidden" r:id="rId1"/>
    <sheet name="1.СЗН" sheetId="2" state="hidden" r:id="rId2"/>
    <sheet name="2.АПК" sheetId="3" state="hidden" r:id="rId3"/>
    <sheet name="3.БЖД" sheetId="4" state="hidden" r:id="rId4"/>
    <sheet name="4.УМИ" sheetId="5" state="hidden" r:id="rId5"/>
    <sheet name="5.Проф. прав." sheetId="6" state="hidden" r:id="rId6"/>
    <sheet name="6.Экстримизм" sheetId="7" state="hidden" r:id="rId7"/>
    <sheet name="7.МП КП" sheetId="8" r:id="rId8"/>
    <sheet name="Лист4" sheetId="24" state="hidden" r:id="rId9"/>
    <sheet name="8.МП РМС" sheetId="9" state="hidden" r:id="rId10"/>
    <sheet name="Лист3" sheetId="23" state="hidden" r:id="rId11"/>
    <sheet name="9.МП РИГО" sheetId="10" state="hidden" r:id="rId12"/>
    <sheet name="10.МП РФКиС" sheetId="11" state="hidden" r:id="rId13"/>
    <sheet name="Лист2" sheetId="22" state="hidden" r:id="rId14"/>
    <sheet name="11.МП РО" sheetId="12" state="hidden" r:id="rId15"/>
    <sheet name="12.МП УМФ" sheetId="13" state="hidden" r:id="rId16"/>
    <sheet name="Лист1" sheetId="14" state="hidden" r:id="rId17"/>
    <sheet name="13.МП РЖС" sheetId="15" state="hidden" r:id="rId18"/>
    <sheet name="14.МП СЭР" sheetId="16" state="hidden" r:id="rId19"/>
    <sheet name="15.МП ЭБ" sheetId="17" state="hidden" r:id="rId20"/>
    <sheet name="16.МП РЖКК" sheetId="18" state="hidden" r:id="rId21"/>
    <sheet name="17.МП РТС" sheetId="19" state="hidden" r:id="rId22"/>
    <sheet name="18.МП ФКГС" sheetId="20" state="hidden" r:id="rId23"/>
    <sheet name="19.МП СОГХ" sheetId="21" state="hidden" r:id="rId24"/>
  </sheets>
  <externalReferences>
    <externalReference r:id="rId25"/>
  </externalReferences>
  <definedNames>
    <definedName name="_xlnm._FilterDatabase" localSheetId="1" hidden="1">'1.СЗН'!$A$1:$AF$63</definedName>
    <definedName name="_xlnm._FilterDatabase" localSheetId="2" hidden="1">'2.АПК'!$A$1:$AF$36</definedName>
    <definedName name="_xlnm._FilterDatabase" localSheetId="3" hidden="1">'3.БЖД'!$A$1:$AF$17</definedName>
    <definedName name="_xlnm._FilterDatabase" localSheetId="4" hidden="1">'4.УМИ'!$A$1:$AF$11</definedName>
    <definedName name="_xlnm._FilterDatabase" localSheetId="5" hidden="1">'5.Проф. прав.'!$A$1:$AF$12</definedName>
    <definedName name="_xlnm._FilterDatabase" localSheetId="6" hidden="1">'6.Экстримизм'!$A$1:$AF$11</definedName>
    <definedName name="Z_009B3074_D8EC_4952_BF50_43CD64449612_.wvu.Cols" localSheetId="17" hidden="1">'13.МП РЖС'!$AG:$AG</definedName>
    <definedName name="Z_009B3074_D8EC_4952_BF50_43CD64449612_.wvu.FilterData" localSheetId="1" hidden="1">'1.СЗН'!$A$1:$AF$63</definedName>
    <definedName name="Z_009B3074_D8EC_4952_BF50_43CD64449612_.wvu.FilterData" localSheetId="2" hidden="1">'2.АПК'!$A$1:$AF$36</definedName>
    <definedName name="Z_009B3074_D8EC_4952_BF50_43CD64449612_.wvu.FilterData" localSheetId="3" hidden="1">'3.БЖД'!$A$1:$AF$17</definedName>
    <definedName name="Z_009B3074_D8EC_4952_BF50_43CD64449612_.wvu.FilterData" localSheetId="4" hidden="1">'4.УМИ'!$A$1:$AF$11</definedName>
    <definedName name="Z_009B3074_D8EC_4952_BF50_43CD64449612_.wvu.FilterData" localSheetId="5" hidden="1">'5.Проф. прав.'!$A$1:$AF$12</definedName>
    <definedName name="Z_009B3074_D8EC_4952_BF50_43CD64449612_.wvu.FilterData" localSheetId="6" hidden="1">'6.Экстримизм'!$A$1:$AF$11</definedName>
    <definedName name="Z_009B3074_D8EC_4952_BF50_43CD64449612_.wvu.Rows" localSheetId="1" hidden="1">'1.СЗН'!$69:$73</definedName>
    <definedName name="Z_009B3074_D8EC_4952_BF50_43CD64449612_.wvu.Rows" localSheetId="17" hidden="1">'13.МП РЖС'!$122:$127</definedName>
    <definedName name="Z_009B3074_D8EC_4952_BF50_43CD64449612_.wvu.Rows" localSheetId="6" hidden="1">'6.Экстримизм'!$9:$23,'6.Экстримизм'!$30:$38,'6.Экстримизм'!$44:$49,'6.Экстримизм'!$65:$67,'6.Экстримизм'!$71:$76,'6.Экстримизм'!$86:$88,'6.Экстримизм'!$95:$97</definedName>
    <definedName name="Z_046AFB83_FD50_413F_A7DB_BE0EF3893FF7_.wvu.FilterData" localSheetId="3" hidden="1">'3.БЖД'!$A$1:$AF$17</definedName>
    <definedName name="Z_06D4F6C4_78B9_4E41_B83A_C6D0A12202C6_.wvu.FilterData" localSheetId="3" hidden="1">'3.БЖД'!$A$1:$AF$17</definedName>
    <definedName name="Z_06D4F6C4_78B9_4E41_B83A_C6D0A12202C6_.wvu.FilterData" localSheetId="4" hidden="1">'4.УМИ'!$A$1:$AF$11</definedName>
    <definedName name="Z_06D4F6C4_78B9_4E41_B83A_C6D0A12202C6_.wvu.FilterData" localSheetId="5" hidden="1">'5.Проф. прав.'!$A$1:$AF$12</definedName>
    <definedName name="Z_09C3E205_981E_4A4E_BE89_8B7044192060_.wvu.Cols" localSheetId="17" hidden="1">'13.МП РЖС'!$AG:$AG</definedName>
    <definedName name="Z_09C3E205_981E_4A4E_BE89_8B7044192060_.wvu.FilterData" localSheetId="1" hidden="1">'1.СЗН'!$A$1:$AF$63</definedName>
    <definedName name="Z_09C3E205_981E_4A4E_BE89_8B7044192060_.wvu.FilterData" localSheetId="2" hidden="1">'2.АПК'!$A$1:$AF$36</definedName>
    <definedName name="Z_09C3E205_981E_4A4E_BE89_8B7044192060_.wvu.FilterData" localSheetId="3" hidden="1">'3.БЖД'!$A$1:$AF$17</definedName>
    <definedName name="Z_09C3E205_981E_4A4E_BE89_8B7044192060_.wvu.FilterData" localSheetId="4" hidden="1">'4.УМИ'!$A$1:$AF$11</definedName>
    <definedName name="Z_09C3E205_981E_4A4E_BE89_8B7044192060_.wvu.FilterData" localSheetId="5" hidden="1">'5.Проф. прав.'!$A$1:$AF$12</definedName>
    <definedName name="Z_09C3E205_981E_4A4E_BE89_8B7044192060_.wvu.FilterData" localSheetId="6" hidden="1">'6.Экстримизм'!$A$1:$AF$11</definedName>
    <definedName name="Z_09C3E205_981E_4A4E_BE89_8B7044192060_.wvu.Rows" localSheetId="1" hidden="1">'1.СЗН'!$69:$73</definedName>
    <definedName name="Z_09C3E205_981E_4A4E_BE89_8B7044192060_.wvu.Rows" localSheetId="17" hidden="1">'13.МП РЖС'!$122:$127</definedName>
    <definedName name="Z_09C3E205_981E_4A4E_BE89_8B7044192060_.wvu.Rows" localSheetId="6" hidden="1">'6.Экстримизм'!$9:$23,'6.Экстримизм'!$30:$38,'6.Экстримизм'!$44:$49,'6.Экстримизм'!$65:$67,'6.Экстримизм'!$71:$76,'6.Экстримизм'!$86:$88,'6.Экстримизм'!$95:$97</definedName>
    <definedName name="Z_0C2B9C2A_7B94_41EF_A2E6_F8AC9A67DE25_.wvu.Cols" localSheetId="17" hidden="1">'13.МП РЖС'!$AG:$AG</definedName>
    <definedName name="Z_0C2B9C2A_7B94_41EF_A2E6_F8AC9A67DE25_.wvu.FilterData" localSheetId="1" hidden="1">'1.СЗН'!$A$1:$AF$63</definedName>
    <definedName name="Z_0C2B9C2A_7B94_41EF_A2E6_F8AC9A67DE25_.wvu.FilterData" localSheetId="2" hidden="1">'2.АПК'!$A$1:$AF$36</definedName>
    <definedName name="Z_0C2B9C2A_7B94_41EF_A2E6_F8AC9A67DE25_.wvu.FilterData" localSheetId="3" hidden="1">'3.БЖД'!$A$1:$AF$17</definedName>
    <definedName name="Z_0C2B9C2A_7B94_41EF_A2E6_F8AC9A67DE25_.wvu.FilterData" localSheetId="4" hidden="1">'4.УМИ'!$A$1:$AF$11</definedName>
    <definedName name="Z_0C2B9C2A_7B94_41EF_A2E6_F8AC9A67DE25_.wvu.FilterData" localSheetId="5" hidden="1">'5.Проф. прав.'!$A$1:$AF$12</definedName>
    <definedName name="Z_0C2B9C2A_7B94_41EF_A2E6_F8AC9A67DE25_.wvu.FilterData" localSheetId="6" hidden="1">'6.Экстримизм'!$A$1:$AF$11</definedName>
    <definedName name="Z_0C2B9C2A_7B94_41EF_A2E6_F8AC9A67DE25_.wvu.Rows" localSheetId="1" hidden="1">'1.СЗН'!$69:$73</definedName>
    <definedName name="Z_0C2B9C2A_7B94_41EF_A2E6_F8AC9A67DE25_.wvu.Rows" localSheetId="17" hidden="1">'13.МП РЖС'!$122:$127</definedName>
    <definedName name="Z_0C2B9C2A_7B94_41EF_A2E6_F8AC9A67DE25_.wvu.Rows" localSheetId="6" hidden="1">'6.Экстримизм'!$9:$23,'6.Экстримизм'!$30:$38,'6.Экстримизм'!$44:$49,'6.Экстримизм'!$65:$67,'6.Экстримизм'!$71:$76,'6.Экстримизм'!$86:$88,'6.Экстримизм'!$95:$97</definedName>
    <definedName name="Z_14D8F805_178B_4C67_A6E6_FCFB130EDA62_.wvu.FilterData" localSheetId="5" hidden="1">'5.Проф. прав.'!$A$1:$AF$12</definedName>
    <definedName name="Z_47B983AB_FE5F_4725_860C_A2F29420596D_.wvu.Cols" localSheetId="17" hidden="1">'13.МП РЖС'!$AG:$AG</definedName>
    <definedName name="Z_47B983AB_FE5F_4725_860C_A2F29420596D_.wvu.FilterData" localSheetId="1" hidden="1">'1.СЗН'!$A$1:$AF$63</definedName>
    <definedName name="Z_47B983AB_FE5F_4725_860C_A2F29420596D_.wvu.FilterData" localSheetId="2" hidden="1">'2.АПК'!$A$1:$AF$36</definedName>
    <definedName name="Z_47B983AB_FE5F_4725_860C_A2F29420596D_.wvu.FilterData" localSheetId="3" hidden="1">'3.БЖД'!$A$1:$AF$17</definedName>
    <definedName name="Z_47B983AB_FE5F_4725_860C_A2F29420596D_.wvu.FilterData" localSheetId="4" hidden="1">'4.УМИ'!$A$1:$AF$11</definedName>
    <definedName name="Z_47B983AB_FE5F_4725_860C_A2F29420596D_.wvu.FilterData" localSheetId="5" hidden="1">'5.Проф. прав.'!$A$1:$AF$12</definedName>
    <definedName name="Z_47B983AB_FE5F_4725_860C_A2F29420596D_.wvu.FilterData" localSheetId="6" hidden="1">'6.Экстримизм'!$A$1:$AF$11</definedName>
    <definedName name="Z_47B983AB_FE5F_4725_860C_A2F29420596D_.wvu.Rows" localSheetId="1" hidden="1">'1.СЗН'!$69:$73</definedName>
    <definedName name="Z_47B983AB_FE5F_4725_860C_A2F29420596D_.wvu.Rows" localSheetId="17" hidden="1">'13.МП РЖС'!$122:$127</definedName>
    <definedName name="Z_47B983AB_FE5F_4725_860C_A2F29420596D_.wvu.Rows" localSheetId="6" hidden="1">'6.Экстримизм'!$9:$23,'6.Экстримизм'!$30:$38,'6.Экстримизм'!$44:$49,'6.Экстримизм'!$65:$67,'6.Экстримизм'!$71:$76,'6.Экстримизм'!$86:$88,'6.Экстримизм'!$95:$97</definedName>
    <definedName name="Z_486916EB_0C05_4C27_9E6E_3AB53BA5102E_.wvu.FilterData" localSheetId="1" hidden="1">'1.СЗН'!$A$1:$AF$63</definedName>
    <definedName name="Z_4D0DFB57_2CBA_42F2_9A97_C453A6851FBA_.wvu.Cols" localSheetId="17" hidden="1">'13.МП РЖС'!$AG:$AG</definedName>
    <definedName name="Z_4D0DFB57_2CBA_42F2_9A97_C453A6851FBA_.wvu.FilterData" localSheetId="1" hidden="1">'1.СЗН'!$A$1:$AF$63</definedName>
    <definedName name="Z_4D0DFB57_2CBA_42F2_9A97_C453A6851FBA_.wvu.FilterData" localSheetId="2" hidden="1">'2.АПК'!$A$1:$AF$36</definedName>
    <definedName name="Z_4D0DFB57_2CBA_42F2_9A97_C453A6851FBA_.wvu.FilterData" localSheetId="3" hidden="1">'3.БЖД'!$A$1:$AF$17</definedName>
    <definedName name="Z_4D0DFB57_2CBA_42F2_9A97_C453A6851FBA_.wvu.FilterData" localSheetId="4" hidden="1">'4.УМИ'!$A$1:$AF$11</definedName>
    <definedName name="Z_4D0DFB57_2CBA_42F2_9A97_C453A6851FBA_.wvu.FilterData" localSheetId="5" hidden="1">'5.Проф. прав.'!$A$1:$AF$12</definedName>
    <definedName name="Z_4D0DFB57_2CBA_42F2_9A97_C453A6851FBA_.wvu.FilterData" localSheetId="6" hidden="1">'6.Экстримизм'!$A$1:$AF$11</definedName>
    <definedName name="Z_4D0DFB57_2CBA_42F2_9A97_C453A6851FBA_.wvu.Rows" localSheetId="1" hidden="1">'1.СЗН'!$69:$73</definedName>
    <definedName name="Z_4D0DFB57_2CBA_42F2_9A97_C453A6851FBA_.wvu.Rows" localSheetId="17" hidden="1">'13.МП РЖС'!$122:$127</definedName>
    <definedName name="Z_4D0DFB57_2CBA_42F2_9A97_C453A6851FBA_.wvu.Rows" localSheetId="6" hidden="1">'6.Экстримизм'!$9:$23,'6.Экстримизм'!$30:$38,'6.Экстримизм'!$44:$49,'6.Экстримизм'!$65:$67,'6.Экстримизм'!$71:$76,'6.Экстримизм'!$86:$88,'6.Экстримизм'!$95:$97</definedName>
    <definedName name="Z_4F41B9CC_959D_442C_80B0_1F0DB2C76D27_.wvu.Cols" localSheetId="17" hidden="1">'13.МП РЖС'!$AG:$AG</definedName>
    <definedName name="Z_4F41B9CC_959D_442C_80B0_1F0DB2C76D27_.wvu.FilterData" localSheetId="1" hidden="1">'1.СЗН'!$A$1:$AF$63</definedName>
    <definedName name="Z_4F41B9CC_959D_442C_80B0_1F0DB2C76D27_.wvu.FilterData" localSheetId="2" hidden="1">'2.АПК'!$A$1:$AF$36</definedName>
    <definedName name="Z_4F41B9CC_959D_442C_80B0_1F0DB2C76D27_.wvu.FilterData" localSheetId="3" hidden="1">'3.БЖД'!$A$1:$AF$17</definedName>
    <definedName name="Z_4F41B9CC_959D_442C_80B0_1F0DB2C76D27_.wvu.FilterData" localSheetId="4" hidden="1">'4.УМИ'!$A$1:$AF$11</definedName>
    <definedName name="Z_4F41B9CC_959D_442C_80B0_1F0DB2C76D27_.wvu.FilterData" localSheetId="5" hidden="1">'5.Проф. прав.'!$A$1:$AF$12</definedName>
    <definedName name="Z_4F41B9CC_959D_442C_80B0_1F0DB2C76D27_.wvu.FilterData" localSheetId="6" hidden="1">'6.Экстримизм'!$A$1:$AF$11</definedName>
    <definedName name="Z_4F41B9CC_959D_442C_80B0_1F0DB2C76D27_.wvu.Rows" localSheetId="1" hidden="1">'1.СЗН'!$69:$73</definedName>
    <definedName name="Z_4F41B9CC_959D_442C_80B0_1F0DB2C76D27_.wvu.Rows" localSheetId="17" hidden="1">'13.МП РЖС'!$122:$127</definedName>
    <definedName name="Z_4F41B9CC_959D_442C_80B0_1F0DB2C76D27_.wvu.Rows" localSheetId="6" hidden="1">'6.Экстримизм'!$9:$23,'6.Экстримизм'!$30:$38,'6.Экстримизм'!$44:$49,'6.Экстримизм'!$65:$67,'6.Экстримизм'!$71:$76,'6.Экстримизм'!$86:$88,'6.Экстримизм'!$95:$97</definedName>
    <definedName name="Z_533DC55B_6AD4_4674_9488_685EF2039F3E_.wvu.Cols" localSheetId="17" hidden="1">'13.МП РЖС'!$AG:$AG</definedName>
    <definedName name="Z_533DC55B_6AD4_4674_9488_685EF2039F3E_.wvu.FilterData" localSheetId="1" hidden="1">'1.СЗН'!$A$1:$AF$63</definedName>
    <definedName name="Z_533DC55B_6AD4_4674_9488_685EF2039F3E_.wvu.FilterData" localSheetId="2" hidden="1">'2.АПК'!$A$1:$AF$36</definedName>
    <definedName name="Z_533DC55B_6AD4_4674_9488_685EF2039F3E_.wvu.FilterData" localSheetId="3" hidden="1">'3.БЖД'!$A$1:$AF$17</definedName>
    <definedName name="Z_533DC55B_6AD4_4674_9488_685EF2039F3E_.wvu.FilterData" localSheetId="4" hidden="1">'4.УМИ'!$A$1:$AF$11</definedName>
    <definedName name="Z_533DC55B_6AD4_4674_9488_685EF2039F3E_.wvu.FilterData" localSheetId="5" hidden="1">'5.Проф. прав.'!$A$1:$AF$12</definedName>
    <definedName name="Z_533DC55B_6AD4_4674_9488_685EF2039F3E_.wvu.FilterData" localSheetId="6" hidden="1">'6.Экстримизм'!$A$1:$AF$11</definedName>
    <definedName name="Z_533DC55B_6AD4_4674_9488_685EF2039F3E_.wvu.Rows" localSheetId="1" hidden="1">'1.СЗН'!$69:$73</definedName>
    <definedName name="Z_533DC55B_6AD4_4674_9488_685EF2039F3E_.wvu.Rows" localSheetId="17" hidden="1">'13.МП РЖС'!$122:$127</definedName>
    <definedName name="Z_533DC55B_6AD4_4674_9488_685EF2039F3E_.wvu.Rows" localSheetId="6" hidden="1">'6.Экстримизм'!$9:$23,'6.Экстримизм'!$30:$38,'6.Экстримизм'!$44:$49,'6.Экстримизм'!$65:$67,'6.Экстримизм'!$71:$76,'6.Экстримизм'!$86:$88,'6.Экстримизм'!$95:$97</definedName>
    <definedName name="Z_559B20E7_1863_4723_9C86_5DC769A2C901_.wvu.FilterData" localSheetId="4" hidden="1">'4.УМИ'!$A$1:$AF$11</definedName>
    <definedName name="Z_602C8EDB_B9EF_4C85_B0D5_0558C3A0ABAB_.wvu.Cols" localSheetId="17" hidden="1">'13.МП РЖС'!$AG:$AG</definedName>
    <definedName name="Z_602C8EDB_B9EF_4C85_B0D5_0558C3A0ABAB_.wvu.FilterData" localSheetId="1" hidden="1">'1.СЗН'!$A$1:$AF$63</definedName>
    <definedName name="Z_602C8EDB_B9EF_4C85_B0D5_0558C3A0ABAB_.wvu.FilterData" localSheetId="2" hidden="1">'2.АПК'!$A$1:$AF$36</definedName>
    <definedName name="Z_602C8EDB_B9EF_4C85_B0D5_0558C3A0ABAB_.wvu.FilterData" localSheetId="3" hidden="1">'3.БЖД'!$A$1:$AF$17</definedName>
    <definedName name="Z_602C8EDB_B9EF_4C85_B0D5_0558C3A0ABAB_.wvu.FilterData" localSheetId="4" hidden="1">'4.УМИ'!$A$1:$AF$11</definedName>
    <definedName name="Z_602C8EDB_B9EF_4C85_B0D5_0558C3A0ABAB_.wvu.FilterData" localSheetId="5" hidden="1">'5.Проф. прав.'!$A$1:$AF$12</definedName>
    <definedName name="Z_602C8EDB_B9EF_4C85_B0D5_0558C3A0ABAB_.wvu.FilterData" localSheetId="6" hidden="1">'6.Экстримизм'!$A$1:$AF$11</definedName>
    <definedName name="Z_602C8EDB_B9EF_4C85_B0D5_0558C3A0ABAB_.wvu.Rows" localSheetId="1" hidden="1">'1.СЗН'!$69:$73</definedName>
    <definedName name="Z_602C8EDB_B9EF_4C85_B0D5_0558C3A0ABAB_.wvu.Rows" localSheetId="17" hidden="1">'13.МП РЖС'!$122:$127</definedName>
    <definedName name="Z_602C8EDB_B9EF_4C85_B0D5_0558C3A0ABAB_.wvu.Rows" localSheetId="6" hidden="1">'6.Экстримизм'!$9:$23,'6.Экстримизм'!$30:$38,'6.Экстримизм'!$44:$49,'6.Экстримизм'!$65:$67,'6.Экстримизм'!$71:$76,'6.Экстримизм'!$86:$88,'6.Экстримизм'!$95:$97</definedName>
    <definedName name="Z_67F37135_922C_4F1A_88E3_D221FC606A22_.wvu.FilterData" localSheetId="1" hidden="1">'1.СЗН'!$A$1:$AF$63</definedName>
    <definedName name="Z_69DABE6F_6182_4403_A4A2_969F10F1C13A_.wvu.Cols" localSheetId="17" hidden="1">'13.МП РЖС'!$AG:$AG</definedName>
    <definedName name="Z_69DABE6F_6182_4403_A4A2_969F10F1C13A_.wvu.FilterData" localSheetId="1" hidden="1">'1.СЗН'!$A$1:$AF$63</definedName>
    <definedName name="Z_69DABE6F_6182_4403_A4A2_969F10F1C13A_.wvu.FilterData" localSheetId="2" hidden="1">'2.АПК'!$A$1:$AF$36</definedName>
    <definedName name="Z_69DABE6F_6182_4403_A4A2_969F10F1C13A_.wvu.FilterData" localSheetId="3" hidden="1">'3.БЖД'!$A$1:$AF$17</definedName>
    <definedName name="Z_69DABE6F_6182_4403_A4A2_969F10F1C13A_.wvu.FilterData" localSheetId="4" hidden="1">'4.УМИ'!$A$1:$AF$11</definedName>
    <definedName name="Z_69DABE6F_6182_4403_A4A2_969F10F1C13A_.wvu.FilterData" localSheetId="5" hidden="1">'5.Проф. прав.'!$A$1:$AF$12</definedName>
    <definedName name="Z_69DABE6F_6182_4403_A4A2_969F10F1C13A_.wvu.FilterData" localSheetId="6" hidden="1">'6.Экстримизм'!$A$1:$AF$11</definedName>
    <definedName name="Z_69DABE6F_6182_4403_A4A2_969F10F1C13A_.wvu.Rows" localSheetId="1" hidden="1">'1.СЗН'!$69:$73</definedName>
    <definedName name="Z_69DABE6F_6182_4403_A4A2_969F10F1C13A_.wvu.Rows" localSheetId="17" hidden="1">'13.МП РЖС'!$122:$127</definedName>
    <definedName name="Z_69DABE6F_6182_4403_A4A2_969F10F1C13A_.wvu.Rows" localSheetId="6" hidden="1">'6.Экстримизм'!$9:$23,'6.Экстримизм'!$30:$38,'6.Экстримизм'!$44:$49,'6.Экстримизм'!$65:$67,'6.Экстримизм'!$71:$76,'6.Экстримизм'!$86:$88,'6.Экстримизм'!$95:$97</definedName>
    <definedName name="Z_6A602CB8_B24C_4ED4_B378_B27354BE0A1A_.wvu.Cols" localSheetId="17" hidden="1">'13.МП РЖС'!$AG:$AG</definedName>
    <definedName name="Z_6A602CB8_B24C_4ED4_B378_B27354BE0A1A_.wvu.FilterData" localSheetId="1" hidden="1">'1.СЗН'!$A$1:$AF$63</definedName>
    <definedName name="Z_6A602CB8_B24C_4ED4_B378_B27354BE0A1A_.wvu.FilterData" localSheetId="2" hidden="1">'2.АПК'!$A$1:$AF$36</definedName>
    <definedName name="Z_6A602CB8_B24C_4ED4_B378_B27354BE0A1A_.wvu.FilterData" localSheetId="3" hidden="1">'3.БЖД'!$A$1:$AF$17</definedName>
    <definedName name="Z_6A602CB8_B24C_4ED4_B378_B27354BE0A1A_.wvu.FilterData" localSheetId="4" hidden="1">'4.УМИ'!$A$1:$AF$11</definedName>
    <definedName name="Z_6A602CB8_B24C_4ED4_B378_B27354BE0A1A_.wvu.FilterData" localSheetId="5" hidden="1">'5.Проф. прав.'!$A$1:$AF$12</definedName>
    <definedName name="Z_6A602CB8_B24C_4ED4_B378_B27354BE0A1A_.wvu.FilterData" localSheetId="6" hidden="1">'6.Экстримизм'!$A$1:$AF$11</definedName>
    <definedName name="Z_6A602CB8_B24C_4ED4_B378_B27354BE0A1A_.wvu.Rows" localSheetId="1" hidden="1">'1.СЗН'!$69:$73</definedName>
    <definedName name="Z_6A602CB8_B24C_4ED4_B378_B27354BE0A1A_.wvu.Rows" localSheetId="17" hidden="1">'13.МП РЖС'!$122:$127</definedName>
    <definedName name="Z_6A602CB8_B24C_4ED4_B378_B27354BE0A1A_.wvu.Rows" localSheetId="6" hidden="1">'6.Экстримизм'!$9:$23,'6.Экстримизм'!$30:$38,'6.Экстримизм'!$44:$49,'6.Экстримизм'!$65:$67,'6.Экстримизм'!$71:$76,'6.Экстримизм'!$86:$88,'6.Экстримизм'!$95:$97</definedName>
    <definedName name="Z_7399FF56_0BD1_4279_8999_2C7364E6813B_.wvu.FilterData" localSheetId="5" hidden="1">'5.Проф. прав.'!$A$1:$AF$12</definedName>
    <definedName name="Z_74870EE6_26B9_40F7_9DC9_260EF16D8959_.wvu.Cols" localSheetId="17" hidden="1">'13.МП РЖС'!$AG:$AG</definedName>
    <definedName name="Z_74870EE6_26B9_40F7_9DC9_260EF16D8959_.wvu.FilterData" localSheetId="1" hidden="1">'1.СЗН'!$A$1:$AF$63</definedName>
    <definedName name="Z_74870EE6_26B9_40F7_9DC9_260EF16D8959_.wvu.FilterData" localSheetId="2" hidden="1">'2.АПК'!$A$1:$AF$36</definedName>
    <definedName name="Z_74870EE6_26B9_40F7_9DC9_260EF16D8959_.wvu.FilterData" localSheetId="3" hidden="1">'3.БЖД'!$A$1:$AF$17</definedName>
    <definedName name="Z_74870EE6_26B9_40F7_9DC9_260EF16D8959_.wvu.FilterData" localSheetId="4" hidden="1">'4.УМИ'!$A$1:$AF$11</definedName>
    <definedName name="Z_74870EE6_26B9_40F7_9DC9_260EF16D8959_.wvu.FilterData" localSheetId="5" hidden="1">'5.Проф. прав.'!$A$1:$AF$12</definedName>
    <definedName name="Z_74870EE6_26B9_40F7_9DC9_260EF16D8959_.wvu.FilterData" localSheetId="6" hidden="1">'6.Экстримизм'!$A$1:$AF$11</definedName>
    <definedName name="Z_74870EE6_26B9_40F7_9DC9_260EF16D8959_.wvu.Rows" localSheetId="1" hidden="1">'1.СЗН'!$69:$73</definedName>
    <definedName name="Z_74870EE6_26B9_40F7_9DC9_260EF16D8959_.wvu.Rows" localSheetId="17" hidden="1">'13.МП РЖС'!$122:$127</definedName>
    <definedName name="Z_74870EE6_26B9_40F7_9DC9_260EF16D8959_.wvu.Rows" localSheetId="6" hidden="1">'6.Экстримизм'!$9:$23,'6.Экстримизм'!$30:$38,'6.Экстримизм'!$44:$49,'6.Экстримизм'!$65:$67,'6.Экстримизм'!$71:$76,'6.Экстримизм'!$86:$88,'6.Экстримизм'!$95:$97</definedName>
    <definedName name="Z_770624BF_07F3_44B6_94C3_4CC447CDD45C_.wvu.Cols" localSheetId="17" hidden="1">'13.МП РЖС'!$AG:$AG</definedName>
    <definedName name="Z_770624BF_07F3_44B6_94C3_4CC447CDD45C_.wvu.FilterData" localSheetId="1" hidden="1">'1.СЗН'!$A$1:$AF$63</definedName>
    <definedName name="Z_770624BF_07F3_44B6_94C3_4CC447CDD45C_.wvu.FilterData" localSheetId="2" hidden="1">'2.АПК'!$A$1:$AF$36</definedName>
    <definedName name="Z_770624BF_07F3_44B6_94C3_4CC447CDD45C_.wvu.FilterData" localSheetId="3" hidden="1">'3.БЖД'!$A$1:$AF$17</definedName>
    <definedName name="Z_770624BF_07F3_44B6_94C3_4CC447CDD45C_.wvu.FilterData" localSheetId="4" hidden="1">'4.УМИ'!$A$1:$AF$11</definedName>
    <definedName name="Z_770624BF_07F3_44B6_94C3_4CC447CDD45C_.wvu.FilterData" localSheetId="5" hidden="1">'5.Проф. прав.'!$A$1:$AF$12</definedName>
    <definedName name="Z_770624BF_07F3_44B6_94C3_4CC447CDD45C_.wvu.FilterData" localSheetId="6" hidden="1">'6.Экстримизм'!$A$1:$AF$11</definedName>
    <definedName name="Z_770624BF_07F3_44B6_94C3_4CC447CDD45C_.wvu.Rows" localSheetId="1" hidden="1">'1.СЗН'!$69:$73</definedName>
    <definedName name="Z_770624BF_07F3_44B6_94C3_4CC447CDD45C_.wvu.Rows" localSheetId="17" hidden="1">'13.МП РЖС'!$122:$127</definedName>
    <definedName name="Z_770624BF_07F3_44B6_94C3_4CC447CDD45C_.wvu.Rows" localSheetId="6" hidden="1">'6.Экстримизм'!$9:$23,'6.Экстримизм'!$30:$38,'6.Экстримизм'!$44:$49,'6.Экстримизм'!$65:$67,'6.Экстримизм'!$71:$76,'6.Экстримизм'!$86:$88,'6.Экстримизм'!$95:$97</definedName>
    <definedName name="Z_7C130984_112A_4861_AA43_E2940708E3DC_.wvu.Cols" localSheetId="17" hidden="1">'13.МП РЖС'!$AG:$AG</definedName>
    <definedName name="Z_7C130984_112A_4861_AA43_E2940708E3DC_.wvu.Cols" localSheetId="7" hidden="1">'7.МП КП'!$B:$G</definedName>
    <definedName name="Z_7C130984_112A_4861_AA43_E2940708E3DC_.wvu.FilterData" localSheetId="1" hidden="1">'1.СЗН'!$A$1:$AF$63</definedName>
    <definedName name="Z_7C130984_112A_4861_AA43_E2940708E3DC_.wvu.FilterData" localSheetId="2" hidden="1">'2.АПК'!$A$1:$AF$36</definedName>
    <definedName name="Z_7C130984_112A_4861_AA43_E2940708E3DC_.wvu.FilterData" localSheetId="3" hidden="1">'3.БЖД'!$A$1:$AF$17</definedName>
    <definedName name="Z_7C130984_112A_4861_AA43_E2940708E3DC_.wvu.FilterData" localSheetId="4" hidden="1">'4.УМИ'!$A$1:$AF$11</definedName>
    <definedName name="Z_7C130984_112A_4861_AA43_E2940708E3DC_.wvu.FilterData" localSheetId="5" hidden="1">'5.Проф. прав.'!$A$1:$AF$12</definedName>
    <definedName name="Z_7C130984_112A_4861_AA43_E2940708E3DC_.wvu.FilterData" localSheetId="6" hidden="1">'6.Экстримизм'!$A$1:$AF$11</definedName>
    <definedName name="Z_7C130984_112A_4861_AA43_E2940708E3DC_.wvu.Rows" localSheetId="1" hidden="1">'1.СЗН'!$69:$73</definedName>
    <definedName name="Z_7C130984_112A_4861_AA43_E2940708E3DC_.wvu.Rows" localSheetId="17" hidden="1">'13.МП РЖС'!$122:$127</definedName>
    <definedName name="Z_7C130984_112A_4861_AA43_E2940708E3DC_.wvu.Rows" localSheetId="6" hidden="1">'6.Экстримизм'!$9:$23,'6.Экстримизм'!$30:$38,'6.Экстримизм'!$44:$49,'6.Экстримизм'!$65:$67,'6.Экстримизм'!$71:$76,'6.Экстримизм'!$86:$88,'6.Экстримизм'!$95:$97</definedName>
    <definedName name="Z_84867370_1F3E_4368_AF79_FBCE46FFFE92_.wvu.Cols" localSheetId="17" hidden="1">'13.МП РЖС'!$AG:$AG</definedName>
    <definedName name="Z_84867370_1F3E_4368_AF79_FBCE46FFFE92_.wvu.FilterData" localSheetId="1" hidden="1">'1.СЗН'!$A$1:$AF$63</definedName>
    <definedName name="Z_84867370_1F3E_4368_AF79_FBCE46FFFE92_.wvu.FilterData" localSheetId="2" hidden="1">'2.АПК'!$A$1:$AF$36</definedName>
    <definedName name="Z_84867370_1F3E_4368_AF79_FBCE46FFFE92_.wvu.FilterData" localSheetId="3" hidden="1">'3.БЖД'!$A$1:$AF$17</definedName>
    <definedName name="Z_84867370_1F3E_4368_AF79_FBCE46FFFE92_.wvu.FilterData" localSheetId="4" hidden="1">'4.УМИ'!$A$1:$AF$11</definedName>
    <definedName name="Z_84867370_1F3E_4368_AF79_FBCE46FFFE92_.wvu.FilterData" localSheetId="5" hidden="1">'5.Проф. прав.'!$A$1:$AF$12</definedName>
    <definedName name="Z_84867370_1F3E_4368_AF79_FBCE46FFFE92_.wvu.FilterData" localSheetId="6" hidden="1">'6.Экстримизм'!$A$1:$AF$11</definedName>
    <definedName name="Z_84867370_1F3E_4368_AF79_FBCE46FFFE92_.wvu.Rows" localSheetId="1" hidden="1">'1.СЗН'!$69:$73</definedName>
    <definedName name="Z_84867370_1F3E_4368_AF79_FBCE46FFFE92_.wvu.Rows" localSheetId="17" hidden="1">'13.МП РЖС'!$122:$127</definedName>
    <definedName name="Z_84867370_1F3E_4368_AF79_FBCE46FFFE92_.wvu.Rows" localSheetId="6" hidden="1">'6.Экстримизм'!$9:$23,'6.Экстримизм'!$30:$38,'6.Экстримизм'!$44:$49,'6.Экстримизм'!$65:$67,'6.Экстримизм'!$71:$76,'6.Экстримизм'!$86:$88,'6.Экстримизм'!$95:$97</definedName>
    <definedName name="Z_85F4575B_DBC5_482A_9916_255D8F0BC94E_.wvu.Cols" localSheetId="17" hidden="1">'13.МП РЖС'!$AG:$AG</definedName>
    <definedName name="Z_85F4575B_DBC5_482A_9916_255D8F0BC94E_.wvu.FilterData" localSheetId="1" hidden="1">'1.СЗН'!$A$1:$AF$63</definedName>
    <definedName name="Z_85F4575B_DBC5_482A_9916_255D8F0BC94E_.wvu.FilterData" localSheetId="2" hidden="1">'2.АПК'!$A$1:$AF$36</definedName>
    <definedName name="Z_85F4575B_DBC5_482A_9916_255D8F0BC94E_.wvu.FilterData" localSheetId="3" hidden="1">'3.БЖД'!$A$1:$AF$17</definedName>
    <definedName name="Z_85F4575B_DBC5_482A_9916_255D8F0BC94E_.wvu.FilterData" localSheetId="4" hidden="1">'4.УМИ'!$A$1:$AF$11</definedName>
    <definedName name="Z_85F4575B_DBC5_482A_9916_255D8F0BC94E_.wvu.FilterData" localSheetId="5" hidden="1">'5.Проф. прав.'!$A$1:$AF$12</definedName>
    <definedName name="Z_85F4575B_DBC5_482A_9916_255D8F0BC94E_.wvu.FilterData" localSheetId="6" hidden="1">'6.Экстримизм'!$A$1:$AF$11</definedName>
    <definedName name="Z_85F4575B_DBC5_482A_9916_255D8F0BC94E_.wvu.Rows" localSheetId="1" hidden="1">'1.СЗН'!$69:$73</definedName>
    <definedName name="Z_85F4575B_DBC5_482A_9916_255D8F0BC94E_.wvu.Rows" localSheetId="17" hidden="1">'13.МП РЖС'!$122:$127</definedName>
    <definedName name="Z_85F4575B_DBC5_482A_9916_255D8F0BC94E_.wvu.Rows" localSheetId="6" hidden="1">'6.Экстримизм'!$9:$23,'6.Экстримизм'!$30:$38,'6.Экстримизм'!$44:$49,'6.Экстримизм'!$65:$67,'6.Экстримизм'!$71:$76,'6.Экстримизм'!$86:$88,'6.Экстримизм'!$95:$97</definedName>
    <definedName name="Z_87218168_6C8E_4D5B_A5E5_DCCC26803AA3_.wvu.FilterData" localSheetId="1" hidden="1">'1.СЗН'!$A$1:$AF$63</definedName>
    <definedName name="Z_87218168_6C8E_4D5B_A5E5_DCCC26803AA3_.wvu.FilterData" localSheetId="2" hidden="1">'2.АПК'!$A$1:$AF$36</definedName>
    <definedName name="Z_87218168_6C8E_4D5B_A5E5_DCCC26803AA3_.wvu.FilterData" localSheetId="3" hidden="1">'3.БЖД'!$A$1:$AF$17</definedName>
    <definedName name="Z_87218168_6C8E_4D5B_A5E5_DCCC26803AA3_.wvu.FilterData" localSheetId="4" hidden="1">'4.УМИ'!$A$1:$AF$11</definedName>
    <definedName name="Z_87218168_6C8E_4D5B_A5E5_DCCC26803AA3_.wvu.FilterData" localSheetId="5" hidden="1">'5.Проф. прав.'!$A$1:$AF$12</definedName>
    <definedName name="Z_87218168_6C8E_4D5B_A5E5_DCCC26803AA3_.wvu.FilterData" localSheetId="6" hidden="1">'6.Экстримизм'!$A$1:$AF$11</definedName>
    <definedName name="Z_87218168_6C8E_4D5B_A5E5_DCCC26803AA3_.wvu.Rows" localSheetId="1" hidden="1">'1.СЗН'!$69:$73</definedName>
    <definedName name="Z_87218168_6C8E_4D5B_A5E5_DCCC26803AA3_.wvu.Rows" localSheetId="6" hidden="1">'6.Экстримизм'!$9:$23,'6.Экстримизм'!$30:$38,'6.Экстримизм'!$44:$49,'6.Экстримизм'!$65:$67,'6.Экстримизм'!$71:$76,'6.Экстримизм'!$86:$88,'6.Экстримизм'!$95:$97</definedName>
    <definedName name="Z_874882D1_E741_4CCA_BF0D_E72FA60B771D_.wvu.FilterData" localSheetId="1" hidden="1">'1.СЗН'!$A$1:$AF$63</definedName>
    <definedName name="Z_874882D1_E741_4CCA_BF0D_E72FA60B771D_.wvu.FilterData" localSheetId="2" hidden="1">'2.АПК'!$A$1:$AF$36</definedName>
    <definedName name="Z_874882D1_E741_4CCA_BF0D_E72FA60B771D_.wvu.FilterData" localSheetId="3" hidden="1">'3.БЖД'!$A$1:$AF$17</definedName>
    <definedName name="Z_874882D1_E741_4CCA_BF0D_E72FA60B771D_.wvu.FilterData" localSheetId="4" hidden="1">'4.УМИ'!$A$1:$AF$11</definedName>
    <definedName name="Z_874882D1_E741_4CCA_BF0D_E72FA60B771D_.wvu.FilterData" localSheetId="5" hidden="1">'5.Проф. прав.'!$A$1:$AF$12</definedName>
    <definedName name="Z_874882D1_E741_4CCA_BF0D_E72FA60B771D_.wvu.FilterData" localSheetId="6" hidden="1">'6.Экстримизм'!$A$1:$AF$11</definedName>
    <definedName name="Z_874882D1_E741_4CCA_BF0D_E72FA60B771D_.wvu.Rows" localSheetId="1" hidden="1">'1.СЗН'!$69:$73</definedName>
    <definedName name="Z_8795A258_FFD6_43A8_BF42_860FF53ACE92_.wvu.FilterData" localSheetId="4" hidden="1">'4.УМИ'!$A$1:$AF$11</definedName>
    <definedName name="Z_93497ED3_E346_43BF_A10F_56A5EA743183_.wvu.FilterData" localSheetId="3" hidden="1">'3.БЖД'!$A$1:$AF$17</definedName>
    <definedName name="Z_93497ED3_E346_43BF_A10F_56A5EA743183_.wvu.FilterData" localSheetId="4" hidden="1">'4.УМИ'!$A$1:$AF$11</definedName>
    <definedName name="Z_959E901C_5DDE_42EE_AE94_AB8976B5E00B_.wvu.Cols" localSheetId="17" hidden="1">'13.МП РЖС'!$AG:$AG</definedName>
    <definedName name="Z_959E901C_5DDE_42EE_AE94_AB8976B5E00B_.wvu.FilterData" localSheetId="1" hidden="1">'1.СЗН'!$A$1:$AF$63</definedName>
    <definedName name="Z_959E901C_5DDE_42EE_AE94_AB8976B5E00B_.wvu.FilterData" localSheetId="2" hidden="1">'2.АПК'!$A$1:$AF$36</definedName>
    <definedName name="Z_959E901C_5DDE_42EE_AE94_AB8976B5E00B_.wvu.FilterData" localSheetId="3" hidden="1">'3.БЖД'!$A$1:$AF$17</definedName>
    <definedName name="Z_959E901C_5DDE_42EE_AE94_AB8976B5E00B_.wvu.FilterData" localSheetId="4" hidden="1">'4.УМИ'!$A$1:$AF$11</definedName>
    <definedName name="Z_959E901C_5DDE_42EE_AE94_AB8976B5E00B_.wvu.FilterData" localSheetId="5" hidden="1">'5.Проф. прав.'!$A$1:$AF$12</definedName>
    <definedName name="Z_959E901C_5DDE_42EE_AE94_AB8976B5E00B_.wvu.FilterData" localSheetId="6" hidden="1">'6.Экстримизм'!$A$1:$AF$11</definedName>
    <definedName name="Z_959E901C_5DDE_42EE_AE94_AB8976B5E00B_.wvu.Rows" localSheetId="1" hidden="1">'1.СЗН'!$69:$73</definedName>
    <definedName name="Z_959E901C_5DDE_42EE_AE94_AB8976B5E00B_.wvu.Rows" localSheetId="17" hidden="1">'13.МП РЖС'!$122:$127</definedName>
    <definedName name="Z_959E901C_5DDE_42EE_AE94_AB8976B5E00B_.wvu.Rows" localSheetId="6" hidden="1">'6.Экстримизм'!$9:$23,'6.Экстримизм'!$30:$38,'6.Экстримизм'!$44:$49,'6.Экстримизм'!$65:$67,'6.Экстримизм'!$71:$76,'6.Экстримизм'!$86:$88,'6.Экстримизм'!$95:$97</definedName>
    <definedName name="Z_96AAD949_FBDB_412F_ABD0_257B4F6B6642_.wvu.FilterData" localSheetId="3" hidden="1">'3.БЖД'!$A$1:$AF$17</definedName>
    <definedName name="Z_98850856_C09C_4036_9D8B_A5D35155891B_.wvu.FilterData" localSheetId="4" hidden="1">'4.УМИ'!$A$1:$AF$11</definedName>
    <definedName name="Z_9CA8AEDB_B446_4A7E_A5FF_3D96A2FCF0E9_.wvu.FilterData" localSheetId="1" hidden="1">'1.СЗН'!$A$1:$AF$63</definedName>
    <definedName name="Z_A8E27B0B_C059_4079_998C_DCFA718098A6_.wvu.FilterData" localSheetId="1" hidden="1">'1.СЗН'!$A$1:$AF$63</definedName>
    <definedName name="Z_A915DEAF_56CE_41F9_A2A7_4514A4E594A1_.wvu.FilterData" localSheetId="6" hidden="1">'6.Экстримизм'!$A$1:$AF$11</definedName>
    <definedName name="Z_B05A9EE8_9269_4880_AD7F_693A0DFDCC46_.wvu.FilterData" localSheetId="5" hidden="1">'5.Проф. прав.'!$A$1:$AF$12</definedName>
    <definedName name="Z_B1BF08D1_D416_4B47_ADD0_4F59132DC9E8_.wvu.Cols" localSheetId="17" hidden="1">'13.МП РЖС'!$AG:$AG</definedName>
    <definedName name="Z_B1BF08D1_D416_4B47_ADD0_4F59132DC9E8_.wvu.FilterData" localSheetId="1" hidden="1">'1.СЗН'!$A$1:$AF$63</definedName>
    <definedName name="Z_B1BF08D1_D416_4B47_ADD0_4F59132DC9E8_.wvu.FilterData" localSheetId="2" hidden="1">'2.АПК'!$A$1:$AF$36</definedName>
    <definedName name="Z_B1BF08D1_D416_4B47_ADD0_4F59132DC9E8_.wvu.FilterData" localSheetId="3" hidden="1">'3.БЖД'!$A$1:$AF$17</definedName>
    <definedName name="Z_B1BF08D1_D416_4B47_ADD0_4F59132DC9E8_.wvu.FilterData" localSheetId="4" hidden="1">'4.УМИ'!$A$1:$AF$11</definedName>
    <definedName name="Z_B1BF08D1_D416_4B47_ADD0_4F59132DC9E8_.wvu.FilterData" localSheetId="5" hidden="1">'5.Проф. прав.'!$A$1:$AF$12</definedName>
    <definedName name="Z_B1BF08D1_D416_4B47_ADD0_4F59132DC9E8_.wvu.FilterData" localSheetId="6" hidden="1">'6.Экстримизм'!$A$1:$AF$11</definedName>
    <definedName name="Z_B1BF08D1_D416_4B47_ADD0_4F59132DC9E8_.wvu.Rows" localSheetId="1" hidden="1">'1.СЗН'!$69:$73</definedName>
    <definedName name="Z_B1BF08D1_D416_4B47_ADD0_4F59132DC9E8_.wvu.Rows" localSheetId="17" hidden="1">'13.МП РЖС'!$122:$127</definedName>
    <definedName name="Z_B1BF08D1_D416_4B47_ADD0_4F59132DC9E8_.wvu.Rows" localSheetId="6" hidden="1">'6.Экстримизм'!$9:$23,'6.Экстримизм'!$30:$38,'6.Экстримизм'!$44:$49,'6.Экстримизм'!$65:$67,'6.Экстримизм'!$71:$76,'6.Экстримизм'!$86:$88,'6.Экстримизм'!$95:$97</definedName>
    <definedName name="Z_B82BA08A_1A30_4F4D_A478_74A6BD09EA97_.wvu.FilterData" localSheetId="1" hidden="1">'1.СЗН'!$A$1:$AF$63</definedName>
    <definedName name="Z_B82BA08A_1A30_4F4D_A478_74A6BD09EA97_.wvu.FilterData" localSheetId="2" hidden="1">'2.АПК'!$A$1:$AF$36</definedName>
    <definedName name="Z_B82BA08A_1A30_4F4D_A478_74A6BD09EA97_.wvu.FilterData" localSheetId="3" hidden="1">'3.БЖД'!$A$1:$AF$17</definedName>
    <definedName name="Z_B82BA08A_1A30_4F4D_A478_74A6BD09EA97_.wvu.FilterData" localSheetId="4" hidden="1">'4.УМИ'!$A$1:$AF$11</definedName>
    <definedName name="Z_B82BA08A_1A30_4F4D_A478_74A6BD09EA97_.wvu.FilterData" localSheetId="5" hidden="1">'5.Проф. прав.'!$A$1:$AF$12</definedName>
    <definedName name="Z_B82BA08A_1A30_4F4D_A478_74A6BD09EA97_.wvu.FilterData" localSheetId="6" hidden="1">'6.Экстримизм'!$A$1:$AF$11</definedName>
    <definedName name="Z_B82BA08A_1A30_4F4D_A478_74A6BD09EA97_.wvu.Rows" localSheetId="1" hidden="1">'1.СЗН'!$69:$73</definedName>
    <definedName name="Z_B82BA08A_1A30_4F4D_A478_74A6BD09EA97_.wvu.Rows" localSheetId="6" hidden="1">'6.Экстримизм'!$9:$23,'6.Экстримизм'!$30:$38,'6.Экстримизм'!$44:$49,'6.Экстримизм'!$65:$67,'6.Экстримизм'!$71:$76,'6.Экстримизм'!$86:$88,'6.Экстримизм'!$95:$97</definedName>
    <definedName name="Z_BBEF1F7B_D9AB_4581_A2C3_2714FC8B8087_.wvu.FilterData" localSheetId="1" hidden="1">'1.СЗН'!$A$1:$AF$63</definedName>
    <definedName name="Z_BCD82A82_B724_4763_8580_D765356E09BA_.wvu.FilterData" localSheetId="1" hidden="1">'1.СЗН'!$A$1:$AF$63</definedName>
    <definedName name="Z_BCD82A82_B724_4763_8580_D765356E09BA_.wvu.FilterData" localSheetId="2" hidden="1">'2.АПК'!$A$1:$AF$36</definedName>
    <definedName name="Z_BCD82A82_B724_4763_8580_D765356E09BA_.wvu.FilterData" localSheetId="3" hidden="1">'3.БЖД'!$A$1:$AF$17</definedName>
    <definedName name="Z_BCD82A82_B724_4763_8580_D765356E09BA_.wvu.FilterData" localSheetId="4" hidden="1">'4.УМИ'!$A$1:$AF$11</definedName>
    <definedName name="Z_BCD82A82_B724_4763_8580_D765356E09BA_.wvu.FilterData" localSheetId="5" hidden="1">'5.Проф. прав.'!$A$1:$AF$12</definedName>
    <definedName name="Z_BCD82A82_B724_4763_8580_D765356E09BA_.wvu.FilterData" localSheetId="6" hidden="1">'6.Экстримизм'!$A$1:$AF$11</definedName>
    <definedName name="Z_C1161D56_B3D2_40B4_B546_1FC5139DD261_.wvu.FilterData" localSheetId="2" hidden="1">'2.АПК'!$A$1:$AF$36</definedName>
    <definedName name="Z_C236B307_BD63_48C4_A75F_B3F3717BF55C_.wvu.FilterData" localSheetId="1" hidden="1">'1.СЗН'!$A$1:$AF$63</definedName>
    <definedName name="Z_C236B307_BD63_48C4_A75F_B3F3717BF55C_.wvu.FilterData" localSheetId="2" hidden="1">'2.АПК'!$A$1:$AF$36</definedName>
    <definedName name="Z_C236B307_BD63_48C4_A75F_B3F3717BF55C_.wvu.FilterData" localSheetId="3" hidden="1">'3.БЖД'!$A$1:$AF$17</definedName>
    <definedName name="Z_C236B307_BD63_48C4_A75F_B3F3717BF55C_.wvu.FilterData" localSheetId="4" hidden="1">'4.УМИ'!$A$1:$AF$11</definedName>
    <definedName name="Z_C236B307_BD63_48C4_A75F_B3F3717BF55C_.wvu.FilterData" localSheetId="5" hidden="1">'5.Проф. прав.'!$A$1:$AF$12</definedName>
    <definedName name="Z_C236B307_BD63_48C4_A75F_B3F3717BF55C_.wvu.FilterData" localSheetId="6" hidden="1">'6.Экстримизм'!$A$1:$AF$11</definedName>
    <definedName name="Z_C236B307_BD63_48C4_A75F_B3F3717BF55C_.wvu.Rows" localSheetId="1" hidden="1">'1.СЗН'!$69:$73</definedName>
    <definedName name="Z_D01FA037_9AEC_4167_ADB8_2F327C01ECE6_.wvu.Cols" localSheetId="17" hidden="1">'13.МП РЖС'!$AG:$AG</definedName>
    <definedName name="Z_D01FA037_9AEC_4167_ADB8_2F327C01ECE6_.wvu.FilterData" localSheetId="1" hidden="1">'1.СЗН'!$A$1:$AF$63</definedName>
    <definedName name="Z_D01FA037_9AEC_4167_ADB8_2F327C01ECE6_.wvu.FilterData" localSheetId="2" hidden="1">'2.АПК'!$A$1:$AF$36</definedName>
    <definedName name="Z_D01FA037_9AEC_4167_ADB8_2F327C01ECE6_.wvu.FilterData" localSheetId="3" hidden="1">'3.БЖД'!$A$1:$AF$17</definedName>
    <definedName name="Z_D01FA037_9AEC_4167_ADB8_2F327C01ECE6_.wvu.FilterData" localSheetId="4" hidden="1">'4.УМИ'!$A$1:$AF$11</definedName>
    <definedName name="Z_D01FA037_9AEC_4167_ADB8_2F327C01ECE6_.wvu.FilterData" localSheetId="5" hidden="1">'5.Проф. прав.'!$A$1:$AF$12</definedName>
    <definedName name="Z_D01FA037_9AEC_4167_ADB8_2F327C01ECE6_.wvu.FilterData" localSheetId="6" hidden="1">'6.Экстримизм'!$A$1:$AF$11</definedName>
    <definedName name="Z_D01FA037_9AEC_4167_ADB8_2F327C01ECE6_.wvu.Rows" localSheetId="1" hidden="1">'1.СЗН'!$69:$73</definedName>
    <definedName name="Z_D01FA037_9AEC_4167_ADB8_2F327C01ECE6_.wvu.Rows" localSheetId="17" hidden="1">'13.МП РЖС'!$122:$127</definedName>
    <definedName name="Z_D01FA037_9AEC_4167_ADB8_2F327C01ECE6_.wvu.Rows" localSheetId="6" hidden="1">'6.Экстримизм'!$9:$23,'6.Экстримизм'!$30:$38,'6.Экстримизм'!$44:$49,'6.Экстримизм'!$65:$67,'6.Экстримизм'!$71:$76,'6.Экстримизм'!$86:$88,'6.Экстримизм'!$95:$97</definedName>
    <definedName name="Z_D9C8C987_8580_4630_B25D_27B2C5F59692_.wvu.FilterData" localSheetId="2" hidden="1">'2.АПК'!$A$1:$AF$36</definedName>
    <definedName name="Z_DAA8A688_7558_4B5B_8DBD_E2629BD9E9A8_.wvu.FilterData" localSheetId="1" hidden="1">'1.СЗН'!$A$1:$AF$63</definedName>
    <definedName name="Z_DAA8A688_7558_4B5B_8DBD_E2629BD9E9A8_.wvu.FilterData" localSheetId="2" hidden="1">'2.АПК'!$A$1:$AF$36</definedName>
    <definedName name="Z_DAA8A688_7558_4B5B_8DBD_E2629BD9E9A8_.wvu.FilterData" localSheetId="3" hidden="1">'3.БЖД'!$A$1:$AF$17</definedName>
    <definedName name="Z_DAA8A688_7558_4B5B_8DBD_E2629BD9E9A8_.wvu.FilterData" localSheetId="4" hidden="1">'4.УМИ'!$A$1:$AF$11</definedName>
    <definedName name="Z_DAA8A688_7558_4B5B_8DBD_E2629BD9E9A8_.wvu.FilterData" localSheetId="5" hidden="1">'5.Проф. прав.'!$A$1:$AF$12</definedName>
    <definedName name="Z_DAA8A688_7558_4B5B_8DBD_E2629BD9E9A8_.wvu.FilterData" localSheetId="6" hidden="1">'6.Экстримизм'!$A$1:$AF$11</definedName>
    <definedName name="Z_DAA8A688_7558_4B5B_8DBD_E2629BD9E9A8_.wvu.Rows" localSheetId="1" hidden="1">'1.СЗН'!$69:$73</definedName>
    <definedName name="Z_DAA8A688_7558_4B5B_8DBD_E2629BD9E9A8_.wvu.Rows" localSheetId="6" hidden="1">'6.Экстримизм'!$9:$23,'6.Экстримизм'!$30:$38,'6.Экстримизм'!$44:$49,'6.Экстримизм'!$65:$67,'6.Экстримизм'!$71:$76,'6.Экстримизм'!$86:$88,'6.Экстримизм'!$95:$97</definedName>
    <definedName name="Z_E508E171_4ED9_4B07_84DF_DA28C60E1969_.wvu.Cols" localSheetId="17" hidden="1">'13.МП РЖС'!$AG:$AG</definedName>
    <definedName name="Z_E508E171_4ED9_4B07_84DF_DA28C60E1969_.wvu.FilterData" localSheetId="1" hidden="1">'1.СЗН'!$A$1:$AF$63</definedName>
    <definedName name="Z_E508E171_4ED9_4B07_84DF_DA28C60E1969_.wvu.FilterData" localSheetId="2" hidden="1">'2.АПК'!$A$1:$AF$36</definedName>
    <definedName name="Z_E508E171_4ED9_4B07_84DF_DA28C60E1969_.wvu.FilterData" localSheetId="3" hidden="1">'3.БЖД'!$A$1:$AF$17</definedName>
    <definedName name="Z_E508E171_4ED9_4B07_84DF_DA28C60E1969_.wvu.FilterData" localSheetId="4" hidden="1">'4.УМИ'!$A$1:$AF$11</definedName>
    <definedName name="Z_E508E171_4ED9_4B07_84DF_DA28C60E1969_.wvu.FilterData" localSheetId="5" hidden="1">'5.Проф. прав.'!$A$1:$AF$12</definedName>
    <definedName name="Z_E508E171_4ED9_4B07_84DF_DA28C60E1969_.wvu.FilterData" localSheetId="6" hidden="1">'6.Экстримизм'!$A$1:$AF$11</definedName>
    <definedName name="Z_E508E171_4ED9_4B07_84DF_DA28C60E1969_.wvu.Rows" localSheetId="1" hidden="1">'1.СЗН'!$69:$73</definedName>
    <definedName name="Z_E508E171_4ED9_4B07_84DF_DA28C60E1969_.wvu.Rows" localSheetId="17" hidden="1">'13.МП РЖС'!$122:$127</definedName>
    <definedName name="Z_E508E171_4ED9_4B07_84DF_DA28C60E1969_.wvu.Rows" localSheetId="6" hidden="1">'6.Экстримизм'!$9:$23,'6.Экстримизм'!$30:$38,'6.Экстримизм'!$44:$49,'6.Экстримизм'!$65:$67,'6.Экстримизм'!$71:$76,'6.Экстримизм'!$86:$88,'6.Экстримизм'!$95:$97</definedName>
    <definedName name="Z_E78997D0_B342_4B0F_924C_DFBC1377A883_.wvu.FilterData" localSheetId="5" hidden="1">'5.Проф. прав.'!$A$1:$AF$12</definedName>
    <definedName name="Z_EB3F7096_B579_4E53_8ADC_53C03933AE73_.wvu.FilterData" localSheetId="3" hidden="1">'3.БЖД'!$A$1:$AF$17</definedName>
    <definedName name="Z_EE4E416A_731C_4840_AAAF_B170B045E0A2_.wvu.FilterData" localSheetId="2" hidden="1">'2.АПК'!$A$1:$AF$36</definedName>
    <definedName name="Z_EE4E416A_731C_4840_AAAF_B170B045E0A2_.wvu.FilterData" localSheetId="5" hidden="1">'5.Проф. прав.'!$A$1:$AF$12</definedName>
    <definedName name="Z_F679EF4A_C5FD_4B86_B87B_D85968E0F2CA_.wvu.Cols" localSheetId="17" hidden="1">'13.МП РЖС'!$AG:$AG</definedName>
    <definedName name="Z_F679EF4A_C5FD_4B86_B87B_D85968E0F2CA_.wvu.FilterData" localSheetId="1" hidden="1">'1.СЗН'!$A$1:$AF$63</definedName>
    <definedName name="Z_F679EF4A_C5FD_4B86_B87B_D85968E0F2CA_.wvu.FilterData" localSheetId="2" hidden="1">'2.АПК'!$A$1:$AF$36</definedName>
    <definedName name="Z_F679EF4A_C5FD_4B86_B87B_D85968E0F2CA_.wvu.FilterData" localSheetId="3" hidden="1">'3.БЖД'!$A$1:$AF$17</definedName>
    <definedName name="Z_F679EF4A_C5FD_4B86_B87B_D85968E0F2CA_.wvu.FilterData" localSheetId="4" hidden="1">'4.УМИ'!$A$1:$AF$11</definedName>
    <definedName name="Z_F679EF4A_C5FD_4B86_B87B_D85968E0F2CA_.wvu.FilterData" localSheetId="5" hidden="1">'5.Проф. прав.'!$A$1:$AF$12</definedName>
    <definedName name="Z_F679EF4A_C5FD_4B86_B87B_D85968E0F2CA_.wvu.FilterData" localSheetId="6" hidden="1">'6.Экстримизм'!$A$1:$AF$11</definedName>
    <definedName name="Z_F679EF4A_C5FD_4B86_B87B_D85968E0F2CA_.wvu.Rows" localSheetId="1" hidden="1">'1.СЗН'!$69:$73</definedName>
    <definedName name="Z_F679EF4A_C5FD_4B86_B87B_D85968E0F2CA_.wvu.Rows" localSheetId="17" hidden="1">'13.МП РЖС'!$122:$127</definedName>
    <definedName name="Z_F679EF4A_C5FD_4B86_B87B_D85968E0F2CA_.wvu.Rows" localSheetId="6" hidden="1">'6.Экстримизм'!$9:$23,'6.Экстримизм'!$30:$38,'6.Экстримизм'!$44:$49,'6.Экстримизм'!$65:$67,'6.Экстримизм'!$71:$76,'6.Экстримизм'!$86:$88,'6.Экстримизм'!$95:$97</definedName>
    <definedName name="Z_F9B70720_F297_4239_9B4F_C1EB59A5C247_.wvu.FilterData" localSheetId="2" hidden="1">'2.АПК'!$A$1:$AF$36</definedName>
  </definedNames>
  <calcPr calcId="162913"/>
  <customWorkbookViews>
    <customWorkbookView name="Степаненко Наталья Алексеевна - Личное представление" guid="{533DC55B-6AD4-4674-9488-685EF2039F3E}" mergeInterval="0" personalView="1" maximized="1" xWindow="-8" yWindow="-8" windowWidth="1936" windowHeight="1056" tabRatio="773" activeSheetId="6"/>
    <customWorkbookView name="Терсин Роман Олегович - Личное представление" guid="{85F4575B-DBC5-482A-9916-255D8F0BC94E}" mergeInterval="0" personalView="1" maximized="1" xWindow="-8" yWindow="-8" windowWidth="1936" windowHeight="1056" tabRatio="798" activeSheetId="20"/>
    <customWorkbookView name="Мягкова Оксана Викторовна - Личное представление" guid="{B1BF08D1-D416-4B47-ADD0-4F59132DC9E8}" mergeInterval="0" personalView="1" maximized="1" xWindow="-8" yWindow="-8" windowWidth="1936" windowHeight="1056" tabRatio="798" activeSheetId="11"/>
    <customWorkbookView name="Подворчан Оксана - Личное представление" guid="{4F41B9CC-959D-442C-80B0-1F0DB2C76D27}" mergeInterval="0" personalView="1" maximized="1" xWindow="-4" yWindow="-4" windowWidth="1928" windowHeight="1038" tabRatio="798" activeSheetId="10"/>
    <customWorkbookView name="Митина Екатерина Сергеевна - Личное представление" guid="{602C8EDB-B9EF-4C85-B0D5-0558C3A0ABAB}" mergeInterval="0" personalView="1" maximized="1" xWindow="-8" yWindow="-8" windowWidth="1936" windowHeight="1056" tabRatio="798" activeSheetId="16"/>
    <customWorkbookView name="Колесник Елена Николаевна - Личное представление" guid="{D01FA037-9AEC-4167-ADB8-2F327C01ECE6}" mergeInterval="0" personalView="1" maximized="1" xWindow="-4" yWindow="-4" windowWidth="1928" windowHeight="1048" tabRatio="798" activeSheetId="6"/>
    <customWorkbookView name="Мартынова Снежана Владимировна - Личное представление" guid="{84867370-1F3E-4368-AF79-FBCE46FFFE92}" mergeInterval="0" personalView="1" maximized="1" xWindow="-8" yWindow="-8" windowWidth="1936" windowHeight="1056" tabRatio="798" activeSheetId="2"/>
    <customWorkbookView name="Цыганкова Ирина Анатольевн - Личное представление" guid="{0C2B9C2A-7B94-41EF-A2E6-F8AC9A67DE25}" mergeInterval="0" personalView="1" maximized="1" xWindow="-8" yWindow="-8" windowWidth="1936" windowHeight="1056" tabRatio="798" activeSheetId="19"/>
    <customWorkbookView name="Шамерзоева Татьяна Федоровна - Личное представление" guid="{47B983AB-FE5F-4725-860C-A2F29420596D}" mergeInterval="0" personalView="1" maximized="1" xWindow="-8" yWindow="-8" windowWidth="1936" windowHeight="1056" tabRatio="798" activeSheetId="3"/>
    <customWorkbookView name="Епифанова Елена Валерьевна - Личное представление" guid="{DAA8A688-7558-4B5B-8DBD-E2629BD9E9A8}" mergeInterval="0" personalView="1" maximized="1" xWindow="-8" yWindow="-8" windowWidth="1936" windowHeight="1056" tabRatio="842" activeSheetId="18"/>
    <customWorkbookView name="Бондарева Оксана Петровна - Личное представление" guid="{BCD82A82-B724-4763-8580-D765356E09BA}" mergeInterval="0" personalView="1" maximized="1" xWindow="-8" yWindow="-8" windowWidth="1936" windowHeight="1056" tabRatio="798" activeSheetId="1"/>
    <customWorkbookView name="Горохова Оксана Юсуповна - Личное представление" guid="{C236B307-BD63-48C4-A75F-B3F3717BF55C}" mergeInterval="0" personalView="1" maximized="1" xWindow="-8" yWindow="-8" windowWidth="1936" windowHeight="1056" tabRatio="798" activeSheetId="20"/>
    <customWorkbookView name="Лукманова Эльвира Наильевна - Личное представление" guid="{87218168-6C8E-4D5B-A5E5-DCCC26803AA3}" mergeInterval="0" personalView="1" maximized="1" xWindow="-8" yWindow="-8" windowWidth="1296" windowHeight="1000" tabRatio="842" activeSheetId="7"/>
    <customWorkbookView name="Титкова Наталья Ивановна - Личное представление" guid="{874882D1-E741-4CCA-BF0D-E72FA60B771D}" mergeInterval="0" personalView="1" maximized="1" xWindow="-8" yWindow="-8" windowWidth="1936" windowHeight="1056" tabRatio="798" activeSheetId="17"/>
    <customWorkbookView name="Шишкина Юлия Андреева - Личное представление" guid="{B82BA08A-1A30-4F4D-A478-74A6BD09EA97}" mergeInterval="0" personalView="1" xWindow="-15" yWindow="49" windowWidth="902" windowHeight="878" tabRatio="798" activeSheetId="5"/>
    <customWorkbookView name="Грязнова Екатерина Владимировна - Личное представление" guid="{4D0DFB57-2CBA-42F2-9A97-C453A6851FBA}" mergeInterval="0" personalView="1" maximized="1" xWindow="-8" yWindow="-8" windowWidth="1936" windowHeight="1056" tabRatio="798" activeSheetId="13"/>
    <customWorkbookView name="Игошкина Марина Юрьевна - Личное представление" guid="{770624BF-07F3-44B6-94C3-4CC447CDD45C}" mergeInterval="0" personalView="1" maximized="1" xWindow="-8" yWindow="-8" windowWidth="1936" windowHeight="1056" tabRatio="798" activeSheetId="9"/>
    <customWorkbookView name="Ларионова Галина Владимировна - Личное представление" guid="{E508E171-4ED9-4B07-84DF-DA28C60E1969}" mergeInterval="0" personalView="1" maximized="1" xWindow="-8" yWindow="-8" windowWidth="1696" windowHeight="1026" tabRatio="798" activeSheetId="17"/>
    <customWorkbookView name="Хамадуллина Анастасия Олеговна - Личное представление" guid="{74870EE6-26B9-40F7-9DC9-260EF16D8959}" mergeInterval="0" personalView="1" maximized="1" xWindow="-8" yWindow="-8" windowWidth="1936" windowHeight="1056" tabRatio="798" activeSheetId="5"/>
    <customWorkbookView name="Сорокина Ольга Сергеевна - Личное представление" guid="{009B3074-D8EC-4952-BF50-43CD64449612}" mergeInterval="0" personalView="1" maximized="1" xWindow="-9" yWindow="-9" windowWidth="1938" windowHeight="1050" tabRatio="798" activeSheetId="13"/>
    <customWorkbookView name="Ватаву Рада Вячеславовна - Личное представление" guid="{F679EF4A-C5FD-4B86-B87B-D85968E0F2CA}" mergeInterval="0" personalView="1" maximized="1" xWindow="-8" yWindow="-8" windowWidth="1936" windowHeight="1056" tabRatio="798" activeSheetId="11"/>
    <customWorkbookView name="Крюков Сергей Александрович - Личное представление" guid="{959E901C-5DDE-42EE-AE94-AB8976B5E00B}" mergeInterval="0" personalView="1" maximized="1" xWindow="-8" yWindow="-8" windowWidth="1936" windowHeight="1056" tabRatio="775" activeSheetId="11"/>
    <customWorkbookView name="Смекалин Дмитрий Александрович - Личное представление" guid="{69DABE6F-6182-4403-A4A2-969F10F1C13A}" mergeInterval="0" personalView="1" xWindow="62" windowWidth="1858" windowHeight="1080" tabRatio="798" activeSheetId="4"/>
    <customWorkbookView name="Харченко Ольга Владимировна - Личное представление" guid="{09C3E205-981E-4A4E-BE89-8B7044192060}" mergeInterval="0" personalView="1" maximized="1" xWindow="-8" yWindow="-8" windowWidth="1936" windowHeight="1056" tabRatio="798" activeSheetId="12"/>
    <customWorkbookView name="Цёвка Елена Александровна - Личное представление" guid="{6A602CB8-B24C-4ED4-B378-B27354BE0A1A}" mergeInterval="0" personalView="1" xWindow="960" windowWidth="960" windowHeight="1032" tabRatio="798" activeSheetId="12"/>
    <customWorkbookView name="Тихонова Лариса Анатольевна - Личное представление" guid="{7C130984-112A-4861-AA43-E2940708E3DC}" mergeInterval="0" personalView="1" maximized="1" xWindow="-8" yWindow="-8" windowWidth="1936" windowHeight="1056" tabRatio="798" activeSheetId="8"/>
  </customWorkbookViews>
</workbook>
</file>

<file path=xl/calcChain.xml><?xml version="1.0" encoding="utf-8"?>
<calcChain xmlns="http://schemas.openxmlformats.org/spreadsheetml/2006/main">
  <c r="F314" i="8" l="1"/>
  <c r="B315" i="8"/>
  <c r="AE301" i="8"/>
  <c r="AD301" i="8"/>
  <c r="AC301" i="8"/>
  <c r="AB301" i="8"/>
  <c r="AA301" i="8"/>
  <c r="Z301" i="8"/>
  <c r="Y301" i="8"/>
  <c r="X301" i="8"/>
  <c r="W301" i="8"/>
  <c r="V301" i="8"/>
  <c r="U301" i="8"/>
  <c r="S301" i="8"/>
  <c r="Q301" i="8"/>
  <c r="T301" i="8"/>
  <c r="R301" i="8"/>
  <c r="P301" i="8"/>
  <c r="O301" i="8"/>
  <c r="N301" i="8"/>
  <c r="M301" i="8"/>
  <c r="L301" i="8"/>
  <c r="E301" i="8"/>
  <c r="D301" i="8"/>
  <c r="C301" i="8"/>
  <c r="B301" i="8"/>
  <c r="E165" i="8"/>
  <c r="E162" i="8" s="1"/>
  <c r="E166" i="8"/>
  <c r="E160" i="8"/>
  <c r="AD41" i="8"/>
  <c r="AB41" i="8"/>
  <c r="Z41" i="8"/>
  <c r="X41" i="8"/>
  <c r="V41" i="8"/>
  <c r="T41" i="8"/>
  <c r="R41" i="8"/>
  <c r="P41" i="8"/>
  <c r="O41" i="8"/>
  <c r="N41" i="8"/>
  <c r="M41" i="8"/>
  <c r="L41" i="8"/>
  <c r="E41" i="8"/>
  <c r="D41" i="8"/>
  <c r="C41" i="8"/>
  <c r="C163" i="8"/>
  <c r="C166" i="8"/>
  <c r="C165" i="8"/>
  <c r="C159" i="8" s="1"/>
  <c r="E34" i="8" l="1"/>
  <c r="D34" i="8" s="1"/>
  <c r="C34" i="8"/>
  <c r="B34" i="8"/>
  <c r="AG34" i="8" s="1"/>
  <c r="E33" i="8"/>
  <c r="G33" i="8" s="1"/>
  <c r="D33" i="8"/>
  <c r="C33" i="8"/>
  <c r="B33" i="8"/>
  <c r="AG33" i="8" s="1"/>
  <c r="E32" i="8"/>
  <c r="F32" i="8" s="1"/>
  <c r="D32" i="8"/>
  <c r="D30" i="8" s="1"/>
  <c r="C32" i="8"/>
  <c r="G32" i="8" s="1"/>
  <c r="B32" i="8"/>
  <c r="AG32" i="8" s="1"/>
  <c r="E31" i="8"/>
  <c r="D31" i="8"/>
  <c r="C31" i="8"/>
  <c r="C30" i="8" s="1"/>
  <c r="B31" i="8"/>
  <c r="AE30" i="8"/>
  <c r="AD30" i="8"/>
  <c r="AC30" i="8"/>
  <c r="AB30" i="8"/>
  <c r="AA30" i="8"/>
  <c r="Z30" i="8"/>
  <c r="Y30" i="8"/>
  <c r="X30" i="8"/>
  <c r="W30" i="8"/>
  <c r="V30" i="8"/>
  <c r="U30" i="8"/>
  <c r="T30" i="8"/>
  <c r="S30" i="8"/>
  <c r="R30" i="8"/>
  <c r="Q30" i="8"/>
  <c r="P30" i="8"/>
  <c r="O30" i="8"/>
  <c r="N30" i="8"/>
  <c r="M30" i="8"/>
  <c r="L30" i="8"/>
  <c r="K30" i="8"/>
  <c r="J30" i="8"/>
  <c r="I30" i="8"/>
  <c r="H30" i="8"/>
  <c r="E30" i="8"/>
  <c r="AG29" i="8"/>
  <c r="E28" i="8"/>
  <c r="D28" i="8" s="1"/>
  <c r="C28" i="8"/>
  <c r="B28" i="8"/>
  <c r="AG28" i="8" s="1"/>
  <c r="E27" i="8"/>
  <c r="C27" i="8"/>
  <c r="B27" i="8"/>
  <c r="AG27" i="8" s="1"/>
  <c r="E26" i="8"/>
  <c r="D26" i="8" s="1"/>
  <c r="C26" i="8"/>
  <c r="B26" i="8"/>
  <c r="AG26" i="8" s="1"/>
  <c r="E25" i="8"/>
  <c r="D25" i="8" s="1"/>
  <c r="C25" i="8"/>
  <c r="B25" i="8"/>
  <c r="AE24" i="8"/>
  <c r="AD24" i="8"/>
  <c r="AC24" i="8"/>
  <c r="AB24" i="8"/>
  <c r="AA24" i="8"/>
  <c r="Z24" i="8"/>
  <c r="Y24" i="8"/>
  <c r="X24" i="8"/>
  <c r="W24" i="8"/>
  <c r="V24" i="8"/>
  <c r="U24" i="8"/>
  <c r="T24" i="8"/>
  <c r="S24" i="8"/>
  <c r="R24" i="8"/>
  <c r="Q24" i="8"/>
  <c r="P24" i="8"/>
  <c r="O24" i="8"/>
  <c r="N24" i="8"/>
  <c r="M24" i="8"/>
  <c r="L24" i="8"/>
  <c r="K24" i="8"/>
  <c r="J24" i="8"/>
  <c r="I24" i="8"/>
  <c r="H24" i="8"/>
  <c r="AG23" i="8"/>
  <c r="AG35" i="8"/>
  <c r="AG36" i="8"/>
  <c r="B30" i="8" l="1"/>
  <c r="F30" i="8" s="1"/>
  <c r="AG30" i="8"/>
  <c r="F31" i="8"/>
  <c r="G31" i="8"/>
  <c r="F34" i="8"/>
  <c r="G30" i="8"/>
  <c r="AG31" i="8"/>
  <c r="F33" i="8"/>
  <c r="G34" i="8"/>
  <c r="G26" i="8"/>
  <c r="G25" i="8"/>
  <c r="B24" i="8"/>
  <c r="AG24" i="8" s="1"/>
  <c r="G27" i="8"/>
  <c r="E24" i="8"/>
  <c r="F26" i="8"/>
  <c r="D27" i="8"/>
  <c r="D24" i="8" s="1"/>
  <c r="F25" i="8"/>
  <c r="F28" i="8"/>
  <c r="C24" i="8"/>
  <c r="AG25" i="8"/>
  <c r="F27" i="8"/>
  <c r="G28" i="8"/>
  <c r="F24" i="8" l="1"/>
  <c r="G24" i="8"/>
  <c r="C202" i="8" l="1"/>
  <c r="C278" i="8" l="1"/>
  <c r="C264" i="8"/>
  <c r="C246" i="8"/>
  <c r="C240" i="8"/>
  <c r="C214" i="8"/>
  <c r="C184" i="8"/>
  <c r="C178" i="8"/>
  <c r="C172" i="8"/>
  <c r="C144" i="8"/>
  <c r="C126" i="8"/>
  <c r="C120" i="8"/>
  <c r="C96" i="8"/>
  <c r="C71" i="8"/>
  <c r="C72" i="8"/>
  <c r="C66" i="8"/>
  <c r="C65" i="8"/>
  <c r="C46" i="8"/>
  <c r="C53" i="8"/>
  <c r="C21" i="8"/>
  <c r="C20" i="8"/>
  <c r="C22" i="8"/>
  <c r="C19" i="8"/>
  <c r="N40" i="12" l="1"/>
  <c r="AD40" i="12"/>
  <c r="C40" i="12"/>
  <c r="AD46" i="12"/>
  <c r="C46" i="12"/>
  <c r="N43" i="12"/>
  <c r="C76" i="12"/>
  <c r="C70" i="12"/>
  <c r="C64" i="12"/>
  <c r="C67" i="12"/>
  <c r="O67" i="12"/>
  <c r="C59" i="8"/>
  <c r="C365" i="12" l="1"/>
  <c r="C370" i="12"/>
  <c r="B365" i="12"/>
  <c r="E365" i="12"/>
  <c r="Z76" i="12"/>
  <c r="AD100" i="12"/>
  <c r="J100" i="12"/>
  <c r="H100" i="12"/>
  <c r="C100" i="12"/>
  <c r="C101" i="12"/>
  <c r="R105" i="12"/>
  <c r="N105" i="12"/>
  <c r="C105" i="12"/>
  <c r="C111" i="12"/>
  <c r="C123" i="12"/>
  <c r="AD123" i="12"/>
  <c r="B123" i="12"/>
  <c r="N123" i="12"/>
  <c r="E123" i="12"/>
  <c r="G123" i="12" s="1"/>
  <c r="C92" i="12"/>
  <c r="R76" i="12"/>
  <c r="M73" i="12"/>
  <c r="AH123" i="12" l="1"/>
  <c r="B41" i="8"/>
  <c r="B62" i="8"/>
  <c r="X144" i="8"/>
  <c r="E75" i="12" l="1"/>
  <c r="D75" i="12" s="1"/>
  <c r="C75" i="12"/>
  <c r="B75" i="12"/>
  <c r="E74" i="12"/>
  <c r="D74" i="12" s="1"/>
  <c r="C74" i="12"/>
  <c r="B74" i="12"/>
  <c r="E69" i="12"/>
  <c r="D69" i="12" s="1"/>
  <c r="C69" i="12"/>
  <c r="B69" i="12"/>
  <c r="E68" i="12"/>
  <c r="D68" i="12" s="1"/>
  <c r="C68" i="12"/>
  <c r="B68" i="12"/>
  <c r="E57" i="12"/>
  <c r="D57" i="12" s="1"/>
  <c r="C57" i="12"/>
  <c r="B57" i="12"/>
  <c r="E56" i="12"/>
  <c r="D56" i="12" s="1"/>
  <c r="C56" i="12"/>
  <c r="B56" i="12"/>
  <c r="E51" i="12"/>
  <c r="D51" i="12" s="1"/>
  <c r="C51" i="12"/>
  <c r="B51" i="12"/>
  <c r="E50" i="12"/>
  <c r="D50" i="12" s="1"/>
  <c r="C50" i="12"/>
  <c r="B50" i="12"/>
  <c r="E40" i="12"/>
  <c r="B45" i="12"/>
  <c r="E45" i="12"/>
  <c r="D45" i="12" s="1"/>
  <c r="C45" i="12"/>
  <c r="E44" i="12"/>
  <c r="D44" i="12" s="1"/>
  <c r="C44" i="12"/>
  <c r="B44" i="12"/>
  <c r="AB244" i="12" l="1"/>
  <c r="C244" i="12"/>
  <c r="M250" i="12"/>
  <c r="C250" i="12"/>
  <c r="M280" i="12"/>
  <c r="AD258" i="12"/>
  <c r="B341" i="12"/>
  <c r="P214" i="12"/>
  <c r="B196" i="12"/>
  <c r="AD101" i="12"/>
  <c r="E138" i="12"/>
  <c r="G138" i="12" s="1"/>
  <c r="C138" i="12"/>
  <c r="B138" i="12"/>
  <c r="V136" i="12"/>
  <c r="R70" i="12"/>
  <c r="H70" i="12"/>
  <c r="R283" i="12"/>
  <c r="L283" i="12"/>
  <c r="C289" i="12"/>
  <c r="L34" i="12"/>
  <c r="D138" i="12" l="1"/>
  <c r="F138" i="12"/>
  <c r="E44" i="6"/>
  <c r="E12" i="6"/>
  <c r="E11" i="6"/>
  <c r="K131" i="6" l="1"/>
  <c r="L131" i="6"/>
  <c r="M131" i="6"/>
  <c r="N131" i="6"/>
  <c r="O131" i="6"/>
  <c r="P131" i="6"/>
  <c r="Q131" i="6"/>
  <c r="R131" i="6"/>
  <c r="S131" i="6"/>
  <c r="T131" i="6"/>
  <c r="U131" i="6"/>
  <c r="V131" i="6"/>
  <c r="W131" i="6"/>
  <c r="X131" i="6"/>
  <c r="Y131" i="6"/>
  <c r="Z131" i="6"/>
  <c r="AA131" i="6"/>
  <c r="AB131" i="6"/>
  <c r="AC131" i="6"/>
  <c r="AD131" i="6"/>
  <c r="AE131" i="6"/>
  <c r="J131" i="6"/>
  <c r="C16" i="6" l="1"/>
  <c r="E16" i="6" l="1"/>
  <c r="B117" i="6"/>
  <c r="C117" i="6"/>
  <c r="D90" i="6"/>
  <c r="L80" i="6"/>
  <c r="B81" i="6"/>
  <c r="B20" i="6"/>
  <c r="M102" i="6"/>
  <c r="M101" i="6" s="1"/>
  <c r="M99" i="6" s="1"/>
  <c r="M98" i="6" s="1"/>
  <c r="L102" i="6"/>
  <c r="L101" i="6" s="1"/>
  <c r="L99" i="6" s="1"/>
  <c r="L98" i="6" s="1"/>
  <c r="J102" i="6"/>
  <c r="J101" i="6" s="1"/>
  <c r="J99" i="6" s="1"/>
  <c r="J98" i="6" s="1"/>
  <c r="I98" i="6"/>
  <c r="J80" i="6" l="1"/>
  <c r="P80" i="6"/>
  <c r="Q80" i="6"/>
  <c r="K80" i="6"/>
  <c r="E120" i="6"/>
  <c r="E117" i="6"/>
  <c r="E93" i="6"/>
  <c r="E87" i="6"/>
  <c r="E78" i="6"/>
  <c r="E69" i="6"/>
  <c r="E50" i="6"/>
  <c r="E47" i="6"/>
  <c r="E35" i="6"/>
  <c r="E32" i="6"/>
  <c r="E20" i="6"/>
  <c r="D20" i="6" s="1"/>
  <c r="E19" i="6"/>
  <c r="E13" i="6"/>
  <c r="C87" i="6"/>
  <c r="H81" i="6"/>
  <c r="C69" i="6"/>
  <c r="B69" i="6"/>
  <c r="C50" i="6"/>
  <c r="C19" i="6"/>
  <c r="C93" i="6"/>
  <c r="H80" i="6" l="1"/>
  <c r="C81" i="6"/>
  <c r="G32" i="10"/>
  <c r="A90" i="10"/>
  <c r="E90" i="10"/>
  <c r="F90" i="10"/>
  <c r="G90" i="10"/>
  <c r="C39" i="20" l="1"/>
  <c r="E14" i="4" l="1"/>
  <c r="D14" i="4"/>
  <c r="C14" i="4"/>
  <c r="E53" i="4"/>
  <c r="C53" i="4"/>
  <c r="H53" i="5" l="1"/>
  <c r="B64" i="11"/>
  <c r="E70" i="11"/>
  <c r="C51" i="11"/>
  <c r="AH24" i="11"/>
  <c r="M67" i="11"/>
  <c r="L67" i="11"/>
  <c r="K67" i="11"/>
  <c r="K107" i="11"/>
  <c r="AG29" i="11"/>
  <c r="B28" i="11"/>
  <c r="AG28" i="11" s="1"/>
  <c r="C28" i="11"/>
  <c r="C118" i="11"/>
  <c r="C110" i="11"/>
  <c r="C102" i="11"/>
  <c r="C101" i="11"/>
  <c r="C96" i="11"/>
  <c r="C88" i="11"/>
  <c r="C82" i="11"/>
  <c r="C64" i="11"/>
  <c r="C40" i="11"/>
  <c r="C34" i="11"/>
  <c r="C29" i="11"/>
  <c r="C27" i="11"/>
  <c r="C26" i="11"/>
  <c r="C119" i="11"/>
  <c r="C117" i="11"/>
  <c r="C116" i="11"/>
  <c r="C111" i="11"/>
  <c r="C109" i="11"/>
  <c r="C108" i="11"/>
  <c r="C103" i="11"/>
  <c r="C100" i="11"/>
  <c r="C71" i="11"/>
  <c r="C69" i="11"/>
  <c r="C68" i="11"/>
  <c r="B27" i="11"/>
  <c r="B26" i="11"/>
  <c r="C87" i="10" l="1"/>
  <c r="E87" i="10"/>
  <c r="C81" i="10"/>
  <c r="C61" i="10"/>
  <c r="E61" i="10"/>
  <c r="D61" i="10" s="1"/>
  <c r="E27" i="10"/>
  <c r="E81" i="10"/>
  <c r="AG65" i="5" l="1"/>
  <c r="AG62" i="5"/>
  <c r="AG59" i="5"/>
  <c r="AG58" i="5"/>
  <c r="AG55" i="5"/>
  <c r="AG52" i="5"/>
  <c r="AG49" i="5"/>
  <c r="AG48" i="5"/>
  <c r="AG41" i="5"/>
  <c r="AG38" i="5"/>
  <c r="AG35" i="5"/>
  <c r="AG32" i="5"/>
  <c r="AG23" i="5"/>
  <c r="AG20" i="5"/>
  <c r="AG19" i="5"/>
  <c r="AH83" i="10"/>
  <c r="AH81" i="10"/>
  <c r="AH77" i="10"/>
  <c r="AH64" i="10"/>
  <c r="AH63" i="10"/>
  <c r="AH61" i="10"/>
  <c r="AH44" i="10"/>
  <c r="AH43" i="10"/>
  <c r="AH30" i="10"/>
  <c r="AH29" i="10"/>
  <c r="AH23" i="10"/>
  <c r="AH17" i="10"/>
  <c r="C129" i="16" l="1"/>
  <c r="C122" i="16"/>
  <c r="C121" i="16"/>
  <c r="C120" i="16"/>
  <c r="C117" i="16"/>
  <c r="C116" i="16"/>
  <c r="C115" i="16"/>
  <c r="C112" i="16"/>
  <c r="C111" i="16"/>
  <c r="C110" i="16"/>
  <c r="C107" i="16"/>
  <c r="C106" i="16"/>
  <c r="C105" i="16"/>
  <c r="C102" i="16"/>
  <c r="C101" i="16"/>
  <c r="C100" i="16"/>
  <c r="C97" i="16"/>
  <c r="C96" i="16"/>
  <c r="C95" i="16"/>
  <c r="C92" i="16"/>
  <c r="C91" i="16"/>
  <c r="C90" i="16"/>
  <c r="C87" i="16"/>
  <c r="C86" i="16"/>
  <c r="C85" i="16"/>
  <c r="C82" i="16"/>
  <c r="C81" i="16"/>
  <c r="C80" i="16"/>
  <c r="C77" i="16"/>
  <c r="C76" i="16"/>
  <c r="C75" i="16"/>
  <c r="C72" i="16"/>
  <c r="C71" i="16"/>
  <c r="C70" i="16"/>
  <c r="C57" i="16"/>
  <c r="C56" i="16"/>
  <c r="C55" i="16"/>
  <c r="C47" i="16"/>
  <c r="C46" i="16"/>
  <c r="C45" i="16"/>
  <c r="C27" i="16"/>
  <c r="C24" i="16"/>
  <c r="C21" i="16"/>
  <c r="C15" i="16"/>
  <c r="AG21" i="4"/>
  <c r="AG24" i="4"/>
  <c r="AG27" i="4"/>
  <c r="AG28" i="4"/>
  <c r="AG29" i="4"/>
  <c r="AG32" i="4"/>
  <c r="AG35" i="4"/>
  <c r="AG38" i="4"/>
  <c r="AG42" i="4"/>
  <c r="AG46" i="4"/>
  <c r="AG47" i="4"/>
  <c r="AG48" i="4"/>
  <c r="AG51" i="4"/>
  <c r="AG54" i="4"/>
  <c r="AG57" i="4"/>
  <c r="AH17" i="11"/>
  <c r="AH18" i="11"/>
  <c r="AH29" i="11"/>
  <c r="AH30" i="11"/>
  <c r="AH32" i="11"/>
  <c r="AH33" i="11"/>
  <c r="AH35" i="11"/>
  <c r="AH36" i="11"/>
  <c r="AH38" i="11"/>
  <c r="AH39" i="11"/>
  <c r="AH41" i="11"/>
  <c r="AH42" i="11"/>
  <c r="AH44" i="11"/>
  <c r="AH47" i="11"/>
  <c r="AH48" i="11"/>
  <c r="AH50" i="11"/>
  <c r="AH53" i="11"/>
  <c r="AH54" i="11"/>
  <c r="AH60" i="11"/>
  <c r="AH62" i="11"/>
  <c r="AH63" i="11"/>
  <c r="AH65" i="11"/>
  <c r="AH66" i="11"/>
  <c r="AH72" i="11"/>
  <c r="AH78" i="11"/>
  <c r="AH80" i="11"/>
  <c r="AH81" i="11"/>
  <c r="AH83" i="11"/>
  <c r="AH84" i="11"/>
  <c r="AH86" i="11"/>
  <c r="AH87" i="11"/>
  <c r="AH89" i="11"/>
  <c r="AH90" i="11"/>
  <c r="AH91" i="11"/>
  <c r="AH92" i="11"/>
  <c r="AH98" i="11"/>
  <c r="AH104" i="11"/>
  <c r="AH105" i="11"/>
  <c r="AH106" i="11"/>
  <c r="AH112" i="11"/>
  <c r="AH113" i="11"/>
  <c r="AH114" i="11"/>
  <c r="AH120" i="11"/>
  <c r="AH126" i="11"/>
  <c r="AG84" i="11"/>
  <c r="AG22" i="21"/>
  <c r="AG16" i="21"/>
  <c r="AG17" i="21"/>
  <c r="AG18" i="21"/>
  <c r="AG19" i="21"/>
  <c r="AG20" i="21"/>
  <c r="AG21" i="21"/>
  <c r="AG23" i="21"/>
  <c r="AG24" i="21"/>
  <c r="AG25" i="21"/>
  <c r="AG26" i="21"/>
  <c r="AG27" i="21"/>
  <c r="AG28" i="21"/>
  <c r="AG29" i="21"/>
  <c r="AG30" i="21"/>
  <c r="AG31" i="21"/>
  <c r="AG32" i="21"/>
  <c r="AG33" i="21"/>
  <c r="AG34" i="21"/>
  <c r="AG35" i="21"/>
  <c r="AG36" i="21"/>
  <c r="AG37" i="21"/>
  <c r="AG38" i="21"/>
  <c r="AG39" i="21"/>
  <c r="AG40" i="21"/>
  <c r="AG41" i="21"/>
  <c r="AG42" i="21"/>
  <c r="AG43" i="21"/>
  <c r="AG44" i="21"/>
  <c r="AG45" i="21"/>
  <c r="AG46" i="21"/>
  <c r="AG47" i="21"/>
  <c r="AG48" i="21"/>
  <c r="AG49" i="21"/>
  <c r="AG50" i="21"/>
  <c r="AG51" i="21"/>
  <c r="AG52" i="21"/>
  <c r="AG53" i="21"/>
  <c r="AG54" i="21"/>
  <c r="AG55" i="21"/>
  <c r="AG56" i="21"/>
  <c r="AG57" i="21"/>
  <c r="AG58" i="21"/>
  <c r="AG59" i="21"/>
  <c r="AG60" i="21"/>
  <c r="AG61" i="21"/>
  <c r="AG62" i="21"/>
  <c r="AG63" i="21"/>
  <c r="AG64" i="21"/>
  <c r="AG65" i="21"/>
  <c r="AG66" i="21"/>
  <c r="AG67" i="21"/>
  <c r="AG68" i="21"/>
  <c r="AG69" i="21"/>
  <c r="AG70" i="21"/>
  <c r="AG71" i="21"/>
  <c r="AG72" i="21"/>
  <c r="AG73" i="21"/>
  <c r="AG74" i="21"/>
  <c r="AG75" i="21"/>
  <c r="AG76" i="21"/>
  <c r="AG77" i="21"/>
  <c r="AG78" i="21"/>
  <c r="AG79" i="21"/>
  <c r="AG80" i="21"/>
  <c r="AG81" i="21"/>
  <c r="AG82" i="21"/>
  <c r="AG83" i="21"/>
  <c r="AG84" i="21"/>
  <c r="AG85" i="21"/>
  <c r="AG86" i="21"/>
  <c r="AG87" i="21"/>
  <c r="AG88" i="21"/>
  <c r="AG89" i="21"/>
  <c r="AG90" i="21"/>
  <c r="AG91" i="21"/>
  <c r="AG92" i="21"/>
  <c r="AG93" i="21"/>
  <c r="AG94" i="21"/>
  <c r="AG95" i="21"/>
  <c r="AG96" i="21"/>
  <c r="AG97" i="21"/>
  <c r="AG98" i="21"/>
  <c r="AG99" i="21"/>
  <c r="AG100" i="21"/>
  <c r="AG101" i="21"/>
  <c r="AG102" i="21"/>
  <c r="AG103" i="21"/>
  <c r="AG104" i="21"/>
  <c r="AG105" i="21"/>
  <c r="AG106" i="21"/>
  <c r="AG107" i="21"/>
  <c r="AG108" i="21"/>
  <c r="AG109" i="21"/>
  <c r="AG9" i="21"/>
  <c r="AG10" i="21"/>
  <c r="AG11" i="21"/>
  <c r="AG12" i="21"/>
  <c r="AG13" i="21"/>
  <c r="AG14" i="21"/>
  <c r="AG15" i="21"/>
  <c r="AG8" i="21"/>
  <c r="C183" i="12" l="1"/>
  <c r="D183" i="12" s="1"/>
  <c r="C103" i="15" l="1"/>
  <c r="C51" i="5"/>
  <c r="E15" i="2" l="1"/>
  <c r="C15" i="2"/>
  <c r="C120" i="6" l="1"/>
  <c r="C47" i="6"/>
  <c r="C20" i="6"/>
  <c r="C13" i="6"/>
  <c r="C56" i="6" s="1"/>
  <c r="C12" i="6"/>
  <c r="C11" i="6"/>
  <c r="C54" i="6" l="1"/>
  <c r="C131" i="6"/>
  <c r="C136" i="6" s="1"/>
  <c r="C10" i="6"/>
  <c r="Z18" i="6"/>
  <c r="H29" i="6" l="1"/>
  <c r="I29" i="6"/>
  <c r="J29" i="6"/>
  <c r="K29" i="6"/>
  <c r="L29" i="6"/>
  <c r="M29" i="6"/>
  <c r="N29" i="6"/>
  <c r="O29" i="6"/>
  <c r="P29" i="6"/>
  <c r="Q29" i="6"/>
  <c r="R29" i="6"/>
  <c r="S29" i="6"/>
  <c r="T29" i="6"/>
  <c r="U29" i="6"/>
  <c r="V29" i="6"/>
  <c r="W29" i="6"/>
  <c r="X29" i="6"/>
  <c r="Y29" i="6"/>
  <c r="Z29" i="6"/>
  <c r="AA29" i="6"/>
  <c r="AB29" i="6"/>
  <c r="AC29" i="6"/>
  <c r="AC23" i="6"/>
  <c r="AD23" i="6"/>
  <c r="AE23" i="6"/>
  <c r="Q23" i="6"/>
  <c r="R23" i="6"/>
  <c r="S23" i="6"/>
  <c r="T23" i="6"/>
  <c r="U23" i="6"/>
  <c r="V23" i="6"/>
  <c r="W23" i="6"/>
  <c r="X23" i="6"/>
  <c r="Y23" i="6"/>
  <c r="Z23" i="6"/>
  <c r="AA23" i="6"/>
  <c r="AB23" i="6"/>
  <c r="H23" i="6"/>
  <c r="I23" i="6"/>
  <c r="J23" i="6"/>
  <c r="K23" i="6"/>
  <c r="L23" i="6"/>
  <c r="M23" i="6"/>
  <c r="N23" i="6"/>
  <c r="O23" i="6"/>
  <c r="H38" i="6"/>
  <c r="I38" i="6"/>
  <c r="J38" i="6"/>
  <c r="K38" i="6"/>
  <c r="L38" i="6"/>
  <c r="M38" i="6"/>
  <c r="N38" i="6"/>
  <c r="O38" i="6"/>
  <c r="D38" i="6"/>
  <c r="L44" i="6"/>
  <c r="M44" i="6"/>
  <c r="N44" i="6"/>
  <c r="O44" i="6"/>
  <c r="P44" i="6"/>
  <c r="Q44" i="6"/>
  <c r="R44" i="6"/>
  <c r="S44" i="6"/>
  <c r="T44" i="6"/>
  <c r="U44" i="6"/>
  <c r="V44" i="6"/>
  <c r="W44" i="6"/>
  <c r="X44" i="6"/>
  <c r="Y44" i="6"/>
  <c r="Z44" i="6"/>
  <c r="AA44" i="6"/>
  <c r="AB44" i="6"/>
  <c r="AC44" i="6"/>
  <c r="H75" i="6"/>
  <c r="I75" i="6"/>
  <c r="J75" i="6"/>
  <c r="K75" i="6"/>
  <c r="L75" i="6"/>
  <c r="M75" i="6"/>
  <c r="N75" i="6"/>
  <c r="O75" i="6"/>
  <c r="AA96" i="6"/>
  <c r="D96" i="6" s="1"/>
  <c r="AB96" i="6"/>
  <c r="AC96" i="6"/>
  <c r="AD96" i="6"/>
  <c r="AE96" i="6"/>
  <c r="H96" i="6"/>
  <c r="I96" i="6"/>
  <c r="J96" i="6"/>
  <c r="K96" i="6"/>
  <c r="L96" i="6"/>
  <c r="M96" i="6"/>
  <c r="N96" i="6"/>
  <c r="O96" i="6"/>
  <c r="P96" i="6"/>
  <c r="Q96" i="6"/>
  <c r="R96" i="6"/>
  <c r="S96" i="6"/>
  <c r="T96" i="6"/>
  <c r="U96" i="6"/>
  <c r="V96" i="6"/>
  <c r="W96" i="6"/>
  <c r="X96" i="6"/>
  <c r="Y96" i="6"/>
  <c r="D93" i="6"/>
  <c r="U90" i="6"/>
  <c r="S90" i="6"/>
  <c r="H90" i="6"/>
  <c r="C90" i="6" s="1"/>
  <c r="I90" i="6"/>
  <c r="E90" i="6" s="1"/>
  <c r="D87" i="6"/>
  <c r="AD86" i="6"/>
  <c r="AB84" i="6"/>
  <c r="AC84" i="6"/>
  <c r="AD84" i="6"/>
  <c r="AE84" i="6"/>
  <c r="I84" i="6"/>
  <c r="J84" i="6"/>
  <c r="K84" i="6"/>
  <c r="L84" i="6"/>
  <c r="M84" i="6"/>
  <c r="N84" i="6"/>
  <c r="O84" i="6"/>
  <c r="P84" i="6"/>
  <c r="Q84" i="6"/>
  <c r="R84" i="6"/>
  <c r="S84" i="6"/>
  <c r="T84" i="6"/>
  <c r="U84" i="6"/>
  <c r="V84" i="6"/>
  <c r="W84" i="6"/>
  <c r="X84" i="6"/>
  <c r="Y84" i="6"/>
  <c r="H84" i="6"/>
  <c r="C84" i="6" s="1"/>
  <c r="I81" i="6"/>
  <c r="S81" i="6"/>
  <c r="S80" i="6" s="1"/>
  <c r="T81" i="6"/>
  <c r="T80" i="6" s="1"/>
  <c r="U81" i="6"/>
  <c r="U80" i="6" s="1"/>
  <c r="V81" i="6"/>
  <c r="V80" i="6" s="1"/>
  <c r="W81" i="6"/>
  <c r="W80" i="6" s="1"/>
  <c r="X81" i="6"/>
  <c r="X80" i="6" s="1"/>
  <c r="Y81" i="6"/>
  <c r="Y80" i="6" s="1"/>
  <c r="Z81" i="6"/>
  <c r="Z80" i="6" s="1"/>
  <c r="AA81" i="6"/>
  <c r="AA80" i="6" s="1"/>
  <c r="AB81" i="6"/>
  <c r="AB80" i="6" s="1"/>
  <c r="AC81" i="6"/>
  <c r="AC80" i="6" s="1"/>
  <c r="AD81" i="6"/>
  <c r="AD80" i="6" s="1"/>
  <c r="AE81" i="6"/>
  <c r="AE80" i="6" s="1"/>
  <c r="R81" i="6"/>
  <c r="R80" i="6" s="1"/>
  <c r="N81" i="6"/>
  <c r="N80" i="6" s="1"/>
  <c r="O81" i="6"/>
  <c r="O80" i="6" s="1"/>
  <c r="M81" i="6"/>
  <c r="M68" i="6"/>
  <c r="N68" i="6"/>
  <c r="O68" i="6"/>
  <c r="P68" i="6"/>
  <c r="Q68" i="6"/>
  <c r="R68" i="6"/>
  <c r="S68" i="6"/>
  <c r="T68" i="6"/>
  <c r="U68" i="6"/>
  <c r="V68" i="6"/>
  <c r="W68" i="6"/>
  <c r="X68" i="6"/>
  <c r="Y68" i="6"/>
  <c r="Z68" i="6"/>
  <c r="AA68" i="6"/>
  <c r="AB68" i="6"/>
  <c r="AC68" i="6"/>
  <c r="AD68" i="6"/>
  <c r="AE68" i="6"/>
  <c r="D69" i="6"/>
  <c r="D35" i="6"/>
  <c r="B34" i="6"/>
  <c r="I34" i="6"/>
  <c r="J34" i="6"/>
  <c r="K34" i="6"/>
  <c r="L34" i="6"/>
  <c r="M34" i="6"/>
  <c r="N34" i="6"/>
  <c r="C35" i="6" s="1"/>
  <c r="O34" i="6"/>
  <c r="P34" i="6"/>
  <c r="Q34" i="6"/>
  <c r="R34" i="6"/>
  <c r="S34" i="6"/>
  <c r="T34" i="6"/>
  <c r="U34" i="6"/>
  <c r="V34" i="6"/>
  <c r="W34" i="6"/>
  <c r="X34" i="6"/>
  <c r="Y34" i="6"/>
  <c r="Z34" i="6"/>
  <c r="H34" i="6"/>
  <c r="AA34" i="6"/>
  <c r="AB34" i="6"/>
  <c r="AC34" i="6"/>
  <c r="AD34" i="6"/>
  <c r="AE34" i="6"/>
  <c r="V74" i="6"/>
  <c r="D19" i="2"/>
  <c r="C51" i="2"/>
  <c r="C48" i="2"/>
  <c r="C34" i="2"/>
  <c r="C31" i="2"/>
  <c r="C28" i="2"/>
  <c r="C27" i="2"/>
  <c r="C24" i="2"/>
  <c r="C23" i="2"/>
  <c r="C16" i="2"/>
  <c r="E137" i="12"/>
  <c r="D137" i="12" s="1"/>
  <c r="C137" i="12"/>
  <c r="B137" i="12"/>
  <c r="C44" i="6" l="1"/>
  <c r="C41" i="6" s="1"/>
  <c r="C40" i="6" s="1"/>
  <c r="M80" i="6"/>
  <c r="D81" i="6"/>
  <c r="E75" i="6"/>
  <c r="E72" i="6" s="1"/>
  <c r="B38" i="6"/>
  <c r="C23" i="6"/>
  <c r="C130" i="6" s="1"/>
  <c r="E29" i="6"/>
  <c r="I80" i="6"/>
  <c r="E81" i="6"/>
  <c r="AG82" i="6" s="1"/>
  <c r="E84" i="6"/>
  <c r="E96" i="6"/>
  <c r="C75" i="6"/>
  <c r="E38" i="6"/>
  <c r="E23" i="6"/>
  <c r="D23" i="6"/>
  <c r="D75" i="6"/>
  <c r="D84" i="6"/>
  <c r="F137" i="12"/>
  <c r="C34" i="6"/>
  <c r="G137" i="12"/>
  <c r="E80" i="6" l="1"/>
  <c r="D120" i="6"/>
  <c r="C14" i="13" l="1"/>
  <c r="D14" i="13"/>
  <c r="E14" i="13"/>
  <c r="C330" i="12"/>
  <c r="C135" i="12"/>
  <c r="D50" i="4"/>
  <c r="D49" i="4" s="1"/>
  <c r="C50" i="4"/>
  <c r="E50" i="4"/>
  <c r="E37" i="4"/>
  <c r="D37" i="4"/>
  <c r="C37" i="4"/>
  <c r="AG37" i="4" s="1"/>
  <c r="E117" i="12"/>
  <c r="G117" i="12" s="1"/>
  <c r="AG50" i="4" l="1"/>
  <c r="C325" i="12"/>
  <c r="Z317" i="12"/>
  <c r="C317" i="12"/>
  <c r="X318" i="12"/>
  <c r="C318" i="12"/>
  <c r="E318" i="12"/>
  <c r="Z319" i="12"/>
  <c r="C319" i="12"/>
  <c r="C295" i="12"/>
  <c r="E283" i="12"/>
  <c r="D283" i="12" s="1"/>
  <c r="E182" i="12"/>
  <c r="C181" i="12"/>
  <c r="D181" i="12" s="1"/>
  <c r="C171" i="12"/>
  <c r="E171" i="12"/>
  <c r="D171" i="12" s="1"/>
  <c r="L136" i="12"/>
  <c r="C136" i="12" s="1"/>
  <c r="AD136" i="12"/>
  <c r="C56" i="4" l="1"/>
  <c r="C59" i="4" s="1"/>
  <c r="AG53" i="4"/>
  <c r="B182" i="12"/>
  <c r="C182" i="12"/>
  <c r="G182" i="12" s="1"/>
  <c r="G318" i="12"/>
  <c r="B40" i="5"/>
  <c r="D11" i="5"/>
  <c r="E25" i="5"/>
  <c r="E40" i="5"/>
  <c r="C40" i="5"/>
  <c r="C37" i="5"/>
  <c r="E37" i="5"/>
  <c r="B37" i="5"/>
  <c r="D31" i="5"/>
  <c r="D25" i="5"/>
  <c r="D37" i="5" l="1"/>
  <c r="AG37" i="5"/>
  <c r="D40" i="5"/>
  <c r="AG40" i="5"/>
  <c r="C31" i="5"/>
  <c r="E31" i="5"/>
  <c r="C25" i="5"/>
  <c r="AG25" i="5" s="1"/>
  <c r="C11" i="5"/>
  <c r="E11" i="5"/>
  <c r="E10" i="5" s="1"/>
  <c r="C14" i="5" l="1"/>
  <c r="AG11" i="5"/>
  <c r="AG9" i="5" s="1"/>
  <c r="AG31" i="5"/>
  <c r="Z111" i="12"/>
  <c r="R111" i="12"/>
  <c r="H111" i="12"/>
  <c r="C89" i="12"/>
  <c r="B101" i="12"/>
  <c r="E101" i="12"/>
  <c r="E111" i="12"/>
  <c r="D111" i="12" s="1"/>
  <c r="C117" i="12"/>
  <c r="AH117" i="12" s="1"/>
  <c r="J123" i="12"/>
  <c r="H87" i="12" l="1"/>
  <c r="H81" i="12" s="1"/>
  <c r="F101" i="12"/>
  <c r="D101" i="12"/>
  <c r="G101" i="12"/>
  <c r="C133" i="19" l="1"/>
  <c r="C127" i="19"/>
  <c r="C108" i="19"/>
  <c r="C96" i="19"/>
  <c r="C90" i="19"/>
  <c r="C84" i="19"/>
  <c r="C78" i="19"/>
  <c r="C72" i="19"/>
  <c r="C66" i="19"/>
  <c r="C48" i="19"/>
  <c r="C49" i="19"/>
  <c r="C50" i="19"/>
  <c r="C47" i="19"/>
  <c r="C42" i="19"/>
  <c r="C43" i="19"/>
  <c r="C44" i="19"/>
  <c r="C41" i="19"/>
  <c r="C36" i="19"/>
  <c r="C38" i="19"/>
  <c r="C35" i="19"/>
  <c r="C30" i="19"/>
  <c r="C24" i="19"/>
  <c r="C26" i="19"/>
  <c r="C23" i="19"/>
  <c r="C12" i="19"/>
  <c r="E12" i="19"/>
  <c r="D52" i="18" l="1"/>
  <c r="D51" i="18"/>
  <c r="D50" i="18"/>
  <c r="D49" i="18"/>
  <c r="E50" i="18"/>
  <c r="E49" i="18"/>
  <c r="D32" i="18"/>
  <c r="D31" i="18"/>
  <c r="D30" i="18"/>
  <c r="E32" i="18"/>
  <c r="E31" i="18"/>
  <c r="E30" i="18"/>
  <c r="E29" i="18"/>
  <c r="D15" i="18"/>
  <c r="D12" i="18"/>
  <c r="D29" i="18"/>
  <c r="C32" i="18"/>
  <c r="C31" i="18"/>
  <c r="C30" i="18"/>
  <c r="C29" i="18"/>
  <c r="C12" i="18"/>
  <c r="C15" i="18"/>
  <c r="J9" i="18"/>
  <c r="D48" i="18" l="1"/>
  <c r="C52" i="18"/>
  <c r="C51" i="18"/>
  <c r="C50" i="18"/>
  <c r="C49" i="18"/>
  <c r="C48" i="18" l="1"/>
  <c r="M58" i="10"/>
  <c r="M57" i="10" s="1"/>
  <c r="C27" i="10"/>
  <c r="AH27" i="10" s="1"/>
  <c r="E55" i="10"/>
  <c r="C55" i="10"/>
  <c r="AH87" i="10"/>
  <c r="M84" i="10"/>
  <c r="M78" i="10"/>
  <c r="E75" i="10"/>
  <c r="C75" i="10"/>
  <c r="K71" i="10"/>
  <c r="M72" i="10"/>
  <c r="M71" i="10" s="1"/>
  <c r="M52" i="10"/>
  <c r="M51" i="10" s="1"/>
  <c r="M32" i="10"/>
  <c r="M31" i="10" s="1"/>
  <c r="M38" i="10"/>
  <c r="M37" i="10" s="1"/>
  <c r="M24" i="10"/>
  <c r="M18" i="10"/>
  <c r="AH75" i="10" l="1"/>
  <c r="AH55" i="10"/>
  <c r="AD76" i="12"/>
  <c r="D40" i="12"/>
  <c r="E46" i="12"/>
  <c r="D46" i="12" s="1"/>
  <c r="C49" i="17"/>
  <c r="AI100" i="10" l="1"/>
  <c r="C91" i="12"/>
  <c r="G46" i="12"/>
  <c r="G40" i="12"/>
  <c r="E24" i="3" l="1"/>
  <c r="D24" i="3" s="1"/>
  <c r="D28" i="3" s="1"/>
  <c r="C24" i="3"/>
  <c r="C28" i="3" s="1"/>
  <c r="C21" i="3"/>
  <c r="B21" i="3"/>
  <c r="B20" i="3" s="1"/>
  <c r="C18" i="3"/>
  <c r="C17" i="3" s="1"/>
  <c r="B18" i="3"/>
  <c r="B17" i="3" s="1"/>
  <c r="E21" i="3"/>
  <c r="D21" i="3" s="1"/>
  <c r="E18" i="3"/>
  <c r="D18" i="3" s="1"/>
  <c r="B15" i="3"/>
  <c r="B12" i="3" s="1"/>
  <c r="B11" i="3" s="1"/>
  <c r="E15" i="3"/>
  <c r="D15" i="3" s="1"/>
  <c r="D14" i="3" s="1"/>
  <c r="C15" i="3"/>
  <c r="C14" i="3" s="1"/>
  <c r="C23" i="3" l="1"/>
  <c r="C36" i="3"/>
  <c r="C40" i="3" s="1"/>
  <c r="C32" i="3"/>
  <c r="E28" i="3"/>
  <c r="B14" i="3"/>
  <c r="K74" i="9"/>
  <c r="K73" i="9" s="1"/>
  <c r="K68" i="9"/>
  <c r="K67" i="9" s="1"/>
  <c r="K62" i="9"/>
  <c r="K61" i="9" s="1"/>
  <c r="K56" i="9"/>
  <c r="K55" i="9" s="1"/>
  <c r="K50" i="9"/>
  <c r="K49" i="9" s="1"/>
  <c r="K44" i="9"/>
  <c r="K43" i="9" s="1"/>
  <c r="K38" i="9"/>
  <c r="K37" i="9" s="1"/>
  <c r="K26" i="9"/>
  <c r="K25" i="9" s="1"/>
  <c r="K20" i="9"/>
  <c r="K19" i="9" s="1"/>
  <c r="K12" i="9"/>
  <c r="K11" i="9" s="1"/>
  <c r="I52" i="4" l="1"/>
  <c r="I34" i="12"/>
  <c r="J34" i="12"/>
  <c r="K34" i="12"/>
  <c r="M34" i="12"/>
  <c r="N34" i="12"/>
  <c r="O34" i="12"/>
  <c r="P34" i="12"/>
  <c r="Q34" i="12"/>
  <c r="R34" i="12"/>
  <c r="S34" i="12"/>
  <c r="T34" i="12"/>
  <c r="U34" i="12"/>
  <c r="V34" i="12"/>
  <c r="W34" i="12"/>
  <c r="X34" i="12"/>
  <c r="Y34" i="12"/>
  <c r="Z34" i="12"/>
  <c r="AA34" i="12"/>
  <c r="AB34" i="12"/>
  <c r="AC34" i="12"/>
  <c r="AE34" i="12"/>
  <c r="AF34" i="12"/>
  <c r="H34" i="12"/>
  <c r="I55" i="12"/>
  <c r="J55" i="12"/>
  <c r="K55" i="12"/>
  <c r="L55" i="12"/>
  <c r="M55" i="12"/>
  <c r="N55" i="12"/>
  <c r="O55" i="12"/>
  <c r="P55" i="12"/>
  <c r="Q55" i="12"/>
  <c r="R55" i="12"/>
  <c r="S55" i="12"/>
  <c r="T55" i="12"/>
  <c r="U55" i="12"/>
  <c r="V55" i="12"/>
  <c r="W55" i="12"/>
  <c r="X55" i="12"/>
  <c r="Y55" i="12"/>
  <c r="Z55" i="12"/>
  <c r="AA55" i="12"/>
  <c r="AB55" i="12"/>
  <c r="AC55" i="12"/>
  <c r="AD55" i="12"/>
  <c r="AE55" i="12"/>
  <c r="AF55" i="12"/>
  <c r="H55" i="12"/>
  <c r="E58" i="12"/>
  <c r="D58" i="12" s="1"/>
  <c r="D55" i="12" s="1"/>
  <c r="C58" i="12"/>
  <c r="C55" i="12" s="1"/>
  <c r="B58" i="12"/>
  <c r="D17" i="3"/>
  <c r="E17" i="3"/>
  <c r="E12" i="3"/>
  <c r="C34" i="12" l="1"/>
  <c r="D12" i="3"/>
  <c r="D27" i="3" s="1"/>
  <c r="E27" i="3"/>
  <c r="F58" i="12"/>
  <c r="G58" i="12"/>
  <c r="E55" i="12"/>
  <c r="G55" i="12" s="1"/>
  <c r="B55" i="12"/>
  <c r="D11" i="3"/>
  <c r="D23" i="3"/>
  <c r="N14" i="3"/>
  <c r="F55" i="12" l="1"/>
  <c r="C102" i="15"/>
  <c r="C104" i="15"/>
  <c r="C101" i="15"/>
  <c r="C96" i="15"/>
  <c r="C97" i="15"/>
  <c r="C98" i="15"/>
  <c r="C99" i="15"/>
  <c r="C95" i="15"/>
  <c r="C90" i="15"/>
  <c r="C91" i="15"/>
  <c r="C92" i="15"/>
  <c r="C93" i="15"/>
  <c r="C89" i="15"/>
  <c r="C76" i="15"/>
  <c r="C77" i="15"/>
  <c r="C78" i="15"/>
  <c r="C75" i="15"/>
  <c r="C70" i="15"/>
  <c r="C71" i="15"/>
  <c r="C72" i="15"/>
  <c r="C69" i="15"/>
  <c r="C63" i="15"/>
  <c r="C64" i="15"/>
  <c r="C65" i="15"/>
  <c r="C66" i="15"/>
  <c r="C62" i="15"/>
  <c r="C54" i="15"/>
  <c r="C55" i="15"/>
  <c r="C56" i="15"/>
  <c r="C57" i="15"/>
  <c r="C53" i="15"/>
  <c r="C41" i="15"/>
  <c r="C42" i="15"/>
  <c r="C43" i="15"/>
  <c r="C44" i="15"/>
  <c r="C40" i="15"/>
  <c r="C34" i="15"/>
  <c r="C35" i="15"/>
  <c r="C36" i="15"/>
  <c r="C37" i="15"/>
  <c r="C33" i="15"/>
  <c r="C27" i="15"/>
  <c r="C28" i="15"/>
  <c r="C29" i="15"/>
  <c r="C30" i="15"/>
  <c r="C26" i="15"/>
  <c r="I121" i="15" l="1"/>
  <c r="J121" i="15"/>
  <c r="K121" i="15"/>
  <c r="L121" i="15"/>
  <c r="M121" i="15"/>
  <c r="N121" i="15"/>
  <c r="O121" i="15"/>
  <c r="P121" i="15"/>
  <c r="Q121" i="15"/>
  <c r="R121" i="15"/>
  <c r="S121" i="15"/>
  <c r="T121" i="15"/>
  <c r="U121" i="15"/>
  <c r="V121" i="15"/>
  <c r="W121" i="15"/>
  <c r="X121" i="15"/>
  <c r="Y121" i="15"/>
  <c r="Z121" i="15"/>
  <c r="AA121" i="15"/>
  <c r="AB121" i="15"/>
  <c r="AC121" i="15"/>
  <c r="AD121" i="15"/>
  <c r="AE121" i="15"/>
  <c r="H121" i="15"/>
  <c r="I119" i="15"/>
  <c r="J119" i="15"/>
  <c r="K119" i="15"/>
  <c r="L119" i="15"/>
  <c r="M119" i="15"/>
  <c r="N119" i="15"/>
  <c r="O119" i="15"/>
  <c r="P119" i="15"/>
  <c r="Q119" i="15"/>
  <c r="R119" i="15"/>
  <c r="S119" i="15"/>
  <c r="T119" i="15"/>
  <c r="U119" i="15"/>
  <c r="V119" i="15"/>
  <c r="W119" i="15"/>
  <c r="X119" i="15"/>
  <c r="Y119" i="15"/>
  <c r="Z119" i="15"/>
  <c r="AA119" i="15"/>
  <c r="AB119" i="15"/>
  <c r="AC119" i="15"/>
  <c r="AD119" i="15"/>
  <c r="AE119" i="15"/>
  <c r="H119" i="15"/>
  <c r="I118" i="15"/>
  <c r="J118" i="15"/>
  <c r="K118" i="15"/>
  <c r="L118" i="15"/>
  <c r="M118" i="15"/>
  <c r="N118" i="15"/>
  <c r="O118" i="15"/>
  <c r="P118" i="15"/>
  <c r="Q118" i="15"/>
  <c r="R118" i="15"/>
  <c r="S118" i="15"/>
  <c r="T118" i="15"/>
  <c r="U118" i="15"/>
  <c r="V118" i="15"/>
  <c r="W118" i="15"/>
  <c r="X118" i="15"/>
  <c r="Y118" i="15"/>
  <c r="Z118" i="15"/>
  <c r="AA118" i="15"/>
  <c r="AB118" i="15"/>
  <c r="AC118" i="15"/>
  <c r="AD118" i="15"/>
  <c r="AE118" i="15"/>
  <c r="H118" i="15"/>
  <c r="I117" i="15"/>
  <c r="J117" i="15"/>
  <c r="J116" i="15" s="1"/>
  <c r="K117" i="15"/>
  <c r="L117" i="15"/>
  <c r="L116" i="15" s="1"/>
  <c r="M117" i="15"/>
  <c r="M116" i="15" s="1"/>
  <c r="N117" i="15"/>
  <c r="N116" i="15" s="1"/>
  <c r="O117" i="15"/>
  <c r="O116" i="15" s="1"/>
  <c r="P117" i="15"/>
  <c r="Q117" i="15"/>
  <c r="R117" i="15"/>
  <c r="R116" i="15" s="1"/>
  <c r="S117" i="15"/>
  <c r="S116" i="15" s="1"/>
  <c r="T117" i="15"/>
  <c r="T116" i="15" s="1"/>
  <c r="U117" i="15"/>
  <c r="U116" i="15" s="1"/>
  <c r="V117" i="15"/>
  <c r="V116" i="15" s="1"/>
  <c r="W117" i="15"/>
  <c r="W116" i="15" s="1"/>
  <c r="X117" i="15"/>
  <c r="Y117" i="15"/>
  <c r="Y116" i="15" s="1"/>
  <c r="Z117" i="15"/>
  <c r="Z116" i="15" s="1"/>
  <c r="AA117" i="15"/>
  <c r="AA116" i="15" s="1"/>
  <c r="AB117" i="15"/>
  <c r="AC117" i="15"/>
  <c r="AD117" i="15"/>
  <c r="AE117" i="15"/>
  <c r="AE116" i="15" s="1"/>
  <c r="I110" i="15"/>
  <c r="J110" i="15"/>
  <c r="K110" i="15"/>
  <c r="L110" i="15"/>
  <c r="M110" i="15"/>
  <c r="N110" i="15"/>
  <c r="O110" i="15"/>
  <c r="P110" i="15"/>
  <c r="Q110" i="15"/>
  <c r="R110" i="15"/>
  <c r="S110" i="15"/>
  <c r="T110" i="15"/>
  <c r="U110" i="15"/>
  <c r="V110" i="15"/>
  <c r="W110" i="15"/>
  <c r="X110" i="15"/>
  <c r="Y110" i="15"/>
  <c r="Z110" i="15"/>
  <c r="AA110" i="15"/>
  <c r="AB110" i="15"/>
  <c r="AC110" i="15"/>
  <c r="AD110" i="15"/>
  <c r="AE110" i="15"/>
  <c r="I109" i="15"/>
  <c r="J109" i="15"/>
  <c r="K109" i="15"/>
  <c r="L109" i="15"/>
  <c r="M109" i="15"/>
  <c r="N109" i="15"/>
  <c r="O109" i="15"/>
  <c r="P109" i="15"/>
  <c r="Q109" i="15"/>
  <c r="R109" i="15"/>
  <c r="S109" i="15"/>
  <c r="T109" i="15"/>
  <c r="U109" i="15"/>
  <c r="V109" i="15"/>
  <c r="W109" i="15"/>
  <c r="X109" i="15"/>
  <c r="Y109" i="15"/>
  <c r="Z109" i="15"/>
  <c r="AA109" i="15"/>
  <c r="AB109" i="15"/>
  <c r="AC109" i="15"/>
  <c r="AD109" i="15"/>
  <c r="AE109" i="15"/>
  <c r="I108" i="15"/>
  <c r="J108" i="15"/>
  <c r="K108" i="15"/>
  <c r="L108" i="15"/>
  <c r="M108" i="15"/>
  <c r="N108" i="15"/>
  <c r="O108" i="15"/>
  <c r="P108" i="15"/>
  <c r="Q108" i="15"/>
  <c r="R108" i="15"/>
  <c r="S108" i="15"/>
  <c r="T108" i="15"/>
  <c r="U108" i="15"/>
  <c r="V108" i="15"/>
  <c r="W108" i="15"/>
  <c r="X108" i="15"/>
  <c r="Y108" i="15"/>
  <c r="Z108" i="15"/>
  <c r="AA108" i="15"/>
  <c r="AB108" i="15"/>
  <c r="AC108" i="15"/>
  <c r="AD108" i="15"/>
  <c r="AE108" i="15"/>
  <c r="I107" i="15"/>
  <c r="J107" i="15"/>
  <c r="K107" i="15"/>
  <c r="L107" i="15"/>
  <c r="M107" i="15"/>
  <c r="N107" i="15"/>
  <c r="O107" i="15"/>
  <c r="P107" i="15"/>
  <c r="Q107" i="15"/>
  <c r="R107" i="15"/>
  <c r="S107" i="15"/>
  <c r="T107" i="15"/>
  <c r="U107" i="15"/>
  <c r="V107" i="15"/>
  <c r="W107" i="15"/>
  <c r="X107" i="15"/>
  <c r="Y107" i="15"/>
  <c r="Z107" i="15"/>
  <c r="AA107" i="15"/>
  <c r="AB107" i="15"/>
  <c r="AC107" i="15"/>
  <c r="AD107" i="15"/>
  <c r="AE107" i="15"/>
  <c r="I106" i="15"/>
  <c r="J106" i="15"/>
  <c r="K106" i="15"/>
  <c r="L106" i="15"/>
  <c r="M106" i="15"/>
  <c r="N106" i="15"/>
  <c r="O106" i="15"/>
  <c r="P106" i="15"/>
  <c r="Q106" i="15"/>
  <c r="R106" i="15"/>
  <c r="S106" i="15"/>
  <c r="T106" i="15"/>
  <c r="U106" i="15"/>
  <c r="V106" i="15"/>
  <c r="W106" i="15"/>
  <c r="X106" i="15"/>
  <c r="Y106" i="15"/>
  <c r="Z106" i="15"/>
  <c r="AA106" i="15"/>
  <c r="AB106" i="15"/>
  <c r="AC106" i="15"/>
  <c r="AD106" i="15"/>
  <c r="AE106" i="15"/>
  <c r="H110" i="15"/>
  <c r="C109" i="15"/>
  <c r="H109" i="15"/>
  <c r="H108" i="15"/>
  <c r="H107" i="15"/>
  <c r="H106" i="15"/>
  <c r="I120" i="15"/>
  <c r="J120" i="15"/>
  <c r="K120" i="15"/>
  <c r="L120" i="15"/>
  <c r="M120" i="15"/>
  <c r="N120" i="15"/>
  <c r="O120" i="15"/>
  <c r="P120" i="15"/>
  <c r="Q120" i="15"/>
  <c r="R120" i="15"/>
  <c r="S120" i="15"/>
  <c r="T120" i="15"/>
  <c r="U120" i="15"/>
  <c r="V120" i="15"/>
  <c r="W120" i="15"/>
  <c r="X120" i="15"/>
  <c r="Y120" i="15"/>
  <c r="Z120" i="15"/>
  <c r="AA120" i="15"/>
  <c r="AB120" i="15"/>
  <c r="AC120" i="15"/>
  <c r="AD120" i="15"/>
  <c r="AE120" i="15"/>
  <c r="H120" i="15"/>
  <c r="H117" i="15"/>
  <c r="B121" i="15" l="1"/>
  <c r="X116" i="15"/>
  <c r="P116" i="15"/>
  <c r="B118" i="15"/>
  <c r="B117" i="15"/>
  <c r="AC116" i="15"/>
  <c r="Q116" i="15"/>
  <c r="I116" i="15"/>
  <c r="K116" i="15"/>
  <c r="AB116" i="15"/>
  <c r="B119" i="15"/>
  <c r="AD116" i="15"/>
  <c r="H116" i="15"/>
  <c r="B120" i="15"/>
  <c r="E65" i="15"/>
  <c r="D65" i="15" s="1"/>
  <c r="B65" i="15"/>
  <c r="I52" i="15"/>
  <c r="J52" i="15"/>
  <c r="K52" i="15"/>
  <c r="L52" i="15"/>
  <c r="M52" i="15"/>
  <c r="N52" i="15"/>
  <c r="O52" i="15"/>
  <c r="P52" i="15"/>
  <c r="Q52" i="15"/>
  <c r="R52" i="15"/>
  <c r="S52" i="15"/>
  <c r="T52" i="15"/>
  <c r="U52" i="15"/>
  <c r="V52" i="15"/>
  <c r="W52" i="15"/>
  <c r="X52" i="15"/>
  <c r="Y52" i="15"/>
  <c r="Z52" i="15"/>
  <c r="AA52" i="15"/>
  <c r="AB52" i="15"/>
  <c r="AC52" i="15"/>
  <c r="AD52" i="15"/>
  <c r="AE52" i="15"/>
  <c r="AF52" i="15"/>
  <c r="H52" i="15"/>
  <c r="E54" i="15"/>
  <c r="D54" i="15" s="1"/>
  <c r="E55" i="15"/>
  <c r="G55" i="15" s="1"/>
  <c r="E56" i="15"/>
  <c r="G56" i="15" s="1"/>
  <c r="E57" i="15"/>
  <c r="G57" i="15" s="1"/>
  <c r="E53" i="15"/>
  <c r="G53" i="15" s="1"/>
  <c r="B54" i="15"/>
  <c r="B55" i="15"/>
  <c r="B56" i="15"/>
  <c r="B57" i="15"/>
  <c r="B53" i="15"/>
  <c r="E43" i="15"/>
  <c r="D43" i="15" s="1"/>
  <c r="B43" i="15"/>
  <c r="E36" i="15"/>
  <c r="B36" i="15"/>
  <c r="E29" i="15"/>
  <c r="B29" i="15"/>
  <c r="F55" i="15" l="1"/>
  <c r="D53" i="15"/>
  <c r="B109" i="15"/>
  <c r="F56" i="15"/>
  <c r="D56" i="15"/>
  <c r="F53" i="15"/>
  <c r="D55" i="15"/>
  <c r="D36" i="15"/>
  <c r="E109" i="15"/>
  <c r="G29" i="15"/>
  <c r="G43" i="15"/>
  <c r="F43" i="15"/>
  <c r="F65" i="15"/>
  <c r="G65" i="15"/>
  <c r="E52" i="15"/>
  <c r="D57" i="15"/>
  <c r="F57" i="15"/>
  <c r="F54" i="15"/>
  <c r="G54" i="15"/>
  <c r="C52" i="15"/>
  <c r="B52" i="15"/>
  <c r="F36" i="15"/>
  <c r="G36" i="15"/>
  <c r="D29" i="15"/>
  <c r="F29" i="15"/>
  <c r="D52" i="15" l="1"/>
  <c r="D109" i="15"/>
  <c r="G52" i="15"/>
  <c r="F109" i="15"/>
  <c r="G109" i="15"/>
  <c r="F52" i="15"/>
  <c r="C30" i="20" l="1"/>
  <c r="C31" i="20"/>
  <c r="C33" i="20"/>
  <c r="C34" i="20"/>
  <c r="C32" i="20"/>
  <c r="E26" i="17" l="1"/>
  <c r="D26" i="17" s="1"/>
  <c r="E27" i="17"/>
  <c r="E28" i="17"/>
  <c r="D28" i="17" s="1"/>
  <c r="E29" i="17"/>
  <c r="D29" i="17" s="1"/>
  <c r="E25" i="17"/>
  <c r="D25" i="17" s="1"/>
  <c r="D27" i="17"/>
  <c r="B27" i="17"/>
  <c r="C27" i="17"/>
  <c r="C18" i="16" l="1"/>
  <c r="D28" i="2" l="1"/>
  <c r="D24" i="2"/>
  <c r="E23" i="3" l="1"/>
  <c r="E20" i="3"/>
  <c r="E14" i="3"/>
  <c r="C12" i="3"/>
  <c r="C27" i="3" s="1"/>
  <c r="E11" i="3"/>
  <c r="H11" i="3"/>
  <c r="C31" i="3" l="1"/>
  <c r="C30" i="3" s="1"/>
  <c r="C26" i="3"/>
  <c r="C35" i="3"/>
  <c r="C11" i="3"/>
  <c r="G11" i="3" s="1"/>
  <c r="G12" i="3"/>
  <c r="E330" i="12"/>
  <c r="AD319" i="12"/>
  <c r="E319" i="12"/>
  <c r="D319" i="12" s="1"/>
  <c r="AD283" i="12"/>
  <c r="J283" i="12"/>
  <c r="D182" i="12"/>
  <c r="K168" i="12"/>
  <c r="E135" i="12"/>
  <c r="AH135" i="12" s="1"/>
  <c r="D330" i="12" l="1"/>
  <c r="AH330" i="12"/>
  <c r="C283" i="12"/>
  <c r="C34" i="3"/>
  <c r="C39" i="3"/>
  <c r="G171" i="12"/>
  <c r="G135" i="12"/>
  <c r="D135" i="12"/>
  <c r="D81" i="10"/>
  <c r="K78" i="10"/>
  <c r="K84" i="10"/>
  <c r="AF25" i="10"/>
  <c r="C49" i="10" l="1"/>
  <c r="E20" i="13"/>
  <c r="D20" i="13"/>
  <c r="C20" i="13"/>
  <c r="AH20" i="13" l="1"/>
  <c r="AH14" i="13"/>
  <c r="K57" i="10"/>
  <c r="K49" i="10"/>
  <c r="K52" i="10"/>
  <c r="K51" i="10" s="1"/>
  <c r="K38" i="10"/>
  <c r="K37" i="10" s="1"/>
  <c r="K24" i="10"/>
  <c r="E11" i="13" l="1"/>
  <c r="I17" i="13"/>
  <c r="H17" i="13"/>
  <c r="AD70" i="12" l="1"/>
  <c r="E70" i="12"/>
  <c r="D70" i="12" s="1"/>
  <c r="AD34" i="12"/>
  <c r="B34" i="12" s="1"/>
  <c r="C21" i="12"/>
  <c r="C15" i="12" s="1"/>
  <c r="C59" i="19" l="1"/>
  <c r="C18" i="19" l="1"/>
  <c r="B265" i="12"/>
  <c r="T264" i="12" l="1"/>
  <c r="N244" i="12"/>
  <c r="P136" i="12" l="1"/>
  <c r="H54" i="2" l="1"/>
  <c r="P20" i="2"/>
  <c r="I55" i="2"/>
  <c r="D55" i="2"/>
  <c r="D54" i="2"/>
  <c r="D58" i="2" s="1"/>
  <c r="E51" i="2"/>
  <c r="E55" i="2" s="1"/>
  <c r="B51" i="2"/>
  <c r="B55" i="2" s="1"/>
  <c r="E48" i="2"/>
  <c r="E34" i="2"/>
  <c r="AG34" i="2" s="1"/>
  <c r="E31" i="2"/>
  <c r="D30" i="2"/>
  <c r="E28" i="2"/>
  <c r="E27" i="2"/>
  <c r="E23" i="2"/>
  <c r="E24" i="2"/>
  <c r="E16" i="2"/>
  <c r="D16" i="2" s="1"/>
  <c r="D20" i="2"/>
  <c r="H19" i="2"/>
  <c r="H37" i="2" s="1"/>
  <c r="H62" i="2" l="1"/>
  <c r="F55" i="2"/>
  <c r="G23" i="2"/>
  <c r="AG23" i="2"/>
  <c r="G15" i="2"/>
  <c r="F15" i="2"/>
  <c r="AG15" i="2"/>
  <c r="G27" i="2"/>
  <c r="E30" i="2"/>
  <c r="G16" i="2"/>
  <c r="AG16" i="2"/>
  <c r="AG27" i="2"/>
  <c r="G34" i="2"/>
  <c r="F51" i="2"/>
  <c r="G51" i="2"/>
  <c r="AG51" i="2"/>
  <c r="E54" i="2"/>
  <c r="E58" i="2" s="1"/>
  <c r="AG48" i="2"/>
  <c r="G48" i="2"/>
  <c r="D53" i="2"/>
  <c r="B59" i="2"/>
  <c r="B50" i="2"/>
  <c r="E53" i="2" l="1"/>
  <c r="E26" i="19"/>
  <c r="G26" i="19" s="1"/>
  <c r="AE64" i="19"/>
  <c r="AA64" i="19"/>
  <c r="D26" i="19" l="1"/>
  <c r="F31" i="13"/>
  <c r="G31" i="13"/>
  <c r="E31" i="13"/>
  <c r="R25" i="13"/>
  <c r="R30" i="13" s="1"/>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E23" i="13"/>
  <c r="E24" i="13"/>
  <c r="E26" i="13"/>
  <c r="G26" i="13"/>
  <c r="I26" i="13"/>
  <c r="F26" i="13"/>
  <c r="L17" i="13"/>
  <c r="M17" i="13"/>
  <c r="M16" i="13" s="1"/>
  <c r="N17" i="13"/>
  <c r="O17" i="13"/>
  <c r="O16" i="13" s="1"/>
  <c r="P17" i="13"/>
  <c r="Q17" i="13"/>
  <c r="Q16" i="13" s="1"/>
  <c r="R17" i="13"/>
  <c r="S17" i="13"/>
  <c r="S16" i="13" s="1"/>
  <c r="T17" i="13"/>
  <c r="U17" i="13"/>
  <c r="U16" i="13" s="1"/>
  <c r="V17" i="13"/>
  <c r="W17" i="13"/>
  <c r="W16" i="13" s="1"/>
  <c r="X17" i="13"/>
  <c r="Y17" i="13"/>
  <c r="Y16" i="13" s="1"/>
  <c r="Z17" i="13"/>
  <c r="AA17" i="13"/>
  <c r="AA16" i="13" s="1"/>
  <c r="AB17" i="13"/>
  <c r="AC17" i="13"/>
  <c r="AC16" i="13" s="1"/>
  <c r="AD17" i="13"/>
  <c r="AE17" i="13"/>
  <c r="AE16" i="13" s="1"/>
  <c r="K17" i="13"/>
  <c r="K16" i="13" s="1"/>
  <c r="B20" i="13"/>
  <c r="B14" i="13"/>
  <c r="B25" i="13" l="1"/>
  <c r="B30" i="13" s="1"/>
  <c r="I11" i="13"/>
  <c r="J11" i="13"/>
  <c r="K11" i="13"/>
  <c r="K10" i="13" s="1"/>
  <c r="L11" i="13"/>
  <c r="M11" i="13"/>
  <c r="M10" i="13" s="1"/>
  <c r="N11" i="13"/>
  <c r="O11" i="13"/>
  <c r="O10" i="13" s="1"/>
  <c r="P11" i="13"/>
  <c r="Q11" i="13"/>
  <c r="Q10" i="13" s="1"/>
  <c r="R11" i="13"/>
  <c r="S11" i="13"/>
  <c r="S10" i="13" s="1"/>
  <c r="T11" i="13"/>
  <c r="U11" i="13"/>
  <c r="U10" i="13" s="1"/>
  <c r="V11" i="13"/>
  <c r="W11" i="13"/>
  <c r="W10" i="13" s="1"/>
  <c r="X11" i="13"/>
  <c r="Y11" i="13"/>
  <c r="Y10" i="13" s="1"/>
  <c r="Z11" i="13"/>
  <c r="AA11" i="13"/>
  <c r="AA10" i="13" s="1"/>
  <c r="AB11" i="13"/>
  <c r="AC11" i="13"/>
  <c r="AC10" i="13" s="1"/>
  <c r="AD11" i="13"/>
  <c r="AE11" i="13"/>
  <c r="AE10" i="13" s="1"/>
  <c r="H11" i="13"/>
  <c r="H10" i="13" s="1"/>
  <c r="C15" i="13"/>
  <c r="F92" i="10" l="1"/>
  <c r="F89" i="10" s="1"/>
  <c r="G94" i="10"/>
  <c r="G92" i="10" s="1"/>
  <c r="G89" i="10" s="1"/>
  <c r="I69" i="10"/>
  <c r="H69" i="10"/>
  <c r="D27" i="10"/>
  <c r="I28" i="5"/>
  <c r="I22" i="5" s="1"/>
  <c r="I43" i="5" s="1"/>
  <c r="I46" i="5" s="1"/>
  <c r="I45" i="5" s="1"/>
  <c r="I52" i="10"/>
  <c r="H20" i="16" l="1"/>
  <c r="E6" i="16" l="1"/>
  <c r="D6" i="16"/>
  <c r="E5" i="2"/>
  <c r="D5" i="2"/>
  <c r="AE59" i="20" l="1"/>
  <c r="AD59" i="20"/>
  <c r="AC59" i="20"/>
  <c r="AB59" i="20"/>
  <c r="AA59" i="20"/>
  <c r="Z59" i="20"/>
  <c r="Y59" i="20"/>
  <c r="X59" i="20"/>
  <c r="W59" i="20"/>
  <c r="V59" i="20"/>
  <c r="U59" i="20"/>
  <c r="T59" i="20"/>
  <c r="S59" i="20"/>
  <c r="R59" i="20"/>
  <c r="Q59" i="20"/>
  <c r="P59" i="20"/>
  <c r="O59" i="20"/>
  <c r="N59" i="20"/>
  <c r="M59" i="20"/>
  <c r="L59" i="20"/>
  <c r="K59" i="20"/>
  <c r="J59" i="20"/>
  <c r="I59" i="20"/>
  <c r="H59" i="20"/>
  <c r="AE58" i="20"/>
  <c r="AD58" i="20"/>
  <c r="AC58" i="20"/>
  <c r="AB58" i="20"/>
  <c r="AA58" i="20"/>
  <c r="Z58" i="20"/>
  <c r="Y58" i="20"/>
  <c r="X58" i="20"/>
  <c r="W58" i="20"/>
  <c r="V58" i="20"/>
  <c r="U58" i="20"/>
  <c r="T58" i="20"/>
  <c r="S58" i="20"/>
  <c r="R58" i="20"/>
  <c r="Q58" i="20"/>
  <c r="P58" i="20"/>
  <c r="O58" i="20"/>
  <c r="N58" i="20"/>
  <c r="M58" i="20"/>
  <c r="L58" i="20"/>
  <c r="K58" i="20"/>
  <c r="J58" i="20"/>
  <c r="I58" i="20"/>
  <c r="H58" i="20"/>
  <c r="AE57" i="20"/>
  <c r="AD57" i="20"/>
  <c r="AC57" i="20"/>
  <c r="AB57" i="20"/>
  <c r="AA57" i="20"/>
  <c r="Z57" i="20"/>
  <c r="Y57" i="20"/>
  <c r="X57" i="20"/>
  <c r="W57" i="20"/>
  <c r="V57" i="20"/>
  <c r="U57" i="20"/>
  <c r="T57" i="20"/>
  <c r="S57" i="20"/>
  <c r="R57" i="20"/>
  <c r="Q57" i="20"/>
  <c r="P57" i="20"/>
  <c r="O57" i="20"/>
  <c r="N57" i="20"/>
  <c r="M57" i="20"/>
  <c r="L57" i="20"/>
  <c r="K57" i="20"/>
  <c r="J57" i="20"/>
  <c r="I57" i="20"/>
  <c r="H57" i="20"/>
  <c r="AE56" i="20"/>
  <c r="AD56" i="20"/>
  <c r="AC56" i="20"/>
  <c r="AB56" i="20"/>
  <c r="AA56" i="20"/>
  <c r="Z56" i="20"/>
  <c r="Y56" i="20"/>
  <c r="X56" i="20"/>
  <c r="W56" i="20"/>
  <c r="V56" i="20"/>
  <c r="U56" i="20"/>
  <c r="T56" i="20"/>
  <c r="S56" i="20"/>
  <c r="R56" i="20"/>
  <c r="Q56" i="20"/>
  <c r="P56" i="20"/>
  <c r="O56" i="20"/>
  <c r="N56" i="20"/>
  <c r="M56" i="20"/>
  <c r="L56" i="20"/>
  <c r="K56" i="20"/>
  <c r="J56" i="20"/>
  <c r="I56" i="20"/>
  <c r="H56" i="20"/>
  <c r="AE55" i="20"/>
  <c r="AD55" i="20"/>
  <c r="AD54" i="20" s="1"/>
  <c r="AC55" i="20"/>
  <c r="AB55" i="20"/>
  <c r="AB54" i="20" s="1"/>
  <c r="AA55" i="20"/>
  <c r="Z55" i="20"/>
  <c r="Z54" i="20" s="1"/>
  <c r="Y55" i="20"/>
  <c r="X55" i="20"/>
  <c r="X54" i="20" s="1"/>
  <c r="W55" i="20"/>
  <c r="V55" i="20"/>
  <c r="V54" i="20" s="1"/>
  <c r="U55" i="20"/>
  <c r="T55" i="20"/>
  <c r="T54" i="20" s="1"/>
  <c r="S55" i="20"/>
  <c r="R55" i="20"/>
  <c r="R54" i="20" s="1"/>
  <c r="Q55" i="20"/>
  <c r="P55" i="20"/>
  <c r="O55" i="20"/>
  <c r="N55" i="20"/>
  <c r="N54" i="20" s="1"/>
  <c r="M55" i="20"/>
  <c r="L55" i="20"/>
  <c r="L54" i="20" s="1"/>
  <c r="K55" i="20"/>
  <c r="J55" i="20"/>
  <c r="J54" i="20" s="1"/>
  <c r="I55" i="20"/>
  <c r="H55" i="20"/>
  <c r="H54" i="20" s="1"/>
  <c r="E41" i="20"/>
  <c r="C41" i="20"/>
  <c r="C59" i="20" s="1"/>
  <c r="B41" i="20"/>
  <c r="E40" i="20"/>
  <c r="C40" i="20"/>
  <c r="C58" i="20" s="1"/>
  <c r="B40" i="20"/>
  <c r="E39" i="20"/>
  <c r="D39" i="20" s="1"/>
  <c r="C57" i="20"/>
  <c r="B39" i="20"/>
  <c r="E38" i="20"/>
  <c r="C38" i="20"/>
  <c r="C56" i="20" s="1"/>
  <c r="B38" i="20"/>
  <c r="E37" i="20"/>
  <c r="C37" i="20"/>
  <c r="C55" i="20" s="1"/>
  <c r="B37" i="20"/>
  <c r="AE36" i="20"/>
  <c r="AD36" i="20"/>
  <c r="AC36" i="20"/>
  <c r="AB36" i="20"/>
  <c r="AA36" i="20"/>
  <c r="Z36" i="20"/>
  <c r="Y36" i="20"/>
  <c r="X36" i="20"/>
  <c r="W36" i="20"/>
  <c r="V36" i="20"/>
  <c r="U36" i="20"/>
  <c r="T36" i="20"/>
  <c r="S36" i="20"/>
  <c r="R36" i="20"/>
  <c r="Q36" i="20"/>
  <c r="P36" i="20"/>
  <c r="O36" i="20"/>
  <c r="N36" i="20"/>
  <c r="M36" i="20"/>
  <c r="L36" i="20"/>
  <c r="K36" i="20"/>
  <c r="J36" i="20"/>
  <c r="I36" i="20"/>
  <c r="H36" i="20"/>
  <c r="E34" i="20"/>
  <c r="B34" i="20"/>
  <c r="E33" i="20"/>
  <c r="B33" i="20"/>
  <c r="E32" i="20"/>
  <c r="B32" i="20"/>
  <c r="B57" i="20" s="1"/>
  <c r="E31" i="20"/>
  <c r="E56" i="20" s="1"/>
  <c r="B31" i="20"/>
  <c r="E30" i="20"/>
  <c r="B30" i="20"/>
  <c r="AE29" i="20"/>
  <c r="AD29" i="20"/>
  <c r="AC29" i="20"/>
  <c r="AB29" i="20"/>
  <c r="AA29" i="20"/>
  <c r="Z29" i="20"/>
  <c r="Y29" i="20"/>
  <c r="X29" i="20"/>
  <c r="W29" i="20"/>
  <c r="V29" i="20"/>
  <c r="U29" i="20"/>
  <c r="T29" i="20"/>
  <c r="S29" i="20"/>
  <c r="R29" i="20"/>
  <c r="Q29" i="20"/>
  <c r="P29" i="20"/>
  <c r="O29" i="20"/>
  <c r="N29" i="20"/>
  <c r="M29" i="20"/>
  <c r="L29" i="20"/>
  <c r="K29" i="20"/>
  <c r="J29" i="20"/>
  <c r="I29" i="20"/>
  <c r="H29" i="20"/>
  <c r="E26" i="20"/>
  <c r="C26" i="20"/>
  <c r="C19" i="20" s="1"/>
  <c r="B26" i="20"/>
  <c r="B19" i="20" s="1"/>
  <c r="E25" i="20"/>
  <c r="C25" i="20"/>
  <c r="C18" i="20" s="1"/>
  <c r="C11" i="20" s="1"/>
  <c r="C52" i="20" s="1"/>
  <c r="B25" i="20"/>
  <c r="B18" i="20" s="1"/>
  <c r="E24" i="20"/>
  <c r="C24" i="20"/>
  <c r="C17" i="20" s="1"/>
  <c r="B24" i="20"/>
  <c r="E23" i="20"/>
  <c r="C23" i="20"/>
  <c r="C16" i="20" s="1"/>
  <c r="C9" i="20" s="1"/>
  <c r="C50" i="20" s="1"/>
  <c r="B23" i="20"/>
  <c r="B16" i="20" s="1"/>
  <c r="E22" i="20"/>
  <c r="C22" i="20"/>
  <c r="C15" i="20" s="1"/>
  <c r="B22" i="20"/>
  <c r="B15" i="20" s="1"/>
  <c r="AE21" i="20"/>
  <c r="AD21" i="20"/>
  <c r="AC21" i="20"/>
  <c r="AB21" i="20"/>
  <c r="AA21" i="20"/>
  <c r="Z21" i="20"/>
  <c r="Y21" i="20"/>
  <c r="X21" i="20"/>
  <c r="W21" i="20"/>
  <c r="V21" i="20"/>
  <c r="U21" i="20"/>
  <c r="T21" i="20"/>
  <c r="S21" i="20"/>
  <c r="R21" i="20"/>
  <c r="Q21" i="20"/>
  <c r="P21" i="20"/>
  <c r="O21" i="20"/>
  <c r="N21" i="20"/>
  <c r="M21" i="20"/>
  <c r="L21" i="20"/>
  <c r="K21" i="20"/>
  <c r="J21" i="20"/>
  <c r="I21" i="20"/>
  <c r="H21" i="20"/>
  <c r="AE19" i="20"/>
  <c r="AE12" i="20" s="1"/>
  <c r="AE53" i="20" s="1"/>
  <c r="AE47" i="20" s="1"/>
  <c r="AD19" i="20"/>
  <c r="AD12" i="20" s="1"/>
  <c r="AD53" i="20" s="1"/>
  <c r="AC19" i="20"/>
  <c r="AC12" i="20" s="1"/>
  <c r="AC53" i="20" s="1"/>
  <c r="AB19" i="20"/>
  <c r="AB12" i="20" s="1"/>
  <c r="AB53" i="20" s="1"/>
  <c r="AA19" i="20"/>
  <c r="AA12" i="20" s="1"/>
  <c r="AA53" i="20" s="1"/>
  <c r="AA47" i="20" s="1"/>
  <c r="Z19" i="20"/>
  <c r="Z12" i="20" s="1"/>
  <c r="Z53" i="20" s="1"/>
  <c r="Z47" i="20" s="1"/>
  <c r="Y19" i="20"/>
  <c r="Y12" i="20" s="1"/>
  <c r="Y53" i="20" s="1"/>
  <c r="X19" i="20"/>
  <c r="X12" i="20" s="1"/>
  <c r="X53" i="20" s="1"/>
  <c r="W19" i="20"/>
  <c r="W12" i="20" s="1"/>
  <c r="W53" i="20" s="1"/>
  <c r="V19" i="20"/>
  <c r="V12" i="20" s="1"/>
  <c r="V53" i="20" s="1"/>
  <c r="U19" i="20"/>
  <c r="U12" i="20" s="1"/>
  <c r="U53" i="20" s="1"/>
  <c r="U47" i="20" s="1"/>
  <c r="T19" i="20"/>
  <c r="T12" i="20" s="1"/>
  <c r="T53" i="20" s="1"/>
  <c r="S19" i="20"/>
  <c r="S12" i="20" s="1"/>
  <c r="S53" i="20" s="1"/>
  <c r="R19" i="20"/>
  <c r="R12" i="20" s="1"/>
  <c r="R53" i="20" s="1"/>
  <c r="Q19" i="20"/>
  <c r="Q12" i="20" s="1"/>
  <c r="Q53" i="20" s="1"/>
  <c r="Q47" i="20" s="1"/>
  <c r="P19" i="20"/>
  <c r="P12" i="20" s="1"/>
  <c r="P53" i="20" s="1"/>
  <c r="O19" i="20"/>
  <c r="O12" i="20" s="1"/>
  <c r="O53" i="20" s="1"/>
  <c r="O47" i="20" s="1"/>
  <c r="N19" i="20"/>
  <c r="N12" i="20" s="1"/>
  <c r="N53" i="20" s="1"/>
  <c r="M19" i="20"/>
  <c r="M12" i="20" s="1"/>
  <c r="M53" i="20" s="1"/>
  <c r="L19" i="20"/>
  <c r="L12" i="20" s="1"/>
  <c r="L53" i="20" s="1"/>
  <c r="K19" i="20"/>
  <c r="K12" i="20" s="1"/>
  <c r="K53" i="20" s="1"/>
  <c r="K47" i="20" s="1"/>
  <c r="J19" i="20"/>
  <c r="J12" i="20" s="1"/>
  <c r="J53" i="20" s="1"/>
  <c r="I19" i="20"/>
  <c r="I12" i="20" s="1"/>
  <c r="H19" i="20"/>
  <c r="H12" i="20" s="1"/>
  <c r="H53" i="20" s="1"/>
  <c r="AE18" i="20"/>
  <c r="AE11" i="20" s="1"/>
  <c r="AE52" i="20" s="1"/>
  <c r="AD18" i="20"/>
  <c r="AD11" i="20" s="1"/>
  <c r="AD52" i="20" s="1"/>
  <c r="AD46" i="20" s="1"/>
  <c r="AC18" i="20"/>
  <c r="AC11" i="20" s="1"/>
  <c r="AC52" i="20" s="1"/>
  <c r="AB18" i="20"/>
  <c r="AB11" i="20" s="1"/>
  <c r="AB52" i="20" s="1"/>
  <c r="AA18" i="20"/>
  <c r="AA11" i="20" s="1"/>
  <c r="AA52" i="20" s="1"/>
  <c r="Z18" i="20"/>
  <c r="Z11" i="20" s="1"/>
  <c r="Z52" i="20" s="1"/>
  <c r="Y18" i="20"/>
  <c r="Y11" i="20" s="1"/>
  <c r="Y52" i="20" s="1"/>
  <c r="Y46" i="20" s="1"/>
  <c r="X18" i="20"/>
  <c r="X11" i="20" s="1"/>
  <c r="X52" i="20" s="1"/>
  <c r="W18" i="20"/>
  <c r="W11" i="20" s="1"/>
  <c r="W52" i="20" s="1"/>
  <c r="W46" i="20" s="1"/>
  <c r="V18" i="20"/>
  <c r="V11" i="20" s="1"/>
  <c r="V52" i="20" s="1"/>
  <c r="U18" i="20"/>
  <c r="U11" i="20" s="1"/>
  <c r="U52" i="20" s="1"/>
  <c r="T18" i="20"/>
  <c r="T11" i="20" s="1"/>
  <c r="T52" i="20" s="1"/>
  <c r="S18" i="20"/>
  <c r="S11" i="20" s="1"/>
  <c r="S52" i="20" s="1"/>
  <c r="S46" i="20" s="1"/>
  <c r="R18" i="20"/>
  <c r="R11" i="20" s="1"/>
  <c r="R52" i="20" s="1"/>
  <c r="Q18" i="20"/>
  <c r="Q11" i="20" s="1"/>
  <c r="Q52" i="20" s="1"/>
  <c r="P18" i="20"/>
  <c r="P11" i="20" s="1"/>
  <c r="P52" i="20" s="1"/>
  <c r="O18" i="20"/>
  <c r="O11" i="20" s="1"/>
  <c r="O52" i="20" s="1"/>
  <c r="N18" i="20"/>
  <c r="N11" i="20" s="1"/>
  <c r="N52" i="20" s="1"/>
  <c r="N46" i="20" s="1"/>
  <c r="M18" i="20"/>
  <c r="M11" i="20" s="1"/>
  <c r="M52" i="20" s="1"/>
  <c r="L18" i="20"/>
  <c r="L11" i="20" s="1"/>
  <c r="L52" i="20" s="1"/>
  <c r="K18" i="20"/>
  <c r="K11" i="20" s="1"/>
  <c r="K52" i="20" s="1"/>
  <c r="J18" i="20"/>
  <c r="J11" i="20" s="1"/>
  <c r="J52" i="20" s="1"/>
  <c r="I18" i="20"/>
  <c r="I11" i="20" s="1"/>
  <c r="H18" i="20"/>
  <c r="H11" i="20" s="1"/>
  <c r="H52" i="20" s="1"/>
  <c r="AE17" i="20"/>
  <c r="AE10" i="20" s="1"/>
  <c r="AE51" i="20" s="1"/>
  <c r="AE45" i="20" s="1"/>
  <c r="AD17" i="20"/>
  <c r="AD10" i="20" s="1"/>
  <c r="AD51" i="20" s="1"/>
  <c r="AC17" i="20"/>
  <c r="AC10" i="20" s="1"/>
  <c r="AC51" i="20" s="1"/>
  <c r="AB17" i="20"/>
  <c r="AB10" i="20" s="1"/>
  <c r="AB51" i="20" s="1"/>
  <c r="AA17" i="20"/>
  <c r="AA10" i="20" s="1"/>
  <c r="AA51" i="20" s="1"/>
  <c r="AA45" i="20" s="1"/>
  <c r="Z17" i="20"/>
  <c r="Z10" i="20" s="1"/>
  <c r="Z51" i="20" s="1"/>
  <c r="Y17" i="20"/>
  <c r="Y10" i="20" s="1"/>
  <c r="Y51" i="20" s="1"/>
  <c r="X17" i="20"/>
  <c r="X10" i="20" s="1"/>
  <c r="X51" i="20" s="1"/>
  <c r="W17" i="20"/>
  <c r="W10" i="20" s="1"/>
  <c r="W51" i="20" s="1"/>
  <c r="W45" i="20" s="1"/>
  <c r="V17" i="20"/>
  <c r="V10" i="20" s="1"/>
  <c r="V51" i="20" s="1"/>
  <c r="V45" i="20" s="1"/>
  <c r="U17" i="20"/>
  <c r="U10" i="20" s="1"/>
  <c r="U51" i="20" s="1"/>
  <c r="T17" i="20"/>
  <c r="T10" i="20" s="1"/>
  <c r="T51" i="20" s="1"/>
  <c r="T45" i="20" s="1"/>
  <c r="S17" i="20"/>
  <c r="S10" i="20" s="1"/>
  <c r="S51" i="20" s="1"/>
  <c r="R17" i="20"/>
  <c r="R10" i="20" s="1"/>
  <c r="R51" i="20" s="1"/>
  <c r="R45" i="20" s="1"/>
  <c r="Q17" i="20"/>
  <c r="Q10" i="20" s="1"/>
  <c r="Q51" i="20" s="1"/>
  <c r="P17" i="20"/>
  <c r="P10" i="20" s="1"/>
  <c r="P51" i="20" s="1"/>
  <c r="O17" i="20"/>
  <c r="O10" i="20" s="1"/>
  <c r="O51" i="20" s="1"/>
  <c r="O45" i="20" s="1"/>
  <c r="N17" i="20"/>
  <c r="N10" i="20" s="1"/>
  <c r="N51" i="20" s="1"/>
  <c r="M17" i="20"/>
  <c r="M10" i="20" s="1"/>
  <c r="M51" i="20" s="1"/>
  <c r="L17" i="20"/>
  <c r="L10" i="20" s="1"/>
  <c r="L51" i="20" s="1"/>
  <c r="K17" i="20"/>
  <c r="K10" i="20" s="1"/>
  <c r="K51" i="20" s="1"/>
  <c r="K45" i="20" s="1"/>
  <c r="J17" i="20"/>
  <c r="J10" i="20" s="1"/>
  <c r="J51" i="20" s="1"/>
  <c r="I17" i="20"/>
  <c r="I10" i="20" s="1"/>
  <c r="H17" i="20"/>
  <c r="H10" i="20" s="1"/>
  <c r="H51" i="20" s="1"/>
  <c r="AE16" i="20"/>
  <c r="AE9" i="20" s="1"/>
  <c r="AE50" i="20" s="1"/>
  <c r="AE44" i="20" s="1"/>
  <c r="AD16" i="20"/>
  <c r="AD9" i="20" s="1"/>
  <c r="AD50" i="20" s="1"/>
  <c r="AC16" i="20"/>
  <c r="AC9" i="20" s="1"/>
  <c r="AC50" i="20" s="1"/>
  <c r="AC44" i="20" s="1"/>
  <c r="AB16" i="20"/>
  <c r="AB9" i="20" s="1"/>
  <c r="AB50" i="20" s="1"/>
  <c r="AA16" i="20"/>
  <c r="AA9" i="20" s="1"/>
  <c r="AA50" i="20" s="1"/>
  <c r="AA44" i="20" s="1"/>
  <c r="Z16" i="20"/>
  <c r="Z9" i="20" s="1"/>
  <c r="Z50" i="20" s="1"/>
  <c r="Y16" i="20"/>
  <c r="Y9" i="20" s="1"/>
  <c r="Y50" i="20" s="1"/>
  <c r="X16" i="20"/>
  <c r="X9" i="20" s="1"/>
  <c r="X50" i="20" s="1"/>
  <c r="W16" i="20"/>
  <c r="W9" i="20" s="1"/>
  <c r="W50" i="20" s="1"/>
  <c r="W44" i="20" s="1"/>
  <c r="V16" i="20"/>
  <c r="U16" i="20"/>
  <c r="U9" i="20" s="1"/>
  <c r="U50" i="20" s="1"/>
  <c r="U44" i="20" s="1"/>
  <c r="T16" i="20"/>
  <c r="T9" i="20" s="1"/>
  <c r="T50" i="20" s="1"/>
  <c r="T44" i="20" s="1"/>
  <c r="S16" i="20"/>
  <c r="S9" i="20" s="1"/>
  <c r="S50" i="20" s="1"/>
  <c r="S44" i="20" s="1"/>
  <c r="R16" i="20"/>
  <c r="R9" i="20" s="1"/>
  <c r="R50" i="20" s="1"/>
  <c r="Q16" i="20"/>
  <c r="Q9" i="20" s="1"/>
  <c r="Q50" i="20" s="1"/>
  <c r="P16" i="20"/>
  <c r="P9" i="20" s="1"/>
  <c r="P50" i="20" s="1"/>
  <c r="O16" i="20"/>
  <c r="O9" i="20" s="1"/>
  <c r="O50" i="20" s="1"/>
  <c r="O44" i="20" s="1"/>
  <c r="N16" i="20"/>
  <c r="N9" i="20" s="1"/>
  <c r="N50" i="20" s="1"/>
  <c r="M16" i="20"/>
  <c r="M9" i="20" s="1"/>
  <c r="M50" i="20" s="1"/>
  <c r="M44" i="20" s="1"/>
  <c r="L16" i="20"/>
  <c r="L9" i="20" s="1"/>
  <c r="L50" i="20" s="1"/>
  <c r="K16" i="20"/>
  <c r="K9" i="20" s="1"/>
  <c r="K50" i="20" s="1"/>
  <c r="K44" i="20" s="1"/>
  <c r="J16" i="20"/>
  <c r="J9" i="20" s="1"/>
  <c r="J50" i="20" s="1"/>
  <c r="I16" i="20"/>
  <c r="I9" i="20" s="1"/>
  <c r="H16" i="20"/>
  <c r="H9" i="20" s="1"/>
  <c r="H50" i="20" s="1"/>
  <c r="AE15" i="20"/>
  <c r="AE8" i="20" s="1"/>
  <c r="AE49" i="20" s="1"/>
  <c r="AD15" i="20"/>
  <c r="AD8" i="20" s="1"/>
  <c r="AC15" i="20"/>
  <c r="AC8" i="20" s="1"/>
  <c r="AC49" i="20" s="1"/>
  <c r="AB15" i="20"/>
  <c r="AA15" i="20"/>
  <c r="AA8" i="20" s="1"/>
  <c r="AA49" i="20" s="1"/>
  <c r="Z15" i="20"/>
  <c r="Z8" i="20" s="1"/>
  <c r="Z49" i="20" s="1"/>
  <c r="Y15" i="20"/>
  <c r="Y8" i="20" s="1"/>
  <c r="Y49" i="20" s="1"/>
  <c r="X15" i="20"/>
  <c r="W15" i="20"/>
  <c r="W8" i="20" s="1"/>
  <c r="W49" i="20" s="1"/>
  <c r="V15" i="20"/>
  <c r="V8" i="20" s="1"/>
  <c r="V49" i="20" s="1"/>
  <c r="U15" i="20"/>
  <c r="U8" i="20" s="1"/>
  <c r="U49" i="20" s="1"/>
  <c r="T15" i="20"/>
  <c r="S15" i="20"/>
  <c r="S8" i="20" s="1"/>
  <c r="S49" i="20" s="1"/>
  <c r="R15" i="20"/>
  <c r="R8" i="20" s="1"/>
  <c r="R49" i="20" s="1"/>
  <c r="Q15" i="20"/>
  <c r="Q8" i="20" s="1"/>
  <c r="P15" i="20"/>
  <c r="O15" i="20"/>
  <c r="O8" i="20" s="1"/>
  <c r="O49" i="20" s="1"/>
  <c r="N15" i="20"/>
  <c r="N8" i="20" s="1"/>
  <c r="N49" i="20" s="1"/>
  <c r="M15" i="20"/>
  <c r="M8" i="20" s="1"/>
  <c r="M49" i="20" s="1"/>
  <c r="L15" i="20"/>
  <c r="K15" i="20"/>
  <c r="K8" i="20" s="1"/>
  <c r="K49" i="20" s="1"/>
  <c r="J15" i="20"/>
  <c r="J8" i="20" s="1"/>
  <c r="J49" i="20" s="1"/>
  <c r="I15" i="20"/>
  <c r="H15" i="20"/>
  <c r="E133" i="19"/>
  <c r="B133" i="19"/>
  <c r="AE131" i="19"/>
  <c r="AD131" i="19"/>
  <c r="AC131" i="19"/>
  <c r="AB131" i="19"/>
  <c r="AA131" i="19"/>
  <c r="Z131" i="19"/>
  <c r="Y131" i="19"/>
  <c r="X131" i="19"/>
  <c r="W131" i="19"/>
  <c r="V131" i="19"/>
  <c r="U131" i="19"/>
  <c r="T131" i="19"/>
  <c r="S131" i="19"/>
  <c r="R131" i="19"/>
  <c r="Q131" i="19"/>
  <c r="P131" i="19"/>
  <c r="O131" i="19"/>
  <c r="N131" i="19"/>
  <c r="M131" i="19"/>
  <c r="L131" i="19"/>
  <c r="K131" i="19"/>
  <c r="J131" i="19"/>
  <c r="I131" i="19"/>
  <c r="H131" i="19"/>
  <c r="C123" i="19"/>
  <c r="E127" i="19"/>
  <c r="C121" i="19"/>
  <c r="C138" i="19" s="1"/>
  <c r="B127" i="19"/>
  <c r="AE125" i="19"/>
  <c r="AD125" i="19"/>
  <c r="AC125" i="19"/>
  <c r="AB125" i="19"/>
  <c r="AA125" i="19"/>
  <c r="Z125" i="19"/>
  <c r="Y125" i="19"/>
  <c r="X125" i="19"/>
  <c r="W125" i="19"/>
  <c r="V125" i="19"/>
  <c r="U125" i="19"/>
  <c r="T125" i="19"/>
  <c r="S125" i="19"/>
  <c r="R125" i="19"/>
  <c r="Q125" i="19"/>
  <c r="P125" i="19"/>
  <c r="O125" i="19"/>
  <c r="N125" i="19"/>
  <c r="M125" i="19"/>
  <c r="L125" i="19"/>
  <c r="K125" i="19"/>
  <c r="J125" i="19"/>
  <c r="I125" i="19"/>
  <c r="H125" i="19"/>
  <c r="AE123" i="19"/>
  <c r="AD123" i="19"/>
  <c r="AC123" i="19"/>
  <c r="AB123" i="19"/>
  <c r="AA123" i="19"/>
  <c r="Z123" i="19"/>
  <c r="Y123" i="19"/>
  <c r="X123" i="19"/>
  <c r="W123" i="19"/>
  <c r="V123" i="19"/>
  <c r="U123" i="19"/>
  <c r="T123" i="19"/>
  <c r="S123" i="19"/>
  <c r="R123" i="19"/>
  <c r="Q123" i="19"/>
  <c r="P123" i="19"/>
  <c r="O123" i="19"/>
  <c r="N123" i="19"/>
  <c r="M123" i="19"/>
  <c r="L123" i="19"/>
  <c r="K123" i="19"/>
  <c r="J123" i="19"/>
  <c r="I123" i="19"/>
  <c r="H123" i="19"/>
  <c r="AE122" i="19"/>
  <c r="AD122" i="19"/>
  <c r="AC122" i="19"/>
  <c r="AB122" i="19"/>
  <c r="AA122" i="19"/>
  <c r="Z122" i="19"/>
  <c r="Y122" i="19"/>
  <c r="X122" i="19"/>
  <c r="W122" i="19"/>
  <c r="V122" i="19"/>
  <c r="U122" i="19"/>
  <c r="T122" i="19"/>
  <c r="S122" i="19"/>
  <c r="R122" i="19"/>
  <c r="Q122" i="19"/>
  <c r="P122" i="19"/>
  <c r="O122" i="19"/>
  <c r="N122" i="19"/>
  <c r="M122" i="19"/>
  <c r="L122" i="19"/>
  <c r="K122" i="19"/>
  <c r="J122" i="19"/>
  <c r="I122" i="19"/>
  <c r="H122" i="19"/>
  <c r="C122" i="19"/>
  <c r="AE121" i="19"/>
  <c r="AE138" i="19" s="1"/>
  <c r="AD121" i="19"/>
  <c r="AD138" i="19" s="1"/>
  <c r="AC121" i="19"/>
  <c r="AC138" i="19" s="1"/>
  <c r="AB121" i="19"/>
  <c r="AB138" i="19" s="1"/>
  <c r="AA121" i="19"/>
  <c r="AA138" i="19" s="1"/>
  <c r="Z121" i="19"/>
  <c r="Z138" i="19" s="1"/>
  <c r="Y121" i="19"/>
  <c r="Y138" i="19" s="1"/>
  <c r="X121" i="19"/>
  <c r="X138" i="19" s="1"/>
  <c r="W121" i="19"/>
  <c r="W138" i="19" s="1"/>
  <c r="V121" i="19"/>
  <c r="V138" i="19" s="1"/>
  <c r="U121" i="19"/>
  <c r="U138" i="19" s="1"/>
  <c r="T121" i="19"/>
  <c r="T138" i="19" s="1"/>
  <c r="S121" i="19"/>
  <c r="S138" i="19" s="1"/>
  <c r="R121" i="19"/>
  <c r="R138" i="19" s="1"/>
  <c r="Q121" i="19"/>
  <c r="Q138" i="19" s="1"/>
  <c r="P121" i="19"/>
  <c r="P138" i="19" s="1"/>
  <c r="O121" i="19"/>
  <c r="O138" i="19" s="1"/>
  <c r="N121" i="19"/>
  <c r="N138" i="19" s="1"/>
  <c r="M121" i="19"/>
  <c r="M138" i="19" s="1"/>
  <c r="L121" i="19"/>
  <c r="L138" i="19" s="1"/>
  <c r="K121" i="19"/>
  <c r="K138" i="19" s="1"/>
  <c r="J121" i="19"/>
  <c r="J138" i="19" s="1"/>
  <c r="I121" i="19"/>
  <c r="I138" i="19" s="1"/>
  <c r="H121" i="19"/>
  <c r="AE120" i="19"/>
  <c r="AD120" i="19"/>
  <c r="AC120" i="19"/>
  <c r="AB120" i="19"/>
  <c r="AA120" i="19"/>
  <c r="Z120" i="19"/>
  <c r="Y120" i="19"/>
  <c r="X120" i="19"/>
  <c r="W120" i="19"/>
  <c r="V120" i="19"/>
  <c r="U120" i="19"/>
  <c r="T120" i="19"/>
  <c r="S120" i="19"/>
  <c r="R120" i="19"/>
  <c r="Q120" i="19"/>
  <c r="P120" i="19"/>
  <c r="O120" i="19"/>
  <c r="N120" i="19"/>
  <c r="M120" i="19"/>
  <c r="L120" i="19"/>
  <c r="K120" i="19"/>
  <c r="J120" i="19"/>
  <c r="I120" i="19"/>
  <c r="H120" i="19"/>
  <c r="E108" i="19"/>
  <c r="B108"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AE102" i="19"/>
  <c r="AD102" i="19"/>
  <c r="AC102" i="19"/>
  <c r="AC100" i="19" s="1"/>
  <c r="AB102" i="19"/>
  <c r="AB100" i="19" s="1"/>
  <c r="AA102" i="19"/>
  <c r="Z102" i="19"/>
  <c r="Y102" i="19"/>
  <c r="Y100" i="19" s="1"/>
  <c r="X102" i="19"/>
  <c r="W102" i="19"/>
  <c r="V102" i="19"/>
  <c r="U102" i="19"/>
  <c r="T102" i="19"/>
  <c r="T100" i="19" s="1"/>
  <c r="S102" i="19"/>
  <c r="R102" i="19"/>
  <c r="Q102" i="19"/>
  <c r="Q100" i="19" s="1"/>
  <c r="P102" i="19"/>
  <c r="P100" i="19" s="1"/>
  <c r="O102" i="19"/>
  <c r="N102" i="19"/>
  <c r="M102" i="19"/>
  <c r="L102" i="19"/>
  <c r="L100" i="19" s="1"/>
  <c r="K102" i="19"/>
  <c r="J102" i="19"/>
  <c r="I102" i="19"/>
  <c r="H102" i="19"/>
  <c r="X100" i="19"/>
  <c r="U100" i="19"/>
  <c r="M100" i="19"/>
  <c r="E96" i="19"/>
  <c r="B96" i="19"/>
  <c r="AE94" i="19"/>
  <c r="AD94" i="19"/>
  <c r="AC94" i="19"/>
  <c r="AB94" i="19"/>
  <c r="AA94" i="19"/>
  <c r="Z94" i="19"/>
  <c r="Y94" i="19"/>
  <c r="X94" i="19"/>
  <c r="W94" i="19"/>
  <c r="V94" i="19"/>
  <c r="U94" i="19"/>
  <c r="T94" i="19"/>
  <c r="S94" i="19"/>
  <c r="R94" i="19"/>
  <c r="Q94" i="19"/>
  <c r="P94" i="19"/>
  <c r="O94" i="19"/>
  <c r="N94" i="19"/>
  <c r="M94" i="19"/>
  <c r="L94" i="19"/>
  <c r="K94" i="19"/>
  <c r="J94" i="19"/>
  <c r="I94" i="19"/>
  <c r="H94" i="19"/>
  <c r="E90" i="19"/>
  <c r="B90" i="19"/>
  <c r="AE88" i="19"/>
  <c r="AD88" i="19"/>
  <c r="AC88" i="19"/>
  <c r="AB88" i="19"/>
  <c r="AA88" i="19"/>
  <c r="Z88" i="19"/>
  <c r="Y88" i="19"/>
  <c r="X88" i="19"/>
  <c r="W88" i="19"/>
  <c r="V88" i="19"/>
  <c r="U88" i="19"/>
  <c r="T88" i="19"/>
  <c r="S88" i="19"/>
  <c r="R88" i="19"/>
  <c r="Q88" i="19"/>
  <c r="P88" i="19"/>
  <c r="O88" i="19"/>
  <c r="N88" i="19"/>
  <c r="M88" i="19"/>
  <c r="L88" i="19"/>
  <c r="K88" i="19"/>
  <c r="J88" i="19"/>
  <c r="I88" i="19"/>
  <c r="H88" i="19"/>
  <c r="E84" i="19"/>
  <c r="B84" i="19"/>
  <c r="AE82" i="19"/>
  <c r="AD82" i="19"/>
  <c r="AC82" i="19"/>
  <c r="AB82" i="19"/>
  <c r="AA82" i="19"/>
  <c r="Z82" i="19"/>
  <c r="Y82" i="19"/>
  <c r="X82" i="19"/>
  <c r="W82" i="19"/>
  <c r="V82" i="19"/>
  <c r="U82" i="19"/>
  <c r="T82" i="19"/>
  <c r="S82" i="19"/>
  <c r="R82" i="19"/>
  <c r="Q82" i="19"/>
  <c r="P82" i="19"/>
  <c r="O82" i="19"/>
  <c r="N82" i="19"/>
  <c r="M82" i="19"/>
  <c r="L82" i="19"/>
  <c r="K82" i="19"/>
  <c r="J82" i="19"/>
  <c r="I82" i="19"/>
  <c r="H82" i="19"/>
  <c r="E78" i="19"/>
  <c r="B78" i="19"/>
  <c r="AE76" i="19"/>
  <c r="AD76" i="19"/>
  <c r="AC76" i="19"/>
  <c r="AB76" i="19"/>
  <c r="AA76" i="19"/>
  <c r="Z76" i="19"/>
  <c r="Y76" i="19"/>
  <c r="X76" i="19"/>
  <c r="W76" i="19"/>
  <c r="V76" i="19"/>
  <c r="U76" i="19"/>
  <c r="T76" i="19"/>
  <c r="S76" i="19"/>
  <c r="R76" i="19"/>
  <c r="Q76" i="19"/>
  <c r="P76" i="19"/>
  <c r="O76" i="19"/>
  <c r="N76" i="19"/>
  <c r="M76" i="19"/>
  <c r="L76" i="19"/>
  <c r="K76" i="19"/>
  <c r="J76" i="19"/>
  <c r="I76" i="19"/>
  <c r="H76" i="19"/>
  <c r="E72" i="19"/>
  <c r="B72" i="19"/>
  <c r="AE70" i="19"/>
  <c r="AD70" i="19"/>
  <c r="AC70" i="19"/>
  <c r="AB70" i="19"/>
  <c r="AA70" i="19"/>
  <c r="Z70" i="19"/>
  <c r="Y70" i="19"/>
  <c r="X70" i="19"/>
  <c r="W70" i="19"/>
  <c r="V70" i="19"/>
  <c r="U70" i="19"/>
  <c r="T70" i="19"/>
  <c r="S70" i="19"/>
  <c r="R70" i="19"/>
  <c r="Q70" i="19"/>
  <c r="P70" i="19"/>
  <c r="O70" i="19"/>
  <c r="N70" i="19"/>
  <c r="M70" i="19"/>
  <c r="L70" i="19"/>
  <c r="K70" i="19"/>
  <c r="J70" i="19"/>
  <c r="I70" i="19"/>
  <c r="H70" i="19"/>
  <c r="E62" i="19"/>
  <c r="C62" i="19"/>
  <c r="E61" i="19"/>
  <c r="C61" i="19"/>
  <c r="E66" i="19"/>
  <c r="B66" i="19"/>
  <c r="B60" i="19" s="1"/>
  <c r="AD64" i="19"/>
  <c r="AB64" i="19"/>
  <c r="Z64" i="19"/>
  <c r="Y64" i="19"/>
  <c r="X64" i="19"/>
  <c r="W64" i="19"/>
  <c r="V64" i="19"/>
  <c r="U64" i="19"/>
  <c r="T64" i="19"/>
  <c r="S64" i="19"/>
  <c r="R64" i="19"/>
  <c r="Q64" i="19"/>
  <c r="P64" i="19"/>
  <c r="O64" i="19"/>
  <c r="N64" i="19"/>
  <c r="M64" i="19"/>
  <c r="L64" i="19"/>
  <c r="K64" i="19"/>
  <c r="J64" i="19"/>
  <c r="I64" i="19"/>
  <c r="H64" i="19"/>
  <c r="AE62" i="19"/>
  <c r="AE56" i="19" s="1"/>
  <c r="AD62" i="19"/>
  <c r="AC62" i="19"/>
  <c r="AC56" i="19" s="1"/>
  <c r="AB62" i="19"/>
  <c r="AB56" i="19" s="1"/>
  <c r="AA62" i="19"/>
  <c r="AA56" i="19" s="1"/>
  <c r="Z62" i="19"/>
  <c r="Z56" i="19" s="1"/>
  <c r="Y62" i="19"/>
  <c r="Y56" i="19" s="1"/>
  <c r="X62" i="19"/>
  <c r="X56" i="19" s="1"/>
  <c r="W62" i="19"/>
  <c r="W56" i="19" s="1"/>
  <c r="V62" i="19"/>
  <c r="V56" i="19" s="1"/>
  <c r="U62" i="19"/>
  <c r="U56" i="19" s="1"/>
  <c r="T62" i="19"/>
  <c r="T56" i="19" s="1"/>
  <c r="S62" i="19"/>
  <c r="S56" i="19" s="1"/>
  <c r="R62" i="19"/>
  <c r="Q62" i="19"/>
  <c r="Q56" i="19" s="1"/>
  <c r="P62" i="19"/>
  <c r="P56" i="19" s="1"/>
  <c r="O62" i="19"/>
  <c r="O56" i="19" s="1"/>
  <c r="N62" i="19"/>
  <c r="M62" i="19"/>
  <c r="M56" i="19" s="1"/>
  <c r="L62" i="19"/>
  <c r="L56" i="19" s="1"/>
  <c r="K62" i="19"/>
  <c r="K56" i="19" s="1"/>
  <c r="J62" i="19"/>
  <c r="J56" i="19" s="1"/>
  <c r="I62" i="19"/>
  <c r="I56" i="19" s="1"/>
  <c r="H62" i="19"/>
  <c r="H56" i="19" s="1"/>
  <c r="AE61" i="19"/>
  <c r="AE55" i="19" s="1"/>
  <c r="AD61" i="19"/>
  <c r="AD55" i="19" s="1"/>
  <c r="AC61" i="19"/>
  <c r="AB61" i="19"/>
  <c r="AB55" i="19" s="1"/>
  <c r="AA61" i="19"/>
  <c r="AA55" i="19" s="1"/>
  <c r="Z61" i="19"/>
  <c r="Z55" i="19" s="1"/>
  <c r="Y61" i="19"/>
  <c r="Y55" i="19" s="1"/>
  <c r="X61" i="19"/>
  <c r="X55" i="19" s="1"/>
  <c r="W61" i="19"/>
  <c r="W55" i="19" s="1"/>
  <c r="V61" i="19"/>
  <c r="V55" i="19" s="1"/>
  <c r="U61" i="19"/>
  <c r="U55" i="19" s="1"/>
  <c r="T61" i="19"/>
  <c r="T55" i="19" s="1"/>
  <c r="S61" i="19"/>
  <c r="S55" i="19" s="1"/>
  <c r="R61" i="19"/>
  <c r="R55" i="19" s="1"/>
  <c r="Q61" i="19"/>
  <c r="Q55" i="19" s="1"/>
  <c r="P61" i="19"/>
  <c r="P55" i="19" s="1"/>
  <c r="O61" i="19"/>
  <c r="O55" i="19" s="1"/>
  <c r="N61" i="19"/>
  <c r="N55" i="19" s="1"/>
  <c r="M61" i="19"/>
  <c r="M55" i="19" s="1"/>
  <c r="L61" i="19"/>
  <c r="L55" i="19" s="1"/>
  <c r="K61" i="19"/>
  <c r="K55" i="19" s="1"/>
  <c r="J61" i="19"/>
  <c r="J55" i="19" s="1"/>
  <c r="I61" i="19"/>
  <c r="I55" i="19" s="1"/>
  <c r="H61" i="19"/>
  <c r="H55" i="19" s="1"/>
  <c r="AE60" i="19"/>
  <c r="AE54" i="19" s="1"/>
  <c r="AD60" i="19"/>
  <c r="AD54" i="19" s="1"/>
  <c r="AC60" i="19"/>
  <c r="AC54" i="19" s="1"/>
  <c r="AB60" i="19"/>
  <c r="AB54" i="19" s="1"/>
  <c r="AA60" i="19"/>
  <c r="AA54" i="19" s="1"/>
  <c r="Z60" i="19"/>
  <c r="Z54" i="19" s="1"/>
  <c r="Y60" i="19"/>
  <c r="Y54" i="19" s="1"/>
  <c r="X60" i="19"/>
  <c r="X54" i="19" s="1"/>
  <c r="W60" i="19"/>
  <c r="W54" i="19" s="1"/>
  <c r="V60" i="19"/>
  <c r="V54" i="19" s="1"/>
  <c r="U60" i="19"/>
  <c r="U54" i="19" s="1"/>
  <c r="T60" i="19"/>
  <c r="T54" i="19" s="1"/>
  <c r="S60" i="19"/>
  <c r="S54" i="19" s="1"/>
  <c r="R60" i="19"/>
  <c r="Q60" i="19"/>
  <c r="Q54" i="19" s="1"/>
  <c r="P60" i="19"/>
  <c r="P54" i="19" s="1"/>
  <c r="O60" i="19"/>
  <c r="O54" i="19" s="1"/>
  <c r="N60" i="19"/>
  <c r="N54" i="19" s="1"/>
  <c r="M60" i="19"/>
  <c r="M54" i="19" s="1"/>
  <c r="L60" i="19"/>
  <c r="L54" i="19" s="1"/>
  <c r="K60" i="19"/>
  <c r="K54" i="19" s="1"/>
  <c r="J60" i="19"/>
  <c r="I60" i="19"/>
  <c r="I54" i="19" s="1"/>
  <c r="H60" i="19"/>
  <c r="H54" i="19" s="1"/>
  <c r="C60" i="19"/>
  <c r="AE59" i="19"/>
  <c r="AD59" i="19"/>
  <c r="AD53" i="19" s="1"/>
  <c r="AC59" i="19"/>
  <c r="AB59" i="19"/>
  <c r="AA59" i="19"/>
  <c r="Z59" i="19"/>
  <c r="Z53" i="19" s="1"/>
  <c r="Y59" i="19"/>
  <c r="X59" i="19"/>
  <c r="X53" i="19" s="1"/>
  <c r="W59" i="19"/>
  <c r="W53" i="19" s="1"/>
  <c r="V59" i="19"/>
  <c r="V53" i="19" s="1"/>
  <c r="U59" i="19"/>
  <c r="T59" i="19"/>
  <c r="T53" i="19" s="1"/>
  <c r="S59" i="19"/>
  <c r="R59" i="19"/>
  <c r="Q59" i="19"/>
  <c r="P59" i="19"/>
  <c r="P53" i="19" s="1"/>
  <c r="O59" i="19"/>
  <c r="O53" i="19" s="1"/>
  <c r="N59" i="19"/>
  <c r="N53" i="19" s="1"/>
  <c r="M59" i="19"/>
  <c r="L59" i="19"/>
  <c r="L53" i="19" s="1"/>
  <c r="K59" i="19"/>
  <c r="J59" i="19"/>
  <c r="J53" i="19" s="1"/>
  <c r="I59" i="19"/>
  <c r="H59" i="19"/>
  <c r="H53" i="19" s="1"/>
  <c r="R56" i="19"/>
  <c r="AC55" i="19"/>
  <c r="R54" i="19"/>
  <c r="E50" i="19"/>
  <c r="B50" i="19"/>
  <c r="E49" i="19"/>
  <c r="B49" i="19"/>
  <c r="E48" i="19"/>
  <c r="B48" i="19"/>
  <c r="E47" i="19"/>
  <c r="B47" i="19"/>
  <c r="AE46" i="19"/>
  <c r="AD46" i="19"/>
  <c r="AC46" i="19"/>
  <c r="AB46" i="19"/>
  <c r="AA46" i="19"/>
  <c r="Z46" i="19"/>
  <c r="Y46" i="19"/>
  <c r="X46" i="19"/>
  <c r="W46" i="19"/>
  <c r="V46" i="19"/>
  <c r="U46" i="19"/>
  <c r="T46" i="19"/>
  <c r="S46" i="19"/>
  <c r="R46" i="19"/>
  <c r="Q46" i="19"/>
  <c r="P46" i="19"/>
  <c r="O46" i="19"/>
  <c r="N46" i="19"/>
  <c r="M46" i="19"/>
  <c r="L46" i="19"/>
  <c r="K46" i="19"/>
  <c r="J46" i="19"/>
  <c r="I46" i="19"/>
  <c r="H46" i="19"/>
  <c r="E44" i="19"/>
  <c r="B44" i="19"/>
  <c r="E43" i="19"/>
  <c r="B43" i="19"/>
  <c r="E42" i="19"/>
  <c r="B42" i="19"/>
  <c r="E41" i="19"/>
  <c r="B41" i="19"/>
  <c r="AE40" i="19"/>
  <c r="AD40" i="19"/>
  <c r="AC40" i="19"/>
  <c r="AB40" i="19"/>
  <c r="AA40" i="19"/>
  <c r="Z40" i="19"/>
  <c r="Y40" i="19"/>
  <c r="X40" i="19"/>
  <c r="W40" i="19"/>
  <c r="V40" i="19"/>
  <c r="U40" i="19"/>
  <c r="T40" i="19"/>
  <c r="S40" i="19"/>
  <c r="R40" i="19"/>
  <c r="Q40" i="19"/>
  <c r="P40" i="19"/>
  <c r="O40" i="19"/>
  <c r="N40" i="19"/>
  <c r="M40" i="19"/>
  <c r="L40" i="19"/>
  <c r="K40" i="19"/>
  <c r="J40" i="19"/>
  <c r="I40" i="19"/>
  <c r="H40" i="19"/>
  <c r="E38" i="19"/>
  <c r="B38" i="19"/>
  <c r="E36" i="19"/>
  <c r="B36" i="19"/>
  <c r="E35" i="19"/>
  <c r="B35" i="19"/>
  <c r="AE34" i="19"/>
  <c r="AD34" i="19"/>
  <c r="AC34" i="19"/>
  <c r="AB34" i="19"/>
  <c r="AA34" i="19"/>
  <c r="Z34" i="19"/>
  <c r="Y34" i="19"/>
  <c r="X34" i="19"/>
  <c r="W34" i="19"/>
  <c r="V34" i="19"/>
  <c r="U34" i="19"/>
  <c r="T34" i="19"/>
  <c r="S34" i="19"/>
  <c r="R34" i="19"/>
  <c r="Q34" i="19"/>
  <c r="P34" i="19"/>
  <c r="O34" i="19"/>
  <c r="N34" i="19"/>
  <c r="M34" i="19"/>
  <c r="L34" i="19"/>
  <c r="K34" i="19"/>
  <c r="J34" i="19"/>
  <c r="I34" i="19"/>
  <c r="H34" i="19"/>
  <c r="E30" i="19"/>
  <c r="B30" i="19"/>
  <c r="AE28" i="19"/>
  <c r="AD28" i="19"/>
  <c r="AC28" i="19"/>
  <c r="AB28" i="19"/>
  <c r="AA28" i="19"/>
  <c r="Z28" i="19"/>
  <c r="Y28" i="19"/>
  <c r="X28" i="19"/>
  <c r="W28" i="19"/>
  <c r="V28" i="19"/>
  <c r="U28" i="19"/>
  <c r="T28" i="19"/>
  <c r="S28" i="19"/>
  <c r="R28" i="19"/>
  <c r="Q28" i="19"/>
  <c r="P28" i="19"/>
  <c r="O28" i="19"/>
  <c r="N28" i="19"/>
  <c r="M28" i="19"/>
  <c r="L28" i="19"/>
  <c r="K28" i="19"/>
  <c r="J28" i="19"/>
  <c r="I28" i="19"/>
  <c r="H28" i="19"/>
  <c r="B26" i="19"/>
  <c r="F26" i="19" s="1"/>
  <c r="E24" i="19"/>
  <c r="B24" i="19"/>
  <c r="E23" i="19"/>
  <c r="B23" i="19"/>
  <c r="AE22" i="19"/>
  <c r="AD22" i="19"/>
  <c r="AC22" i="19"/>
  <c r="AB22" i="19"/>
  <c r="AA22" i="19"/>
  <c r="Z22" i="19"/>
  <c r="Y22" i="19"/>
  <c r="X22" i="19"/>
  <c r="W22" i="19"/>
  <c r="V22" i="19"/>
  <c r="U22" i="19"/>
  <c r="T22" i="19"/>
  <c r="S22" i="19"/>
  <c r="R22" i="19"/>
  <c r="Q22" i="19"/>
  <c r="P22" i="19"/>
  <c r="O22" i="19"/>
  <c r="N22" i="19"/>
  <c r="M22" i="19"/>
  <c r="L22" i="19"/>
  <c r="K22" i="19"/>
  <c r="J22" i="19"/>
  <c r="I22" i="19"/>
  <c r="H22" i="19"/>
  <c r="AE20" i="19"/>
  <c r="AD20" i="19"/>
  <c r="AC20" i="19"/>
  <c r="AB20" i="19"/>
  <c r="AA20" i="19"/>
  <c r="Z20" i="19"/>
  <c r="Y20" i="19"/>
  <c r="X20" i="19"/>
  <c r="W20" i="19"/>
  <c r="V20" i="19"/>
  <c r="U20" i="19"/>
  <c r="T20" i="19"/>
  <c r="S20" i="19"/>
  <c r="R20" i="19"/>
  <c r="Q20" i="19"/>
  <c r="P20" i="19"/>
  <c r="O20" i="19"/>
  <c r="N20" i="19"/>
  <c r="M20" i="19"/>
  <c r="L20" i="19"/>
  <c r="K20" i="19"/>
  <c r="J20" i="19"/>
  <c r="I20" i="19"/>
  <c r="H20" i="19"/>
  <c r="AE19" i="19"/>
  <c r="AD19" i="19"/>
  <c r="AC19" i="19"/>
  <c r="AB19" i="19"/>
  <c r="AA19" i="19"/>
  <c r="Z19" i="19"/>
  <c r="Y19" i="19"/>
  <c r="X19" i="19"/>
  <c r="W19" i="19"/>
  <c r="V19" i="19"/>
  <c r="U19" i="19"/>
  <c r="T19" i="19"/>
  <c r="S19" i="19"/>
  <c r="R19" i="19"/>
  <c r="Q19" i="19"/>
  <c r="P19" i="19"/>
  <c r="O19" i="19"/>
  <c r="N19" i="19"/>
  <c r="M19" i="19"/>
  <c r="L19" i="19"/>
  <c r="K19" i="19"/>
  <c r="J19" i="19"/>
  <c r="I19" i="19"/>
  <c r="H19" i="19"/>
  <c r="AE18" i="19"/>
  <c r="AD18" i="19"/>
  <c r="AC18" i="19"/>
  <c r="AB18" i="19"/>
  <c r="AA18" i="19"/>
  <c r="Z18" i="19"/>
  <c r="Y18" i="19"/>
  <c r="X18" i="19"/>
  <c r="W18" i="19"/>
  <c r="V18" i="19"/>
  <c r="U18" i="19"/>
  <c r="T18" i="19"/>
  <c r="S18" i="19"/>
  <c r="R18" i="19"/>
  <c r="Q18" i="19"/>
  <c r="P18" i="19"/>
  <c r="O18" i="19"/>
  <c r="N18" i="19"/>
  <c r="M18" i="19"/>
  <c r="L18" i="19"/>
  <c r="K18" i="19"/>
  <c r="J18" i="19"/>
  <c r="I18" i="19"/>
  <c r="H18" i="19"/>
  <c r="AE17" i="19"/>
  <c r="AD17" i="19"/>
  <c r="AC17" i="19"/>
  <c r="AB17" i="19"/>
  <c r="AA17" i="19"/>
  <c r="Z17" i="19"/>
  <c r="Y17" i="19"/>
  <c r="X17" i="19"/>
  <c r="W17" i="19"/>
  <c r="W112" i="19" s="1"/>
  <c r="V17" i="19"/>
  <c r="U17" i="19"/>
  <c r="T17" i="19"/>
  <c r="S17" i="19"/>
  <c r="R17" i="19"/>
  <c r="Q17" i="19"/>
  <c r="P17" i="19"/>
  <c r="O17" i="19"/>
  <c r="O112" i="19" s="1"/>
  <c r="N17" i="19"/>
  <c r="M17" i="19"/>
  <c r="L17" i="19"/>
  <c r="K17" i="19"/>
  <c r="J17" i="19"/>
  <c r="I17" i="19"/>
  <c r="H17" i="19"/>
  <c r="S16" i="19"/>
  <c r="E10" i="19"/>
  <c r="E9" i="19" s="1"/>
  <c r="B12" i="19"/>
  <c r="B11" i="19" s="1"/>
  <c r="AE11" i="19"/>
  <c r="AD11" i="19"/>
  <c r="AC11" i="19"/>
  <c r="AB11" i="19"/>
  <c r="AA11" i="19"/>
  <c r="Z11" i="19"/>
  <c r="Y11" i="19"/>
  <c r="X11" i="19"/>
  <c r="W11" i="19"/>
  <c r="V11" i="19"/>
  <c r="U11" i="19"/>
  <c r="T11" i="19"/>
  <c r="S11" i="19"/>
  <c r="R11" i="19"/>
  <c r="Q11" i="19"/>
  <c r="P11" i="19"/>
  <c r="O11" i="19"/>
  <c r="N11" i="19"/>
  <c r="M11" i="19"/>
  <c r="L11" i="19"/>
  <c r="K11" i="19"/>
  <c r="J11" i="19"/>
  <c r="I11" i="19"/>
  <c r="H11" i="19"/>
  <c r="AE10" i="19"/>
  <c r="AD10" i="19"/>
  <c r="AC10" i="19"/>
  <c r="AC9" i="19" s="1"/>
  <c r="AB10" i="19"/>
  <c r="AA10" i="19"/>
  <c r="AA9" i="19" s="1"/>
  <c r="Z10" i="19"/>
  <c r="Z9" i="19" s="1"/>
  <c r="Y10" i="19"/>
  <c r="Y9" i="19" s="1"/>
  <c r="X10" i="19"/>
  <c r="W10" i="19"/>
  <c r="W9" i="19" s="1"/>
  <c r="V10" i="19"/>
  <c r="U10" i="19"/>
  <c r="U9" i="19" s="1"/>
  <c r="T10" i="19"/>
  <c r="S10" i="19"/>
  <c r="S9" i="19" s="1"/>
  <c r="R10" i="19"/>
  <c r="Q10" i="19"/>
  <c r="Q9" i="19" s="1"/>
  <c r="P10" i="19"/>
  <c r="O10" i="19"/>
  <c r="O9" i="19" s="1"/>
  <c r="N10" i="19"/>
  <c r="M10" i="19"/>
  <c r="M9" i="19" s="1"/>
  <c r="L10" i="19"/>
  <c r="K10" i="19"/>
  <c r="K9" i="19" s="1"/>
  <c r="J10" i="19"/>
  <c r="J9" i="19" s="1"/>
  <c r="I10" i="19"/>
  <c r="I9" i="19" s="1"/>
  <c r="H10" i="19"/>
  <c r="AE9" i="19"/>
  <c r="E52" i="18"/>
  <c r="B52" i="18"/>
  <c r="E51" i="18"/>
  <c r="B51" i="18"/>
  <c r="B50" i="18"/>
  <c r="B49" i="18"/>
  <c r="AE48" i="18"/>
  <c r="AD48" i="18"/>
  <c r="AC48" i="18"/>
  <c r="AB48" i="18"/>
  <c r="AA48" i="18"/>
  <c r="Z48" i="18"/>
  <c r="Y48" i="18"/>
  <c r="X48" i="18"/>
  <c r="W48" i="18"/>
  <c r="V48" i="18"/>
  <c r="U48" i="18"/>
  <c r="T48" i="18"/>
  <c r="S48" i="18"/>
  <c r="R48" i="18"/>
  <c r="Q48" i="18"/>
  <c r="P48" i="18"/>
  <c r="O48" i="18"/>
  <c r="N48" i="18"/>
  <c r="M48" i="18"/>
  <c r="L48" i="18"/>
  <c r="K48" i="18"/>
  <c r="J48" i="18"/>
  <c r="I48" i="18"/>
  <c r="H48" i="18"/>
  <c r="AE46" i="18"/>
  <c r="AE58" i="18" s="1"/>
  <c r="AD46" i="18"/>
  <c r="AD58" i="18" s="1"/>
  <c r="AC46" i="18"/>
  <c r="AC58" i="18" s="1"/>
  <c r="AB46" i="18"/>
  <c r="AB58" i="18" s="1"/>
  <c r="AA46" i="18"/>
  <c r="AA58" i="18" s="1"/>
  <c r="Z46" i="18"/>
  <c r="Z58" i="18" s="1"/>
  <c r="Y46" i="18"/>
  <c r="Y58" i="18" s="1"/>
  <c r="X46" i="18"/>
  <c r="X58" i="18" s="1"/>
  <c r="W46" i="18"/>
  <c r="W58" i="18" s="1"/>
  <c r="V46" i="18"/>
  <c r="V58" i="18" s="1"/>
  <c r="U46" i="18"/>
  <c r="U58" i="18" s="1"/>
  <c r="T46" i="18"/>
  <c r="T58" i="18" s="1"/>
  <c r="S46" i="18"/>
  <c r="S58" i="18" s="1"/>
  <c r="R46" i="18"/>
  <c r="R58" i="18" s="1"/>
  <c r="Q46" i="18"/>
  <c r="Q58" i="18" s="1"/>
  <c r="P46" i="18"/>
  <c r="P58" i="18" s="1"/>
  <c r="O46" i="18"/>
  <c r="O58" i="18" s="1"/>
  <c r="N46" i="18"/>
  <c r="N58" i="18" s="1"/>
  <c r="M46" i="18"/>
  <c r="M58" i="18" s="1"/>
  <c r="L46" i="18"/>
  <c r="L58" i="18" s="1"/>
  <c r="K46" i="18"/>
  <c r="K58" i="18" s="1"/>
  <c r="J46" i="18"/>
  <c r="J58" i="18" s="1"/>
  <c r="I46" i="18"/>
  <c r="H46" i="18"/>
  <c r="AE45" i="18"/>
  <c r="AE57" i="18" s="1"/>
  <c r="AD45" i="18"/>
  <c r="AD57" i="18" s="1"/>
  <c r="AC45" i="18"/>
  <c r="AC57" i="18" s="1"/>
  <c r="AB45" i="18"/>
  <c r="AB57" i="18" s="1"/>
  <c r="AA45" i="18"/>
  <c r="AA57" i="18" s="1"/>
  <c r="Z45" i="18"/>
  <c r="Z57" i="18" s="1"/>
  <c r="Y45" i="18"/>
  <c r="Y57" i="18" s="1"/>
  <c r="X45" i="18"/>
  <c r="X57" i="18" s="1"/>
  <c r="W45" i="18"/>
  <c r="W57" i="18" s="1"/>
  <c r="V45" i="18"/>
  <c r="V57" i="18" s="1"/>
  <c r="U45" i="18"/>
  <c r="U57" i="18" s="1"/>
  <c r="T45" i="18"/>
  <c r="T57" i="18" s="1"/>
  <c r="S45" i="18"/>
  <c r="S57" i="18" s="1"/>
  <c r="R45" i="18"/>
  <c r="R57" i="18" s="1"/>
  <c r="Q45" i="18"/>
  <c r="Q57" i="18" s="1"/>
  <c r="P45" i="18"/>
  <c r="P57" i="18" s="1"/>
  <c r="O45" i="18"/>
  <c r="O57" i="18" s="1"/>
  <c r="N45" i="18"/>
  <c r="N57" i="18" s="1"/>
  <c r="M45" i="18"/>
  <c r="M57" i="18" s="1"/>
  <c r="L45" i="18"/>
  <c r="L57" i="18" s="1"/>
  <c r="K45" i="18"/>
  <c r="K57" i="18" s="1"/>
  <c r="J45" i="18"/>
  <c r="J57" i="18" s="1"/>
  <c r="I45" i="18"/>
  <c r="H45" i="18"/>
  <c r="C45" i="18" s="1"/>
  <c r="AE44" i="18"/>
  <c r="AE56" i="18" s="1"/>
  <c r="AD44" i="18"/>
  <c r="AD56" i="18" s="1"/>
  <c r="AC44" i="18"/>
  <c r="AC56" i="18" s="1"/>
  <c r="AB44" i="18"/>
  <c r="AB56" i="18" s="1"/>
  <c r="AA44" i="18"/>
  <c r="AA56" i="18" s="1"/>
  <c r="Z44" i="18"/>
  <c r="Z56" i="18" s="1"/>
  <c r="Y44" i="18"/>
  <c r="Y56" i="18" s="1"/>
  <c r="X44" i="18"/>
  <c r="X56" i="18" s="1"/>
  <c r="W44" i="18"/>
  <c r="W56" i="18" s="1"/>
  <c r="V44" i="18"/>
  <c r="V56" i="18" s="1"/>
  <c r="U44" i="18"/>
  <c r="U56" i="18" s="1"/>
  <c r="T44" i="18"/>
  <c r="T56" i="18" s="1"/>
  <c r="S44" i="18"/>
  <c r="S56" i="18" s="1"/>
  <c r="R44" i="18"/>
  <c r="R56" i="18" s="1"/>
  <c r="Q44" i="18"/>
  <c r="Q56" i="18" s="1"/>
  <c r="P44" i="18"/>
  <c r="P56" i="18" s="1"/>
  <c r="O44" i="18"/>
  <c r="O56" i="18" s="1"/>
  <c r="N44" i="18"/>
  <c r="N56" i="18" s="1"/>
  <c r="M44" i="18"/>
  <c r="M56" i="18" s="1"/>
  <c r="L44" i="18"/>
  <c r="L56" i="18" s="1"/>
  <c r="K44" i="18"/>
  <c r="K56" i="18" s="1"/>
  <c r="J44" i="18"/>
  <c r="J56" i="18" s="1"/>
  <c r="I44" i="18"/>
  <c r="H44" i="18"/>
  <c r="C44" i="18" s="1"/>
  <c r="C56" i="18" s="1"/>
  <c r="AE43" i="18"/>
  <c r="AE55" i="18" s="1"/>
  <c r="AD43" i="18"/>
  <c r="AC43" i="18"/>
  <c r="AB43" i="18"/>
  <c r="AA43" i="18"/>
  <c r="AA55" i="18" s="1"/>
  <c r="Z43" i="18"/>
  <c r="Z55" i="18" s="1"/>
  <c r="Y43" i="18"/>
  <c r="X43" i="18"/>
  <c r="X55" i="18" s="1"/>
  <c r="W43" i="18"/>
  <c r="W55" i="18" s="1"/>
  <c r="V43" i="18"/>
  <c r="U43" i="18"/>
  <c r="T43" i="18"/>
  <c r="T55" i="18" s="1"/>
  <c r="S43" i="18"/>
  <c r="S55" i="18" s="1"/>
  <c r="R43" i="18"/>
  <c r="R55" i="18" s="1"/>
  <c r="Q43" i="18"/>
  <c r="P43" i="18"/>
  <c r="P55" i="18" s="1"/>
  <c r="O43" i="18"/>
  <c r="O55" i="18" s="1"/>
  <c r="N43" i="18"/>
  <c r="M43" i="18"/>
  <c r="L43" i="18"/>
  <c r="L55" i="18" s="1"/>
  <c r="K43" i="18"/>
  <c r="K55" i="18" s="1"/>
  <c r="J43" i="18"/>
  <c r="J55" i="18" s="1"/>
  <c r="I43" i="18"/>
  <c r="H43" i="18"/>
  <c r="B32" i="18"/>
  <c r="B26" i="18" s="1"/>
  <c r="B31" i="18"/>
  <c r="B25" i="18" s="1"/>
  <c r="B30" i="18"/>
  <c r="B24" i="18" s="1"/>
  <c r="B29" i="18"/>
  <c r="B23" i="18" s="1"/>
  <c r="AE28" i="18"/>
  <c r="AD28" i="18"/>
  <c r="AC28" i="18"/>
  <c r="AB28" i="18"/>
  <c r="AA28" i="18"/>
  <c r="Z28" i="18"/>
  <c r="Y28" i="18"/>
  <c r="X28" i="18"/>
  <c r="W28" i="18"/>
  <c r="V28" i="18"/>
  <c r="U28" i="18"/>
  <c r="T28" i="18"/>
  <c r="S28" i="18"/>
  <c r="R28" i="18"/>
  <c r="Q28" i="18"/>
  <c r="P28" i="18"/>
  <c r="O28" i="18"/>
  <c r="N28" i="18"/>
  <c r="M28" i="18"/>
  <c r="L28" i="18"/>
  <c r="K28" i="18"/>
  <c r="J28" i="18"/>
  <c r="I28" i="18"/>
  <c r="H28" i="18"/>
  <c r="AE26" i="18"/>
  <c r="AE38" i="18" s="1"/>
  <c r="AD26" i="18"/>
  <c r="AD38" i="18" s="1"/>
  <c r="AC26" i="18"/>
  <c r="AC38" i="18" s="1"/>
  <c r="AB26" i="18"/>
  <c r="AB38" i="18" s="1"/>
  <c r="AA26" i="18"/>
  <c r="AA38" i="18" s="1"/>
  <c r="Z26" i="18"/>
  <c r="Z38" i="18" s="1"/>
  <c r="Y26" i="18"/>
  <c r="Y38" i="18" s="1"/>
  <c r="X26" i="18"/>
  <c r="X38" i="18" s="1"/>
  <c r="W26" i="18"/>
  <c r="W38" i="18" s="1"/>
  <c r="V26" i="18"/>
  <c r="V38" i="18" s="1"/>
  <c r="U26" i="18"/>
  <c r="U38" i="18" s="1"/>
  <c r="T26" i="18"/>
  <c r="T38" i="18" s="1"/>
  <c r="S26" i="18"/>
  <c r="S38" i="18" s="1"/>
  <c r="R26" i="18"/>
  <c r="R38" i="18" s="1"/>
  <c r="Q26" i="18"/>
  <c r="Q38" i="18" s="1"/>
  <c r="P26" i="18"/>
  <c r="P38" i="18" s="1"/>
  <c r="O26" i="18"/>
  <c r="O38" i="18" s="1"/>
  <c r="N26" i="18"/>
  <c r="N38" i="18" s="1"/>
  <c r="M26" i="18"/>
  <c r="M38" i="18" s="1"/>
  <c r="L26" i="18"/>
  <c r="L38" i="18" s="1"/>
  <c r="K26" i="18"/>
  <c r="K38" i="18" s="1"/>
  <c r="J26" i="18"/>
  <c r="J38" i="18" s="1"/>
  <c r="I26" i="18"/>
  <c r="H26" i="18"/>
  <c r="AE25" i="18"/>
  <c r="AE37" i="18" s="1"/>
  <c r="AD25" i="18"/>
  <c r="AD37" i="18" s="1"/>
  <c r="AC25" i="18"/>
  <c r="AC37" i="18" s="1"/>
  <c r="AB25" i="18"/>
  <c r="AB37" i="18" s="1"/>
  <c r="AA25" i="18"/>
  <c r="AA37" i="18" s="1"/>
  <c r="Z25" i="18"/>
  <c r="Z37" i="18" s="1"/>
  <c r="Y25" i="18"/>
  <c r="Y37" i="18" s="1"/>
  <c r="X25" i="18"/>
  <c r="X37" i="18" s="1"/>
  <c r="W25" i="18"/>
  <c r="W37" i="18" s="1"/>
  <c r="V25" i="18"/>
  <c r="V37" i="18" s="1"/>
  <c r="U25" i="18"/>
  <c r="U37" i="18" s="1"/>
  <c r="T25" i="18"/>
  <c r="T37" i="18" s="1"/>
  <c r="S25" i="18"/>
  <c r="S37" i="18" s="1"/>
  <c r="R25" i="18"/>
  <c r="R37" i="18" s="1"/>
  <c r="Q25" i="18"/>
  <c r="Q37" i="18" s="1"/>
  <c r="P25" i="18"/>
  <c r="P37" i="18" s="1"/>
  <c r="O25" i="18"/>
  <c r="O37" i="18" s="1"/>
  <c r="N25" i="18"/>
  <c r="N37" i="18" s="1"/>
  <c r="M25" i="18"/>
  <c r="M37" i="18" s="1"/>
  <c r="L25" i="18"/>
  <c r="L37" i="18" s="1"/>
  <c r="K25" i="18"/>
  <c r="K37" i="18" s="1"/>
  <c r="J25" i="18"/>
  <c r="J37" i="18" s="1"/>
  <c r="I25" i="18"/>
  <c r="H25" i="18"/>
  <c r="AE24" i="18"/>
  <c r="AE36" i="18" s="1"/>
  <c r="AD24" i="18"/>
  <c r="AD36" i="18" s="1"/>
  <c r="AC24" i="18"/>
  <c r="AC36" i="18" s="1"/>
  <c r="AB24" i="18"/>
  <c r="AB36" i="18" s="1"/>
  <c r="AA24" i="18"/>
  <c r="AA36" i="18" s="1"/>
  <c r="Z24" i="18"/>
  <c r="Z36" i="18" s="1"/>
  <c r="Y24" i="18"/>
  <c r="Y36" i="18" s="1"/>
  <c r="X24" i="18"/>
  <c r="W24" i="18"/>
  <c r="W36" i="18" s="1"/>
  <c r="V24" i="18"/>
  <c r="V36" i="18" s="1"/>
  <c r="U24" i="18"/>
  <c r="U36" i="18" s="1"/>
  <c r="T24" i="18"/>
  <c r="T36" i="18" s="1"/>
  <c r="S24" i="18"/>
  <c r="S36" i="18" s="1"/>
  <c r="R24" i="18"/>
  <c r="R36" i="18" s="1"/>
  <c r="Q24" i="18"/>
  <c r="Q36" i="18" s="1"/>
  <c r="P24" i="18"/>
  <c r="P36" i="18" s="1"/>
  <c r="O24" i="18"/>
  <c r="O36" i="18" s="1"/>
  <c r="N24" i="18"/>
  <c r="N36" i="18" s="1"/>
  <c r="M24" i="18"/>
  <c r="M36" i="18" s="1"/>
  <c r="L24" i="18"/>
  <c r="L36" i="18" s="1"/>
  <c r="K24" i="18"/>
  <c r="K36" i="18" s="1"/>
  <c r="J24" i="18"/>
  <c r="J36" i="18" s="1"/>
  <c r="I24" i="18"/>
  <c r="H24" i="18"/>
  <c r="AE23" i="18"/>
  <c r="AE35" i="18" s="1"/>
  <c r="AE34" i="18" s="1"/>
  <c r="AD23" i="18"/>
  <c r="AD35" i="18" s="1"/>
  <c r="AC23" i="18"/>
  <c r="AC35" i="18" s="1"/>
  <c r="AB23" i="18"/>
  <c r="AA23" i="18"/>
  <c r="AA35" i="18" s="1"/>
  <c r="AA34" i="18" s="1"/>
  <c r="Z23" i="18"/>
  <c r="Z35" i="18" s="1"/>
  <c r="Y23" i="18"/>
  <c r="Y35" i="18" s="1"/>
  <c r="X23" i="18"/>
  <c r="X35" i="18" s="1"/>
  <c r="W23" i="18"/>
  <c r="W35" i="18" s="1"/>
  <c r="W34" i="18" s="1"/>
  <c r="V23" i="18"/>
  <c r="V35" i="18" s="1"/>
  <c r="U23" i="18"/>
  <c r="U35" i="18" s="1"/>
  <c r="T23" i="18"/>
  <c r="T35" i="18" s="1"/>
  <c r="S23" i="18"/>
  <c r="S35" i="18" s="1"/>
  <c r="S34" i="18" s="1"/>
  <c r="R23" i="18"/>
  <c r="R35" i="18" s="1"/>
  <c r="Q23" i="18"/>
  <c r="Q35" i="18" s="1"/>
  <c r="P23" i="18"/>
  <c r="P35" i="18" s="1"/>
  <c r="O23" i="18"/>
  <c r="O35" i="18" s="1"/>
  <c r="O34" i="18" s="1"/>
  <c r="N23" i="18"/>
  <c r="N35" i="18" s="1"/>
  <c r="M23" i="18"/>
  <c r="M35" i="18" s="1"/>
  <c r="L23" i="18"/>
  <c r="L35" i="18" s="1"/>
  <c r="K23" i="18"/>
  <c r="K35" i="18" s="1"/>
  <c r="K34" i="18" s="1"/>
  <c r="J23" i="18"/>
  <c r="J35" i="18" s="1"/>
  <c r="I23" i="18"/>
  <c r="H23" i="18"/>
  <c r="E15" i="18"/>
  <c r="B15" i="18"/>
  <c r="B14" i="18" s="1"/>
  <c r="AE14" i="18"/>
  <c r="AD14" i="18"/>
  <c r="AC14" i="18"/>
  <c r="AB14" i="18"/>
  <c r="AA14" i="18"/>
  <c r="Z14" i="18"/>
  <c r="Y14" i="18"/>
  <c r="X14" i="18"/>
  <c r="W14" i="18"/>
  <c r="V14" i="18"/>
  <c r="U14" i="18"/>
  <c r="T14" i="18"/>
  <c r="S14" i="18"/>
  <c r="R14" i="18"/>
  <c r="Q14" i="18"/>
  <c r="P14" i="18"/>
  <c r="O14" i="18"/>
  <c r="N14" i="18"/>
  <c r="M14" i="18"/>
  <c r="L14" i="18"/>
  <c r="K14" i="18"/>
  <c r="J14" i="18"/>
  <c r="I14" i="18"/>
  <c r="H14" i="18"/>
  <c r="C14" i="18"/>
  <c r="E12" i="18"/>
  <c r="E11" i="18" s="1"/>
  <c r="C11" i="18"/>
  <c r="B12" i="18"/>
  <c r="B11" i="18" s="1"/>
  <c r="AE11" i="18"/>
  <c r="AD11" i="18"/>
  <c r="AC11" i="18"/>
  <c r="AB11" i="18"/>
  <c r="AA11" i="18"/>
  <c r="Z11" i="18"/>
  <c r="Y11" i="18"/>
  <c r="X11" i="18"/>
  <c r="W11" i="18"/>
  <c r="V11" i="18"/>
  <c r="U11" i="18"/>
  <c r="T11" i="18"/>
  <c r="S11" i="18"/>
  <c r="R11" i="18"/>
  <c r="Q11" i="18"/>
  <c r="P11" i="18"/>
  <c r="O11" i="18"/>
  <c r="N11" i="18"/>
  <c r="M11" i="18"/>
  <c r="L11" i="18"/>
  <c r="K11" i="18"/>
  <c r="J11" i="18"/>
  <c r="I11" i="18"/>
  <c r="H11" i="18"/>
  <c r="AE9" i="18"/>
  <c r="AE18" i="18" s="1"/>
  <c r="AE17" i="18" s="1"/>
  <c r="AD9" i="18"/>
  <c r="AD18" i="18" s="1"/>
  <c r="AD17" i="18" s="1"/>
  <c r="AC9" i="18"/>
  <c r="AC8" i="18" s="1"/>
  <c r="AB9" i="18"/>
  <c r="AB18" i="18" s="1"/>
  <c r="AB17" i="18" s="1"/>
  <c r="AA9" i="18"/>
  <c r="AA18" i="18" s="1"/>
  <c r="AA17" i="18" s="1"/>
  <c r="Z9" i="18"/>
  <c r="Z18" i="18" s="1"/>
  <c r="Z17" i="18" s="1"/>
  <c r="Y9" i="18"/>
  <c r="Y8" i="18" s="1"/>
  <c r="X9" i="18"/>
  <c r="X18" i="18" s="1"/>
  <c r="X17" i="18" s="1"/>
  <c r="W9" i="18"/>
  <c r="W18" i="18" s="1"/>
  <c r="W17" i="18" s="1"/>
  <c r="V9" i="18"/>
  <c r="V18" i="18" s="1"/>
  <c r="V17" i="18" s="1"/>
  <c r="U9" i="18"/>
  <c r="U8" i="18" s="1"/>
  <c r="T9" i="18"/>
  <c r="T18" i="18" s="1"/>
  <c r="T17" i="18" s="1"/>
  <c r="S9" i="18"/>
  <c r="S18" i="18" s="1"/>
  <c r="S17" i="18" s="1"/>
  <c r="R9" i="18"/>
  <c r="R18" i="18" s="1"/>
  <c r="R17" i="18" s="1"/>
  <c r="Q9" i="18"/>
  <c r="Q8" i="18" s="1"/>
  <c r="P9" i="18"/>
  <c r="O9" i="18"/>
  <c r="O18" i="18" s="1"/>
  <c r="O17" i="18" s="1"/>
  <c r="N9" i="18"/>
  <c r="N18" i="18" s="1"/>
  <c r="N17" i="18" s="1"/>
  <c r="M9" i="18"/>
  <c r="M8" i="18" s="1"/>
  <c r="L9" i="18"/>
  <c r="L18" i="18" s="1"/>
  <c r="L17" i="18" s="1"/>
  <c r="K9" i="18"/>
  <c r="K18" i="18" s="1"/>
  <c r="J18" i="18"/>
  <c r="J17" i="18" s="1"/>
  <c r="I9" i="18"/>
  <c r="H9" i="18"/>
  <c r="H8" i="18" s="1"/>
  <c r="AC54" i="17"/>
  <c r="AE56" i="17"/>
  <c r="AE54" i="17" s="1"/>
  <c r="AD56" i="17"/>
  <c r="AD54" i="17" s="1"/>
  <c r="AB56" i="17"/>
  <c r="AA56" i="17"/>
  <c r="Z56" i="17"/>
  <c r="Y56" i="17"/>
  <c r="X56" i="17"/>
  <c r="X54" i="17" s="1"/>
  <c r="W56" i="17"/>
  <c r="V56" i="17"/>
  <c r="U56" i="17"/>
  <c r="T56" i="17"/>
  <c r="S56" i="17"/>
  <c r="R56" i="17"/>
  <c r="Q56" i="17"/>
  <c r="P56" i="17"/>
  <c r="O56" i="17"/>
  <c r="N56" i="17"/>
  <c r="M56" i="17"/>
  <c r="L56" i="17"/>
  <c r="K56" i="17"/>
  <c r="J56" i="17"/>
  <c r="I56" i="17"/>
  <c r="H56" i="17"/>
  <c r="H54" i="17" s="1"/>
  <c r="E52" i="17"/>
  <c r="D52" i="17" s="1"/>
  <c r="D59" i="17" s="1"/>
  <c r="C52" i="17"/>
  <c r="C59" i="17" s="1"/>
  <c r="B52" i="17"/>
  <c r="E51" i="17"/>
  <c r="D51" i="17" s="1"/>
  <c r="D58" i="17" s="1"/>
  <c r="C51" i="17"/>
  <c r="C58" i="17" s="1"/>
  <c r="B51" i="17"/>
  <c r="E50" i="17"/>
  <c r="D50" i="17" s="1"/>
  <c r="D57" i="17" s="1"/>
  <c r="C50" i="17"/>
  <c r="C57" i="17" s="1"/>
  <c r="B50" i="17"/>
  <c r="E49" i="17"/>
  <c r="E56" i="17" s="1"/>
  <c r="C56" i="17"/>
  <c r="B49" i="17"/>
  <c r="B56" i="17" s="1"/>
  <c r="E48" i="17"/>
  <c r="C48" i="17"/>
  <c r="C55" i="17" s="1"/>
  <c r="B48" i="17"/>
  <c r="AE47" i="17"/>
  <c r="AD47" i="17"/>
  <c r="AC47" i="17"/>
  <c r="AB47" i="17"/>
  <c r="AA47" i="17"/>
  <c r="Z47" i="17"/>
  <c r="Y47" i="17"/>
  <c r="X47" i="17"/>
  <c r="W47" i="17"/>
  <c r="V47" i="17"/>
  <c r="U47" i="17"/>
  <c r="T47" i="17"/>
  <c r="S47" i="17"/>
  <c r="R47" i="17"/>
  <c r="Q47" i="17"/>
  <c r="P47" i="17"/>
  <c r="O47" i="17"/>
  <c r="N47" i="17"/>
  <c r="M47" i="17"/>
  <c r="L47" i="17"/>
  <c r="K47" i="17"/>
  <c r="J47" i="17"/>
  <c r="I47" i="17"/>
  <c r="H47" i="17"/>
  <c r="E36" i="17"/>
  <c r="D36" i="17" s="1"/>
  <c r="C36" i="17"/>
  <c r="B36" i="17"/>
  <c r="E35" i="17"/>
  <c r="D35" i="17" s="1"/>
  <c r="C35" i="17"/>
  <c r="B35" i="17"/>
  <c r="E34" i="17"/>
  <c r="D34" i="17" s="1"/>
  <c r="C34" i="17"/>
  <c r="B34" i="17"/>
  <c r="E33" i="17"/>
  <c r="D33" i="17" s="1"/>
  <c r="C33" i="17"/>
  <c r="B33" i="17"/>
  <c r="E32" i="17"/>
  <c r="D32" i="17" s="1"/>
  <c r="C32" i="17"/>
  <c r="B32" i="17"/>
  <c r="AE31" i="17"/>
  <c r="AD31" i="17"/>
  <c r="AC31" i="17"/>
  <c r="AB31" i="17"/>
  <c r="AA31" i="17"/>
  <c r="Z31" i="17"/>
  <c r="Y31" i="17"/>
  <c r="X31" i="17"/>
  <c r="W31" i="17"/>
  <c r="V31" i="17"/>
  <c r="U31" i="17"/>
  <c r="T31" i="17"/>
  <c r="S31" i="17"/>
  <c r="R31" i="17"/>
  <c r="Q31" i="17"/>
  <c r="P31" i="17"/>
  <c r="O31" i="17"/>
  <c r="N31" i="17"/>
  <c r="M31" i="17"/>
  <c r="L31" i="17"/>
  <c r="K31" i="17"/>
  <c r="J31" i="17"/>
  <c r="I31" i="17"/>
  <c r="H31" i="17"/>
  <c r="C29" i="17"/>
  <c r="B29" i="17"/>
  <c r="C28" i="17"/>
  <c r="B28" i="17"/>
  <c r="C26" i="17"/>
  <c r="B26" i="17"/>
  <c r="C25" i="17"/>
  <c r="B25" i="17"/>
  <c r="AE24" i="17"/>
  <c r="AD24" i="17"/>
  <c r="AC24" i="17"/>
  <c r="AB24" i="17"/>
  <c r="AA24" i="17"/>
  <c r="Z24" i="17"/>
  <c r="Y24" i="17"/>
  <c r="X24" i="17"/>
  <c r="W24" i="17"/>
  <c r="V24" i="17"/>
  <c r="U24" i="17"/>
  <c r="T24" i="17"/>
  <c r="S24" i="17"/>
  <c r="R24" i="17"/>
  <c r="Q24" i="17"/>
  <c r="P24" i="17"/>
  <c r="O24" i="17"/>
  <c r="N24" i="17"/>
  <c r="M24" i="17"/>
  <c r="L24" i="17"/>
  <c r="K24" i="17"/>
  <c r="J24" i="17"/>
  <c r="I24" i="17"/>
  <c r="H24" i="17"/>
  <c r="E21" i="17"/>
  <c r="D21" i="17" s="1"/>
  <c r="D14" i="17" s="1"/>
  <c r="D72" i="17" s="1"/>
  <c r="C21" i="17"/>
  <c r="C14" i="17" s="1"/>
  <c r="C72" i="17" s="1"/>
  <c r="B21" i="17"/>
  <c r="E20" i="17"/>
  <c r="D20" i="17" s="1"/>
  <c r="D13" i="17" s="1"/>
  <c r="D71" i="17" s="1"/>
  <c r="C20" i="17"/>
  <c r="C13" i="17" s="1"/>
  <c r="C71" i="17" s="1"/>
  <c r="B20" i="17"/>
  <c r="E19" i="17"/>
  <c r="D19" i="17" s="1"/>
  <c r="D12" i="17" s="1"/>
  <c r="D70" i="17" s="1"/>
  <c r="C19" i="17"/>
  <c r="B19" i="17"/>
  <c r="E18" i="17"/>
  <c r="C18" i="17"/>
  <c r="C11" i="17" s="1"/>
  <c r="C69" i="17" s="1"/>
  <c r="B18" i="17"/>
  <c r="E17" i="17"/>
  <c r="D17" i="17" s="1"/>
  <c r="C17" i="17"/>
  <c r="C10" i="17" s="1"/>
  <c r="C68" i="17" s="1"/>
  <c r="B17" i="17"/>
  <c r="C12" i="17"/>
  <c r="C70" i="17" s="1"/>
  <c r="B10" i="17"/>
  <c r="G142" i="16"/>
  <c r="F142" i="16"/>
  <c r="E129" i="16"/>
  <c r="D129" i="16" s="1"/>
  <c r="C128" i="16"/>
  <c r="B129" i="16"/>
  <c r="AE128" i="16"/>
  <c r="AD128" i="16"/>
  <c r="AC128" i="16"/>
  <c r="AB128" i="16"/>
  <c r="AA128" i="16"/>
  <c r="Z128" i="16"/>
  <c r="Y128" i="16"/>
  <c r="X128" i="16"/>
  <c r="W128" i="16"/>
  <c r="V128" i="16"/>
  <c r="U128" i="16"/>
  <c r="T128" i="16"/>
  <c r="S128" i="16"/>
  <c r="R128" i="16"/>
  <c r="Q128" i="16"/>
  <c r="P128" i="16"/>
  <c r="O128" i="16"/>
  <c r="N128" i="16"/>
  <c r="M128" i="16"/>
  <c r="L128" i="16"/>
  <c r="K128" i="16"/>
  <c r="J128" i="16"/>
  <c r="I128" i="16"/>
  <c r="H128" i="16"/>
  <c r="AE126" i="16"/>
  <c r="AE142" i="16" s="1"/>
  <c r="AE141" i="16" s="1"/>
  <c r="AD126" i="16"/>
  <c r="AD142" i="16" s="1"/>
  <c r="AD141" i="16" s="1"/>
  <c r="AC126" i="16"/>
  <c r="AB126" i="16"/>
  <c r="AB142" i="16" s="1"/>
  <c r="AB141" i="16" s="1"/>
  <c r="AA126" i="16"/>
  <c r="AA142" i="16" s="1"/>
  <c r="AA141" i="16" s="1"/>
  <c r="Z126" i="16"/>
  <c r="Z142" i="16" s="1"/>
  <c r="Z141" i="16" s="1"/>
  <c r="Y126" i="16"/>
  <c r="X126" i="16"/>
  <c r="X142" i="16" s="1"/>
  <c r="X141" i="16" s="1"/>
  <c r="W126" i="16"/>
  <c r="W142" i="16" s="1"/>
  <c r="W141" i="16" s="1"/>
  <c r="V126" i="16"/>
  <c r="V142" i="16" s="1"/>
  <c r="V141" i="16" s="1"/>
  <c r="U126" i="16"/>
  <c r="T126" i="16"/>
  <c r="T142" i="16" s="1"/>
  <c r="T141" i="16" s="1"/>
  <c r="S126" i="16"/>
  <c r="S142" i="16" s="1"/>
  <c r="S141" i="16" s="1"/>
  <c r="R126" i="16"/>
  <c r="R142" i="16" s="1"/>
  <c r="R141" i="16" s="1"/>
  <c r="Q126" i="16"/>
  <c r="P126" i="16"/>
  <c r="P142" i="16" s="1"/>
  <c r="P141" i="16" s="1"/>
  <c r="O126" i="16"/>
  <c r="O142" i="16" s="1"/>
  <c r="O141" i="16" s="1"/>
  <c r="N126" i="16"/>
  <c r="N142" i="16" s="1"/>
  <c r="N141" i="16" s="1"/>
  <c r="M126" i="16"/>
  <c r="L126" i="16"/>
  <c r="L142" i="16" s="1"/>
  <c r="L141" i="16" s="1"/>
  <c r="K126" i="16"/>
  <c r="K142" i="16" s="1"/>
  <c r="K141" i="16" s="1"/>
  <c r="J126" i="16"/>
  <c r="J142" i="16" s="1"/>
  <c r="J141" i="16" s="1"/>
  <c r="I126" i="16"/>
  <c r="H126" i="16"/>
  <c r="H142" i="16" s="1"/>
  <c r="H141" i="16" s="1"/>
  <c r="E122" i="16"/>
  <c r="D122" i="16" s="1"/>
  <c r="B122" i="16"/>
  <c r="E121" i="16"/>
  <c r="D121" i="16" s="1"/>
  <c r="B121" i="16"/>
  <c r="E120" i="16"/>
  <c r="D120" i="16" s="1"/>
  <c r="C119" i="16"/>
  <c r="B120"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E117" i="16"/>
  <c r="D117" i="16" s="1"/>
  <c r="B117" i="16"/>
  <c r="E116" i="16"/>
  <c r="D116" i="16" s="1"/>
  <c r="B116" i="16"/>
  <c r="E115" i="16"/>
  <c r="D115" i="16" s="1"/>
  <c r="B115" i="16"/>
  <c r="AE114" i="16"/>
  <c r="AD114" i="16"/>
  <c r="AC114" i="16"/>
  <c r="AB114" i="16"/>
  <c r="AA114" i="16"/>
  <c r="Z114" i="16"/>
  <c r="Y114" i="16"/>
  <c r="X114" i="16"/>
  <c r="W114" i="16"/>
  <c r="V114" i="16"/>
  <c r="U114" i="16"/>
  <c r="T114" i="16"/>
  <c r="S114" i="16"/>
  <c r="R114" i="16"/>
  <c r="Q114" i="16"/>
  <c r="P114" i="16"/>
  <c r="O114" i="16"/>
  <c r="N114" i="16"/>
  <c r="M114" i="16"/>
  <c r="L114" i="16"/>
  <c r="K114" i="16"/>
  <c r="J114" i="16"/>
  <c r="I114" i="16"/>
  <c r="H114" i="16"/>
  <c r="C114" i="16"/>
  <c r="E112" i="16"/>
  <c r="D112" i="16" s="1"/>
  <c r="B112" i="16"/>
  <c r="E111" i="16"/>
  <c r="D111" i="16" s="1"/>
  <c r="B111" i="16"/>
  <c r="E110" i="16"/>
  <c r="D110" i="16" s="1"/>
  <c r="B110"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C109" i="16"/>
  <c r="E107" i="16"/>
  <c r="D107" i="16" s="1"/>
  <c r="B107" i="16"/>
  <c r="E106" i="16"/>
  <c r="D106" i="16" s="1"/>
  <c r="B106" i="16"/>
  <c r="E105" i="16"/>
  <c r="D105" i="16" s="1"/>
  <c r="B105" i="16"/>
  <c r="AE104" i="16"/>
  <c r="AD104" i="16"/>
  <c r="AC104" i="16"/>
  <c r="AB104" i="16"/>
  <c r="AA104" i="16"/>
  <c r="Z104" i="16"/>
  <c r="Y104" i="16"/>
  <c r="X104" i="16"/>
  <c r="W104" i="16"/>
  <c r="V104" i="16"/>
  <c r="U104" i="16"/>
  <c r="T104" i="16"/>
  <c r="S104" i="16"/>
  <c r="R104" i="16"/>
  <c r="Q104" i="16"/>
  <c r="P104" i="16"/>
  <c r="O104" i="16"/>
  <c r="N104" i="16"/>
  <c r="M104" i="16"/>
  <c r="L104" i="16"/>
  <c r="K104" i="16"/>
  <c r="J104" i="16"/>
  <c r="I104" i="16"/>
  <c r="H104" i="16"/>
  <c r="C104" i="16"/>
  <c r="E102" i="16"/>
  <c r="D102" i="16" s="1"/>
  <c r="B102" i="16"/>
  <c r="E101" i="16"/>
  <c r="D101" i="16" s="1"/>
  <c r="B101" i="16"/>
  <c r="E100" i="16"/>
  <c r="D100" i="16" s="1"/>
  <c r="B100" i="16"/>
  <c r="AE99" i="16"/>
  <c r="AD99" i="16"/>
  <c r="AC99" i="16"/>
  <c r="AB99" i="16"/>
  <c r="AA99" i="16"/>
  <c r="Z99" i="16"/>
  <c r="Y99" i="16"/>
  <c r="X99" i="16"/>
  <c r="W99" i="16"/>
  <c r="V99" i="16"/>
  <c r="U99" i="16"/>
  <c r="T99" i="16"/>
  <c r="S99" i="16"/>
  <c r="R99" i="16"/>
  <c r="Q99" i="16"/>
  <c r="P99" i="16"/>
  <c r="O99" i="16"/>
  <c r="N99" i="16"/>
  <c r="M99" i="16"/>
  <c r="L99" i="16"/>
  <c r="K99" i="16"/>
  <c r="J99" i="16"/>
  <c r="I99" i="16"/>
  <c r="H99" i="16"/>
  <c r="C99" i="16"/>
  <c r="E97" i="16"/>
  <c r="D97" i="16" s="1"/>
  <c r="B97" i="16"/>
  <c r="E96" i="16"/>
  <c r="D96" i="16" s="1"/>
  <c r="B96" i="16"/>
  <c r="E95" i="16"/>
  <c r="D95" i="16" s="1"/>
  <c r="B95" i="16"/>
  <c r="AE94" i="16"/>
  <c r="AD94" i="16"/>
  <c r="AC94" i="16"/>
  <c r="AB94" i="16"/>
  <c r="AA94" i="16"/>
  <c r="Z94" i="16"/>
  <c r="Y94" i="16"/>
  <c r="X94" i="16"/>
  <c r="W94" i="16"/>
  <c r="V94" i="16"/>
  <c r="U94" i="16"/>
  <c r="T94" i="16"/>
  <c r="S94" i="16"/>
  <c r="R94" i="16"/>
  <c r="Q94" i="16"/>
  <c r="P94" i="16"/>
  <c r="O94" i="16"/>
  <c r="N94" i="16"/>
  <c r="M94" i="16"/>
  <c r="L94" i="16"/>
  <c r="K94" i="16"/>
  <c r="J94" i="16"/>
  <c r="I94" i="16"/>
  <c r="H94" i="16"/>
  <c r="C94" i="16"/>
  <c r="E92" i="16"/>
  <c r="D92" i="16" s="1"/>
  <c r="B92" i="16"/>
  <c r="E91" i="16"/>
  <c r="D91" i="16" s="1"/>
  <c r="B91" i="16"/>
  <c r="E90" i="16"/>
  <c r="D90" i="16" s="1"/>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C89" i="16"/>
  <c r="E87" i="16"/>
  <c r="D87" i="16" s="1"/>
  <c r="B87" i="16"/>
  <c r="E86" i="16"/>
  <c r="D86" i="16" s="1"/>
  <c r="B86" i="16"/>
  <c r="E85" i="16"/>
  <c r="D85" i="16" s="1"/>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E82" i="16"/>
  <c r="D82" i="16" s="1"/>
  <c r="B82" i="16"/>
  <c r="E81" i="16"/>
  <c r="D81" i="16" s="1"/>
  <c r="B81" i="16"/>
  <c r="E80" i="16"/>
  <c r="D80" i="16" s="1"/>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E77" i="16"/>
  <c r="D77" i="16" s="1"/>
  <c r="B77" i="16"/>
  <c r="E76" i="16"/>
  <c r="D76" i="16" s="1"/>
  <c r="B76" i="16"/>
  <c r="E75" i="16"/>
  <c r="C74" i="16"/>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E72" i="16"/>
  <c r="D72" i="16" s="1"/>
  <c r="B72" i="16"/>
  <c r="E71" i="16"/>
  <c r="D71" i="16" s="1"/>
  <c r="B71" i="16"/>
  <c r="E70" i="16"/>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AE67" i="16"/>
  <c r="AD67" i="16"/>
  <c r="AC67" i="16"/>
  <c r="AB67" i="16"/>
  <c r="AA67" i="16"/>
  <c r="Z67" i="16"/>
  <c r="Y67" i="16"/>
  <c r="X67" i="16"/>
  <c r="W67" i="16"/>
  <c r="V67" i="16"/>
  <c r="U67" i="16"/>
  <c r="T67" i="16"/>
  <c r="S67" i="16"/>
  <c r="R67" i="16"/>
  <c r="Q67" i="16"/>
  <c r="P67" i="16"/>
  <c r="O67" i="16"/>
  <c r="N67" i="16"/>
  <c r="M67" i="16"/>
  <c r="L67" i="16"/>
  <c r="K67" i="16"/>
  <c r="J67" i="16"/>
  <c r="I67" i="16"/>
  <c r="H67" i="16"/>
  <c r="C67" i="16" s="1"/>
  <c r="AE66" i="16"/>
  <c r="AD66" i="16"/>
  <c r="AC66" i="16"/>
  <c r="AB66" i="16"/>
  <c r="AA66" i="16"/>
  <c r="Z66" i="16"/>
  <c r="Y66" i="16"/>
  <c r="X66" i="16"/>
  <c r="W66" i="16"/>
  <c r="V66" i="16"/>
  <c r="U66" i="16"/>
  <c r="T66" i="16"/>
  <c r="S66" i="16"/>
  <c r="R66" i="16"/>
  <c r="Q66" i="16"/>
  <c r="P66" i="16"/>
  <c r="O66" i="16"/>
  <c r="N66" i="16"/>
  <c r="M66" i="16"/>
  <c r="L66" i="16"/>
  <c r="K66" i="16"/>
  <c r="J66" i="16"/>
  <c r="I66" i="16"/>
  <c r="H66" i="16"/>
  <c r="C66" i="16" s="1"/>
  <c r="AE65" i="16"/>
  <c r="AD65" i="16"/>
  <c r="AC65" i="16"/>
  <c r="AC64" i="16" s="1"/>
  <c r="AB65" i="16"/>
  <c r="AB64" i="16" s="1"/>
  <c r="AA65" i="16"/>
  <c r="AA64" i="16" s="1"/>
  <c r="Z65" i="16"/>
  <c r="Y65" i="16"/>
  <c r="Y64" i="16" s="1"/>
  <c r="X65" i="16"/>
  <c r="X64" i="16" s="1"/>
  <c r="W65" i="16"/>
  <c r="W64" i="16" s="1"/>
  <c r="V65" i="16"/>
  <c r="U65" i="16"/>
  <c r="U64" i="16" s="1"/>
  <c r="T65" i="16"/>
  <c r="T64" i="16" s="1"/>
  <c r="S65" i="16"/>
  <c r="S64" i="16" s="1"/>
  <c r="R65" i="16"/>
  <c r="Q65" i="16"/>
  <c r="Q64" i="16" s="1"/>
  <c r="P65" i="16"/>
  <c r="O65" i="16"/>
  <c r="O64" i="16" s="1"/>
  <c r="N65" i="16"/>
  <c r="M65" i="16"/>
  <c r="M64" i="16" s="1"/>
  <c r="L65" i="16"/>
  <c r="L64" i="16" s="1"/>
  <c r="K65" i="16"/>
  <c r="K64" i="16" s="1"/>
  <c r="J65" i="16"/>
  <c r="I65" i="16"/>
  <c r="H65" i="16"/>
  <c r="C65" i="16" s="1"/>
  <c r="AE64" i="16"/>
  <c r="AE62" i="16"/>
  <c r="AD62" i="16"/>
  <c r="AC62" i="16"/>
  <c r="AB62" i="16"/>
  <c r="AA62" i="16"/>
  <c r="Z62" i="16"/>
  <c r="Y62" i="16"/>
  <c r="X62" i="16"/>
  <c r="W62" i="16"/>
  <c r="V62" i="16"/>
  <c r="U62" i="16"/>
  <c r="T62" i="16"/>
  <c r="S62" i="16"/>
  <c r="R62" i="16"/>
  <c r="Q62" i="16"/>
  <c r="P62" i="16"/>
  <c r="O62" i="16"/>
  <c r="N62" i="16"/>
  <c r="M62" i="16"/>
  <c r="L62" i="16"/>
  <c r="K62" i="16"/>
  <c r="J62" i="16"/>
  <c r="I62" i="16"/>
  <c r="H62" i="16"/>
  <c r="AE61" i="16"/>
  <c r="AD61" i="16"/>
  <c r="AC61" i="16"/>
  <c r="AB61" i="16"/>
  <c r="AA61" i="16"/>
  <c r="Z61" i="16"/>
  <c r="Y61" i="16"/>
  <c r="X61" i="16"/>
  <c r="W61" i="16"/>
  <c r="V61" i="16"/>
  <c r="U61" i="16"/>
  <c r="T61" i="16"/>
  <c r="S61" i="16"/>
  <c r="R61" i="16"/>
  <c r="Q61" i="16"/>
  <c r="P61" i="16"/>
  <c r="O61" i="16"/>
  <c r="N61" i="16"/>
  <c r="M61" i="16"/>
  <c r="L61" i="16"/>
  <c r="K61" i="16"/>
  <c r="J61" i="16"/>
  <c r="I61" i="16"/>
  <c r="H61" i="16"/>
  <c r="AE60" i="16"/>
  <c r="AD60" i="16"/>
  <c r="AC60" i="16"/>
  <c r="AB60" i="16"/>
  <c r="AB59" i="16" s="1"/>
  <c r="AA60" i="16"/>
  <c r="Z60" i="16"/>
  <c r="Y60" i="16"/>
  <c r="X60" i="16"/>
  <c r="X59" i="16" s="1"/>
  <c r="W60" i="16"/>
  <c r="V60" i="16"/>
  <c r="U60" i="16"/>
  <c r="T60" i="16"/>
  <c r="T59" i="16" s="1"/>
  <c r="S60" i="16"/>
  <c r="R60" i="16"/>
  <c r="Q60" i="16"/>
  <c r="P60" i="16"/>
  <c r="P59" i="16" s="1"/>
  <c r="O60" i="16"/>
  <c r="N60" i="16"/>
  <c r="M60" i="16"/>
  <c r="L60" i="16"/>
  <c r="L59" i="16" s="1"/>
  <c r="K60" i="16"/>
  <c r="J60" i="16"/>
  <c r="I60" i="16"/>
  <c r="H60" i="16"/>
  <c r="H59" i="16" s="1"/>
  <c r="E57" i="16"/>
  <c r="D57" i="16" s="1"/>
  <c r="B57" i="16"/>
  <c r="E56" i="16"/>
  <c r="D56" i="16" s="1"/>
  <c r="B56" i="16"/>
  <c r="E55" i="16"/>
  <c r="D55" i="16" s="1"/>
  <c r="B55" i="16"/>
  <c r="AE54" i="16"/>
  <c r="AD54" i="16"/>
  <c r="AC54" i="16"/>
  <c r="AB54" i="16"/>
  <c r="AA54" i="16"/>
  <c r="Z54" i="16"/>
  <c r="Y54" i="16"/>
  <c r="X54" i="16"/>
  <c r="W54" i="16"/>
  <c r="V54" i="16"/>
  <c r="U54" i="16"/>
  <c r="T54" i="16"/>
  <c r="S54" i="16"/>
  <c r="R54" i="16"/>
  <c r="Q54" i="16"/>
  <c r="P54" i="16"/>
  <c r="O54" i="16"/>
  <c r="N54" i="16"/>
  <c r="M54" i="16"/>
  <c r="L54" i="16"/>
  <c r="K54" i="16"/>
  <c r="J54" i="16"/>
  <c r="I54" i="16"/>
  <c r="H54" i="16"/>
  <c r="AE52" i="16"/>
  <c r="AE42" i="16" s="1"/>
  <c r="AE37" i="16" s="1"/>
  <c r="AD52" i="16"/>
  <c r="AD42" i="16" s="1"/>
  <c r="AD37" i="16" s="1"/>
  <c r="AC52" i="16"/>
  <c r="AB52" i="16"/>
  <c r="AB42" i="16" s="1"/>
  <c r="AB37" i="16" s="1"/>
  <c r="AA52" i="16"/>
  <c r="AA42" i="16" s="1"/>
  <c r="AA37" i="16" s="1"/>
  <c r="Z52" i="16"/>
  <c r="Z42" i="16" s="1"/>
  <c r="Z37" i="16" s="1"/>
  <c r="Y52" i="16"/>
  <c r="Y42" i="16" s="1"/>
  <c r="Y37" i="16" s="1"/>
  <c r="X52" i="16"/>
  <c r="X42" i="16" s="1"/>
  <c r="X37" i="16" s="1"/>
  <c r="W52" i="16"/>
  <c r="W42" i="16" s="1"/>
  <c r="W37" i="16" s="1"/>
  <c r="V52" i="16"/>
  <c r="V42" i="16" s="1"/>
  <c r="V37" i="16" s="1"/>
  <c r="U52" i="16"/>
  <c r="U42" i="16" s="1"/>
  <c r="U37" i="16" s="1"/>
  <c r="T52" i="16"/>
  <c r="T42" i="16" s="1"/>
  <c r="T37" i="16" s="1"/>
  <c r="S52" i="16"/>
  <c r="S42" i="16" s="1"/>
  <c r="S37" i="16" s="1"/>
  <c r="R52" i="16"/>
  <c r="R42" i="16" s="1"/>
  <c r="R37" i="16" s="1"/>
  <c r="Q52" i="16"/>
  <c r="Q42" i="16" s="1"/>
  <c r="Q37" i="16" s="1"/>
  <c r="P52" i="16"/>
  <c r="P42" i="16" s="1"/>
  <c r="P37" i="16" s="1"/>
  <c r="O52" i="16"/>
  <c r="O42" i="16" s="1"/>
  <c r="O37" i="16" s="1"/>
  <c r="N52" i="16"/>
  <c r="N42" i="16" s="1"/>
  <c r="N37" i="16" s="1"/>
  <c r="M52" i="16"/>
  <c r="M42" i="16" s="1"/>
  <c r="M37" i="16" s="1"/>
  <c r="L52" i="16"/>
  <c r="L42" i="16" s="1"/>
  <c r="L37" i="16" s="1"/>
  <c r="K52" i="16"/>
  <c r="K42" i="16" s="1"/>
  <c r="K37" i="16" s="1"/>
  <c r="J52" i="16"/>
  <c r="I52" i="16"/>
  <c r="H52" i="16"/>
  <c r="AE51" i="16"/>
  <c r="AE41" i="16" s="1"/>
  <c r="AE36" i="16" s="1"/>
  <c r="AD51" i="16"/>
  <c r="AD41" i="16" s="1"/>
  <c r="AC51" i="16"/>
  <c r="AC41" i="16" s="1"/>
  <c r="AC36" i="16" s="1"/>
  <c r="AB51" i="16"/>
  <c r="AB41" i="16" s="1"/>
  <c r="AB36" i="16" s="1"/>
  <c r="AA51" i="16"/>
  <c r="AA41" i="16" s="1"/>
  <c r="AA36" i="16" s="1"/>
  <c r="Z51" i="16"/>
  <c r="Z41" i="16" s="1"/>
  <c r="Y51" i="16"/>
  <c r="Y41" i="16" s="1"/>
  <c r="Y36" i="16" s="1"/>
  <c r="X51" i="16"/>
  <c r="X41" i="16" s="1"/>
  <c r="X36" i="16" s="1"/>
  <c r="W51" i="16"/>
  <c r="W41" i="16" s="1"/>
  <c r="V51" i="16"/>
  <c r="V41" i="16" s="1"/>
  <c r="U51" i="16"/>
  <c r="U41" i="16" s="1"/>
  <c r="U36" i="16" s="1"/>
  <c r="T51" i="16"/>
  <c r="T41" i="16" s="1"/>
  <c r="T36" i="16" s="1"/>
  <c r="S51" i="16"/>
  <c r="S41" i="16" s="1"/>
  <c r="S36" i="16" s="1"/>
  <c r="R51" i="16"/>
  <c r="R41" i="16" s="1"/>
  <c r="Q51" i="16"/>
  <c r="Q41" i="16" s="1"/>
  <c r="Q36" i="16" s="1"/>
  <c r="P51" i="16"/>
  <c r="P41" i="16" s="1"/>
  <c r="P36" i="16" s="1"/>
  <c r="O51" i="16"/>
  <c r="O41" i="16" s="1"/>
  <c r="O36" i="16" s="1"/>
  <c r="N51" i="16"/>
  <c r="N41" i="16" s="1"/>
  <c r="M51" i="16"/>
  <c r="M41" i="16" s="1"/>
  <c r="M36" i="16" s="1"/>
  <c r="L51" i="16"/>
  <c r="L41" i="16" s="1"/>
  <c r="L36" i="16" s="1"/>
  <c r="K51" i="16"/>
  <c r="K41" i="16" s="1"/>
  <c r="K36" i="16" s="1"/>
  <c r="J51" i="16"/>
  <c r="J41" i="16" s="1"/>
  <c r="I51" i="16"/>
  <c r="H51" i="16"/>
  <c r="AE50" i="16"/>
  <c r="AE49" i="16" s="1"/>
  <c r="AD50" i="16"/>
  <c r="AD40" i="16" s="1"/>
  <c r="AD35" i="16" s="1"/>
  <c r="AC50" i="16"/>
  <c r="AC49" i="16" s="1"/>
  <c r="AB50" i="16"/>
  <c r="AB40" i="16" s="1"/>
  <c r="AB35" i="16" s="1"/>
  <c r="AA50" i="16"/>
  <c r="AA40" i="16" s="1"/>
  <c r="Z50" i="16"/>
  <c r="Z40" i="16" s="1"/>
  <c r="Z35" i="16" s="1"/>
  <c r="Y50" i="16"/>
  <c r="Y49" i="16" s="1"/>
  <c r="X50" i="16"/>
  <c r="X40" i="16" s="1"/>
  <c r="X35" i="16" s="1"/>
  <c r="W50" i="16"/>
  <c r="W49" i="16" s="1"/>
  <c r="V50" i="16"/>
  <c r="V40" i="16" s="1"/>
  <c r="V35" i="16" s="1"/>
  <c r="U50" i="16"/>
  <c r="U49" i="16" s="1"/>
  <c r="T50" i="16"/>
  <c r="T40" i="16" s="1"/>
  <c r="T39" i="16" s="1"/>
  <c r="S50" i="16"/>
  <c r="S49" i="16" s="1"/>
  <c r="R50" i="16"/>
  <c r="R40" i="16" s="1"/>
  <c r="R35" i="16" s="1"/>
  <c r="Q50" i="16"/>
  <c r="Q49" i="16" s="1"/>
  <c r="P50" i="16"/>
  <c r="P40" i="16" s="1"/>
  <c r="P35" i="16" s="1"/>
  <c r="O50" i="16"/>
  <c r="O49" i="16" s="1"/>
  <c r="N50" i="16"/>
  <c r="N40" i="16" s="1"/>
  <c r="N35" i="16" s="1"/>
  <c r="M50" i="16"/>
  <c r="M49" i="16" s="1"/>
  <c r="L50" i="16"/>
  <c r="L40" i="16" s="1"/>
  <c r="L35" i="16" s="1"/>
  <c r="K50" i="16"/>
  <c r="K40" i="16" s="1"/>
  <c r="J50" i="16"/>
  <c r="J40" i="16" s="1"/>
  <c r="J35" i="16" s="1"/>
  <c r="I50" i="16"/>
  <c r="I40" i="16" s="1"/>
  <c r="I35" i="16" s="1"/>
  <c r="H50" i="16"/>
  <c r="E47" i="16"/>
  <c r="D47" i="16" s="1"/>
  <c r="B47" i="16"/>
  <c r="E46" i="16"/>
  <c r="D46" i="16" s="1"/>
  <c r="B46" i="16"/>
  <c r="E45" i="16"/>
  <c r="D45" i="16" s="1"/>
  <c r="B45" i="16"/>
  <c r="AE44" i="16"/>
  <c r="AD44" i="16"/>
  <c r="AC44" i="16"/>
  <c r="AB44" i="16"/>
  <c r="AA44" i="16"/>
  <c r="Z44" i="16"/>
  <c r="Y44" i="16"/>
  <c r="X44" i="16"/>
  <c r="W44" i="16"/>
  <c r="V44" i="16"/>
  <c r="U44" i="16"/>
  <c r="T44" i="16"/>
  <c r="S44" i="16"/>
  <c r="R44" i="16"/>
  <c r="Q44" i="16"/>
  <c r="P44" i="16"/>
  <c r="O44" i="16"/>
  <c r="N44" i="16"/>
  <c r="M44" i="16"/>
  <c r="L44" i="16"/>
  <c r="K44" i="16"/>
  <c r="J44" i="16"/>
  <c r="I44" i="16"/>
  <c r="H44" i="16"/>
  <c r="AC42" i="16"/>
  <c r="AC37" i="16" s="1"/>
  <c r="AE30" i="16"/>
  <c r="AD30" i="16"/>
  <c r="AD29" i="16" s="1"/>
  <c r="AC30" i="16"/>
  <c r="AC29" i="16" s="1"/>
  <c r="AB30" i="16"/>
  <c r="AB29" i="16" s="1"/>
  <c r="AA30" i="16"/>
  <c r="AA29" i="16" s="1"/>
  <c r="Z30" i="16"/>
  <c r="Y30" i="16"/>
  <c r="Y29" i="16" s="1"/>
  <c r="X30" i="16"/>
  <c r="X29" i="16" s="1"/>
  <c r="W30" i="16"/>
  <c r="W29" i="16" s="1"/>
  <c r="V30" i="16"/>
  <c r="V29" i="16" s="1"/>
  <c r="U30" i="16"/>
  <c r="U29" i="16" s="1"/>
  <c r="T30" i="16"/>
  <c r="T29" i="16" s="1"/>
  <c r="S30" i="16"/>
  <c r="S29" i="16" s="1"/>
  <c r="R30" i="16"/>
  <c r="R29" i="16" s="1"/>
  <c r="Q30" i="16"/>
  <c r="Q29" i="16" s="1"/>
  <c r="P30" i="16"/>
  <c r="P29" i="16" s="1"/>
  <c r="O30" i="16"/>
  <c r="O29" i="16" s="1"/>
  <c r="N30" i="16"/>
  <c r="N29" i="16" s="1"/>
  <c r="M30" i="16"/>
  <c r="M29" i="16" s="1"/>
  <c r="L30" i="16"/>
  <c r="K30" i="16"/>
  <c r="K29" i="16" s="1"/>
  <c r="J30" i="16"/>
  <c r="I30" i="16"/>
  <c r="I29" i="16" s="1"/>
  <c r="H30" i="16"/>
  <c r="H29" i="16" s="1"/>
  <c r="AE29" i="16"/>
  <c r="Z29" i="16"/>
  <c r="E27" i="16"/>
  <c r="D27" i="16" s="1"/>
  <c r="D26" i="16" s="1"/>
  <c r="C26" i="16"/>
  <c r="B27" i="16"/>
  <c r="B26" i="16" s="1"/>
  <c r="AE26" i="16"/>
  <c r="AD26" i="16"/>
  <c r="AC26" i="16"/>
  <c r="AB26" i="16"/>
  <c r="AA26" i="16"/>
  <c r="Z26" i="16"/>
  <c r="Y26" i="16"/>
  <c r="X26" i="16"/>
  <c r="W26" i="16"/>
  <c r="V26" i="16"/>
  <c r="U26" i="16"/>
  <c r="T26" i="16"/>
  <c r="S26" i="16"/>
  <c r="R26" i="16"/>
  <c r="Q26" i="16"/>
  <c r="P26" i="16"/>
  <c r="O26" i="16"/>
  <c r="N26" i="16"/>
  <c r="M26" i="16"/>
  <c r="L26" i="16"/>
  <c r="K26" i="16"/>
  <c r="J26" i="16"/>
  <c r="I26" i="16"/>
  <c r="H26" i="16"/>
  <c r="E24" i="16"/>
  <c r="D24" i="16" s="1"/>
  <c r="D23" i="16" s="1"/>
  <c r="B24" i="16"/>
  <c r="B23" i="16" s="1"/>
  <c r="AE23" i="16"/>
  <c r="AD23" i="16"/>
  <c r="AC23" i="16"/>
  <c r="AB23" i="16"/>
  <c r="AA23" i="16"/>
  <c r="Z23" i="16"/>
  <c r="Y23" i="16"/>
  <c r="X23" i="16"/>
  <c r="W23" i="16"/>
  <c r="V23" i="16"/>
  <c r="U23" i="16"/>
  <c r="T23" i="16"/>
  <c r="S23" i="16"/>
  <c r="R23" i="16"/>
  <c r="Q23" i="16"/>
  <c r="P23" i="16"/>
  <c r="O23" i="16"/>
  <c r="N23" i="16"/>
  <c r="M23" i="16"/>
  <c r="L23" i="16"/>
  <c r="K23" i="16"/>
  <c r="J23" i="16"/>
  <c r="I23" i="16"/>
  <c r="H23" i="16"/>
  <c r="C23" i="16"/>
  <c r="E21" i="16"/>
  <c r="D21" i="16" s="1"/>
  <c r="D20" i="16" s="1"/>
  <c r="B21" i="16"/>
  <c r="B20" i="16" s="1"/>
  <c r="AE20" i="16"/>
  <c r="AD20" i="16"/>
  <c r="AC20" i="16"/>
  <c r="AB20" i="16"/>
  <c r="AA20" i="16"/>
  <c r="Z20" i="16"/>
  <c r="Y20" i="16"/>
  <c r="X20" i="16"/>
  <c r="W20" i="16"/>
  <c r="V20" i="16"/>
  <c r="U20" i="16"/>
  <c r="T20" i="16"/>
  <c r="S20" i="16"/>
  <c r="R20" i="16"/>
  <c r="Q20" i="16"/>
  <c r="P20" i="16"/>
  <c r="O20" i="16"/>
  <c r="N20" i="16"/>
  <c r="M20" i="16"/>
  <c r="L20" i="16"/>
  <c r="K20" i="16"/>
  <c r="J20" i="16"/>
  <c r="I20" i="16"/>
  <c r="C20" i="16"/>
  <c r="E18" i="16"/>
  <c r="D18" i="16" s="1"/>
  <c r="D17" i="16" s="1"/>
  <c r="B18" i="16"/>
  <c r="B17" i="16" s="1"/>
  <c r="AE17" i="16"/>
  <c r="AD17" i="16"/>
  <c r="AC17" i="16"/>
  <c r="AB17" i="16"/>
  <c r="AA17" i="16"/>
  <c r="Z17" i="16"/>
  <c r="Y17" i="16"/>
  <c r="X17" i="16"/>
  <c r="W17" i="16"/>
  <c r="V17" i="16"/>
  <c r="U17" i="16"/>
  <c r="T17" i="16"/>
  <c r="S17" i="16"/>
  <c r="R17" i="16"/>
  <c r="Q17" i="16"/>
  <c r="P17" i="16"/>
  <c r="O17" i="16"/>
  <c r="N17" i="16"/>
  <c r="M17" i="16"/>
  <c r="L17" i="16"/>
  <c r="K17" i="16"/>
  <c r="J17" i="16"/>
  <c r="I17" i="16"/>
  <c r="H17" i="16"/>
  <c r="E15" i="16"/>
  <c r="E14" i="16" s="1"/>
  <c r="C14" i="16"/>
  <c r="B15" i="16"/>
  <c r="AE14" i="16"/>
  <c r="AD14" i="16"/>
  <c r="AC14" i="16"/>
  <c r="AB14" i="16"/>
  <c r="AA14" i="16"/>
  <c r="Z14" i="16"/>
  <c r="Y14" i="16"/>
  <c r="X14" i="16"/>
  <c r="W14" i="16"/>
  <c r="V14" i="16"/>
  <c r="U14" i="16"/>
  <c r="T14" i="16"/>
  <c r="S14" i="16"/>
  <c r="R14" i="16"/>
  <c r="Q14" i="16"/>
  <c r="P14" i="16"/>
  <c r="O14" i="16"/>
  <c r="N14" i="16"/>
  <c r="M14" i="16"/>
  <c r="L14" i="16"/>
  <c r="K14" i="16"/>
  <c r="J14" i="16"/>
  <c r="I14" i="16"/>
  <c r="H14" i="16"/>
  <c r="AE12" i="16"/>
  <c r="AD12" i="16"/>
  <c r="AC12" i="16"/>
  <c r="AB12" i="16"/>
  <c r="AB11" i="16" s="1"/>
  <c r="AA12" i="16"/>
  <c r="Z12" i="16"/>
  <c r="Y12" i="16"/>
  <c r="X12" i="16"/>
  <c r="X11" i="16" s="1"/>
  <c r="W12" i="16"/>
  <c r="V12" i="16"/>
  <c r="U12" i="16"/>
  <c r="T12" i="16"/>
  <c r="T11" i="16" s="1"/>
  <c r="S12" i="16"/>
  <c r="R12" i="16"/>
  <c r="Q12" i="16"/>
  <c r="P12" i="16"/>
  <c r="P11" i="16" s="1"/>
  <c r="O12" i="16"/>
  <c r="N12" i="16"/>
  <c r="M12" i="16"/>
  <c r="L12" i="16"/>
  <c r="L11" i="16" s="1"/>
  <c r="K12" i="16"/>
  <c r="J12" i="16"/>
  <c r="I12" i="16"/>
  <c r="H12" i="16"/>
  <c r="H11" i="16" s="1"/>
  <c r="AE11" i="16"/>
  <c r="C50" i="16" l="1"/>
  <c r="C51" i="16"/>
  <c r="C23" i="18"/>
  <c r="C24" i="18"/>
  <c r="C25" i="18"/>
  <c r="C26" i="18"/>
  <c r="C52" i="16"/>
  <c r="E52" i="16"/>
  <c r="D52" i="16" s="1"/>
  <c r="L29" i="16"/>
  <c r="C30" i="16"/>
  <c r="C29" i="16" s="1"/>
  <c r="D104" i="16"/>
  <c r="B114" i="16"/>
  <c r="F52" i="17"/>
  <c r="I152" i="16"/>
  <c r="I151" i="16" s="1"/>
  <c r="K152" i="16"/>
  <c r="K151" i="16" s="1"/>
  <c r="M152" i="16"/>
  <c r="M151" i="16" s="1"/>
  <c r="O152" i="16"/>
  <c r="O151" i="16" s="1"/>
  <c r="Q152" i="16"/>
  <c r="Q151" i="16" s="1"/>
  <c r="S152" i="16"/>
  <c r="S151" i="16" s="1"/>
  <c r="U152" i="16"/>
  <c r="U151" i="16" s="1"/>
  <c r="W152" i="16"/>
  <c r="W151" i="16" s="1"/>
  <c r="Y152" i="16"/>
  <c r="Y151" i="16" s="1"/>
  <c r="AA152" i="16"/>
  <c r="AA151" i="16" s="1"/>
  <c r="AC152" i="16"/>
  <c r="AC151" i="16" s="1"/>
  <c r="AE152" i="16"/>
  <c r="AE151" i="16" s="1"/>
  <c r="Y40" i="16"/>
  <c r="Y35" i="16" s="1"/>
  <c r="Y137" i="16" s="1"/>
  <c r="Y148" i="16" s="1"/>
  <c r="O11" i="16"/>
  <c r="C46" i="18"/>
  <c r="C58" i="18" s="1"/>
  <c r="U119" i="19"/>
  <c r="W11" i="16"/>
  <c r="I42" i="16"/>
  <c r="I37" i="16" s="1"/>
  <c r="I139" i="16" s="1"/>
  <c r="R125" i="16"/>
  <c r="T125" i="16"/>
  <c r="X39" i="16"/>
  <c r="S125" i="16"/>
  <c r="J114" i="19"/>
  <c r="N114" i="19"/>
  <c r="R114" i="19"/>
  <c r="V114" i="19"/>
  <c r="Z114" i="19"/>
  <c r="AD114" i="19"/>
  <c r="R115" i="19"/>
  <c r="V115" i="19"/>
  <c r="Z115" i="19"/>
  <c r="E55" i="20"/>
  <c r="G55" i="20" s="1"/>
  <c r="E57" i="20"/>
  <c r="G57" i="20" s="1"/>
  <c r="E59" i="20"/>
  <c r="G59" i="20" s="1"/>
  <c r="W40" i="16"/>
  <c r="W35" i="16" s="1"/>
  <c r="W137" i="16" s="1"/>
  <c r="W148" i="16" s="1"/>
  <c r="J137" i="16"/>
  <c r="J132" i="16" s="1"/>
  <c r="N137" i="16"/>
  <c r="N132" i="16" s="1"/>
  <c r="R137" i="16"/>
  <c r="R148" i="16" s="1"/>
  <c r="V137" i="16"/>
  <c r="V148" i="16" s="1"/>
  <c r="Z137" i="16"/>
  <c r="Z148" i="16" s="1"/>
  <c r="AD137" i="16"/>
  <c r="AD148" i="16" s="1"/>
  <c r="L138" i="16"/>
  <c r="L149" i="16" s="1"/>
  <c r="P138" i="16"/>
  <c r="P149" i="16" s="1"/>
  <c r="T138" i="16"/>
  <c r="T149" i="16" s="1"/>
  <c r="X138" i="16"/>
  <c r="X149" i="16" s="1"/>
  <c r="AB138" i="16"/>
  <c r="AB149" i="16" s="1"/>
  <c r="L139" i="16"/>
  <c r="L150" i="16" s="1"/>
  <c r="L146" i="16" s="1"/>
  <c r="P139" i="16"/>
  <c r="P150" i="16" s="1"/>
  <c r="P146" i="16" s="1"/>
  <c r="V139" i="16"/>
  <c r="V150" i="16" s="1"/>
  <c r="V146" i="16" s="1"/>
  <c r="X139" i="16"/>
  <c r="X134" i="16" s="1"/>
  <c r="AB139" i="16"/>
  <c r="AB150" i="16" s="1"/>
  <c r="AB146" i="16" s="1"/>
  <c r="F86" i="16"/>
  <c r="F87" i="16"/>
  <c r="F96" i="16"/>
  <c r="F97" i="16"/>
  <c r="F107" i="16"/>
  <c r="Z125" i="16"/>
  <c r="E14" i="17"/>
  <c r="G14" i="17" s="1"/>
  <c r="L125" i="16"/>
  <c r="J42" i="18"/>
  <c r="J152" i="16"/>
  <c r="J151" i="16" s="1"/>
  <c r="N152" i="16"/>
  <c r="N151" i="16" s="1"/>
  <c r="R152" i="16"/>
  <c r="R151" i="16" s="1"/>
  <c r="V152" i="16"/>
  <c r="V151" i="16" s="1"/>
  <c r="Z152" i="16"/>
  <c r="Z151" i="16" s="1"/>
  <c r="AD152" i="16"/>
  <c r="AD151" i="16" s="1"/>
  <c r="K139" i="16"/>
  <c r="K134" i="16" s="1"/>
  <c r="O139" i="16"/>
  <c r="O150" i="16" s="1"/>
  <c r="O146" i="16" s="1"/>
  <c r="W139" i="16"/>
  <c r="W134" i="16" s="1"/>
  <c r="AA139" i="16"/>
  <c r="AA134" i="16" s="1"/>
  <c r="AE139" i="16"/>
  <c r="AE150" i="16" s="1"/>
  <c r="AE146" i="16" s="1"/>
  <c r="H125" i="16"/>
  <c r="AD125" i="16"/>
  <c r="E13" i="17"/>
  <c r="G13" i="17" s="1"/>
  <c r="I35" i="18"/>
  <c r="D23" i="18"/>
  <c r="E23" i="18"/>
  <c r="F23" i="18" s="1"/>
  <c r="I36" i="18"/>
  <c r="E24" i="18"/>
  <c r="G24" i="18" s="1"/>
  <c r="D24" i="18"/>
  <c r="I37" i="18"/>
  <c r="E25" i="18"/>
  <c r="F25" i="18" s="1"/>
  <c r="D25" i="18"/>
  <c r="I38" i="18"/>
  <c r="D26" i="18"/>
  <c r="E26" i="18"/>
  <c r="F26" i="18" s="1"/>
  <c r="Q113" i="19"/>
  <c r="U113" i="19"/>
  <c r="Y113" i="19"/>
  <c r="AC113" i="19"/>
  <c r="I114" i="19"/>
  <c r="M114" i="19"/>
  <c r="Q114" i="19"/>
  <c r="U114" i="19"/>
  <c r="Y114" i="19"/>
  <c r="AC114" i="19"/>
  <c r="I115" i="19"/>
  <c r="M115" i="19"/>
  <c r="Q115" i="19"/>
  <c r="U115" i="19"/>
  <c r="Y115" i="19"/>
  <c r="AC115" i="19"/>
  <c r="D89" i="16"/>
  <c r="H18" i="18"/>
  <c r="C18" i="18" s="1"/>
  <c r="C17" i="18" s="1"/>
  <c r="C9" i="18"/>
  <c r="C8" i="18" s="1"/>
  <c r="D43" i="18"/>
  <c r="D55" i="18" s="1"/>
  <c r="E43" i="18"/>
  <c r="E55" i="18" s="1"/>
  <c r="I56" i="18"/>
  <c r="D44" i="18"/>
  <c r="D56" i="18" s="1"/>
  <c r="E44" i="18"/>
  <c r="I57" i="18"/>
  <c r="I62" i="18" s="1"/>
  <c r="I68" i="18" s="1"/>
  <c r="E45" i="18"/>
  <c r="G45" i="18" s="1"/>
  <c r="D45" i="18"/>
  <c r="D57" i="18" s="1"/>
  <c r="I58" i="18"/>
  <c r="E46" i="18"/>
  <c r="E58" i="18" s="1"/>
  <c r="D46" i="18"/>
  <c r="D58" i="18" s="1"/>
  <c r="J112" i="19"/>
  <c r="N112" i="19"/>
  <c r="V112" i="19"/>
  <c r="Z112" i="19"/>
  <c r="AD112" i="19"/>
  <c r="N113" i="19"/>
  <c r="R113" i="19"/>
  <c r="V113" i="19"/>
  <c r="Z113" i="19"/>
  <c r="AD113" i="19"/>
  <c r="C102" i="19"/>
  <c r="AE138" i="16"/>
  <c r="AE149" i="16" s="1"/>
  <c r="O138" i="16"/>
  <c r="O149" i="16" s="1"/>
  <c r="H42" i="16"/>
  <c r="H37" i="16" s="1"/>
  <c r="H139" i="16" s="1"/>
  <c r="H150" i="16" s="1"/>
  <c r="H146" i="16" s="1"/>
  <c r="AC139" i="16"/>
  <c r="AC150" i="16" s="1"/>
  <c r="AC146" i="16" s="1"/>
  <c r="I137" i="16"/>
  <c r="I132" i="16" s="1"/>
  <c r="M138" i="16"/>
  <c r="M149" i="16" s="1"/>
  <c r="Q138" i="16"/>
  <c r="Q149" i="16" s="1"/>
  <c r="U138" i="16"/>
  <c r="U149" i="16" s="1"/>
  <c r="Y138" i="16"/>
  <c r="Y149" i="16" s="1"/>
  <c r="AC138" i="16"/>
  <c r="AC149" i="16" s="1"/>
  <c r="M139" i="16"/>
  <c r="M134" i="16" s="1"/>
  <c r="P64" i="16"/>
  <c r="F91" i="16"/>
  <c r="F102" i="16"/>
  <c r="B109" i="16"/>
  <c r="N125" i="16"/>
  <c r="X125" i="16"/>
  <c r="B16" i="17"/>
  <c r="D9" i="18"/>
  <c r="E9" i="18"/>
  <c r="E8" i="18" s="1"/>
  <c r="I113" i="19"/>
  <c r="M113" i="19"/>
  <c r="C64" i="16"/>
  <c r="P54" i="20"/>
  <c r="K11" i="16"/>
  <c r="S11" i="16"/>
  <c r="AA11" i="16"/>
  <c r="D44" i="16"/>
  <c r="D99" i="16"/>
  <c r="F106" i="16"/>
  <c r="J125" i="16"/>
  <c r="P125" i="16"/>
  <c r="V125" i="16"/>
  <c r="AA125" i="16"/>
  <c r="X8" i="18"/>
  <c r="L22" i="18"/>
  <c r="L42" i="18"/>
  <c r="J115" i="19"/>
  <c r="E12" i="17"/>
  <c r="G12" i="17" s="1"/>
  <c r="B44" i="16"/>
  <c r="B50" i="16"/>
  <c r="H64" i="16"/>
  <c r="B65" i="16"/>
  <c r="F92" i="16"/>
  <c r="D94" i="16"/>
  <c r="F101" i="16"/>
  <c r="E114" i="16"/>
  <c r="G114" i="16" s="1"/>
  <c r="K125" i="16"/>
  <c r="W125" i="16"/>
  <c r="AB125" i="16"/>
  <c r="E10" i="17"/>
  <c r="G10" i="17" s="1"/>
  <c r="B24" i="17"/>
  <c r="E31" i="17"/>
  <c r="F33" i="17"/>
  <c r="C47" i="17"/>
  <c r="T22" i="18"/>
  <c r="Z42" i="18"/>
  <c r="K113" i="19"/>
  <c r="O113" i="19"/>
  <c r="S113" i="19"/>
  <c r="W113" i="19"/>
  <c r="AA113" i="19"/>
  <c r="AE113" i="19"/>
  <c r="K114" i="19"/>
  <c r="O114" i="19"/>
  <c r="S114" i="19"/>
  <c r="W114" i="19"/>
  <c r="AA114" i="19"/>
  <c r="AE114" i="19"/>
  <c r="K115" i="19"/>
  <c r="O115" i="19"/>
  <c r="S115" i="19"/>
  <c r="W115" i="19"/>
  <c r="AA115" i="19"/>
  <c r="AE115" i="19"/>
  <c r="R58" i="19"/>
  <c r="B21" i="20"/>
  <c r="E58" i="20"/>
  <c r="H112" i="19"/>
  <c r="L112" i="19"/>
  <c r="P112" i="19"/>
  <c r="T112" i="19"/>
  <c r="X112" i="19"/>
  <c r="H113" i="19"/>
  <c r="L113" i="19"/>
  <c r="P113" i="19"/>
  <c r="T113" i="19"/>
  <c r="X113" i="19"/>
  <c r="AB113" i="19"/>
  <c r="H114" i="19"/>
  <c r="L114" i="19"/>
  <c r="P114" i="19"/>
  <c r="T114" i="19"/>
  <c r="X114" i="19"/>
  <c r="AB114" i="19"/>
  <c r="H115" i="19"/>
  <c r="L115" i="19"/>
  <c r="P115" i="19"/>
  <c r="T115" i="19"/>
  <c r="X115" i="19"/>
  <c r="AB115" i="19"/>
  <c r="J29" i="16"/>
  <c r="D114" i="16"/>
  <c r="H55" i="18"/>
  <c r="C43" i="18"/>
  <c r="AB55" i="18"/>
  <c r="AB54" i="18" s="1"/>
  <c r="AB42" i="18"/>
  <c r="E61" i="16"/>
  <c r="D75" i="16"/>
  <c r="D74" i="16" s="1"/>
  <c r="E74" i="16"/>
  <c r="G74" i="16" s="1"/>
  <c r="E84" i="16"/>
  <c r="E104" i="16"/>
  <c r="G104" i="16" s="1"/>
  <c r="M142" i="16"/>
  <c r="M141" i="16" s="1"/>
  <c r="M125" i="16"/>
  <c r="AC142" i="16"/>
  <c r="AC141" i="16" s="1"/>
  <c r="AC125" i="16"/>
  <c r="B68" i="17"/>
  <c r="D18" i="17"/>
  <c r="D11" i="17" s="1"/>
  <c r="D69" i="17" s="1"/>
  <c r="E11" i="17"/>
  <c r="E69" i="17" s="1"/>
  <c r="G69" i="17" s="1"/>
  <c r="B31" i="17"/>
  <c r="D109" i="16"/>
  <c r="E89" i="16"/>
  <c r="G89" i="16" s="1"/>
  <c r="E99" i="16"/>
  <c r="G99" i="16" s="1"/>
  <c r="D119" i="16"/>
  <c r="I142" i="16"/>
  <c r="I141" i="16" s="1"/>
  <c r="I125" i="16"/>
  <c r="U142" i="16"/>
  <c r="U141" i="16" s="1"/>
  <c r="U125" i="16"/>
  <c r="U40" i="16"/>
  <c r="U35" i="16" s="1"/>
  <c r="U137" i="16" s="1"/>
  <c r="U148" i="16" s="1"/>
  <c r="C44" i="16"/>
  <c r="K49" i="16"/>
  <c r="I59" i="16"/>
  <c r="M59" i="16"/>
  <c r="Q59" i="16"/>
  <c r="U59" i="16"/>
  <c r="Y59" i="16"/>
  <c r="AC59" i="16"/>
  <c r="E62" i="16"/>
  <c r="E119" i="16"/>
  <c r="G119" i="16" s="1"/>
  <c r="O125" i="16"/>
  <c r="AE125" i="16"/>
  <c r="I8" i="18"/>
  <c r="P22" i="18"/>
  <c r="H35" i="18"/>
  <c r="C35" i="18" s="1"/>
  <c r="AB35" i="18"/>
  <c r="AB34" i="18" s="1"/>
  <c r="AB22" i="18"/>
  <c r="H57" i="18"/>
  <c r="N7" i="20"/>
  <c r="AB44" i="20"/>
  <c r="L45" i="20"/>
  <c r="X45" i="20"/>
  <c r="H44" i="20"/>
  <c r="L44" i="20"/>
  <c r="P44" i="20"/>
  <c r="X44" i="20"/>
  <c r="B17" i="20"/>
  <c r="B14" i="20" s="1"/>
  <c r="K17" i="18"/>
  <c r="H58" i="18"/>
  <c r="E29" i="20"/>
  <c r="E94" i="16"/>
  <c r="G94" i="16" s="1"/>
  <c r="E109" i="16"/>
  <c r="Q142" i="16"/>
  <c r="Q141" i="16" s="1"/>
  <c r="Q125" i="16"/>
  <c r="Y142" i="16"/>
  <c r="Y141" i="16" s="1"/>
  <c r="Y125" i="16"/>
  <c r="C24" i="17"/>
  <c r="M40" i="16"/>
  <c r="M39" i="16" s="1"/>
  <c r="AC40" i="16"/>
  <c r="U139" i="16"/>
  <c r="U134" i="16" s="1"/>
  <c r="L49" i="16"/>
  <c r="B52" i="16"/>
  <c r="F52" i="16" s="1"/>
  <c r="B89" i="16"/>
  <c r="B94" i="16"/>
  <c r="B99" i="16"/>
  <c r="B104" i="16"/>
  <c r="C126" i="16"/>
  <c r="E16" i="17"/>
  <c r="E24" i="17"/>
  <c r="G24" i="17" s="1"/>
  <c r="F50" i="17"/>
  <c r="H37" i="18"/>
  <c r="C37" i="18" s="1"/>
  <c r="H38" i="18"/>
  <c r="C38" i="18" s="1"/>
  <c r="B28" i="18"/>
  <c r="J48" i="20"/>
  <c r="N14" i="20"/>
  <c r="Y44" i="20"/>
  <c r="P45" i="20"/>
  <c r="AB45" i="20"/>
  <c r="M46" i="20"/>
  <c r="AC46" i="20"/>
  <c r="AD14" i="20"/>
  <c r="H46" i="20"/>
  <c r="L46" i="20"/>
  <c r="P46" i="20"/>
  <c r="T46" i="20"/>
  <c r="X46" i="20"/>
  <c r="AB46" i="20"/>
  <c r="H47" i="20"/>
  <c r="L47" i="20"/>
  <c r="P47" i="20"/>
  <c r="T47" i="20"/>
  <c r="X47" i="20"/>
  <c r="AB47" i="20"/>
  <c r="B56" i="20"/>
  <c r="E65" i="16"/>
  <c r="E66" i="16"/>
  <c r="D66" i="16" s="1"/>
  <c r="E67" i="16"/>
  <c r="D67" i="16" s="1"/>
  <c r="C69" i="16"/>
  <c r="D61" i="16"/>
  <c r="F76" i="16"/>
  <c r="C62" i="16"/>
  <c r="G62" i="16" s="1"/>
  <c r="D79" i="16"/>
  <c r="F85" i="16"/>
  <c r="F90" i="16"/>
  <c r="F95" i="16"/>
  <c r="F100" i="16"/>
  <c r="F105" i="16"/>
  <c r="C31" i="17"/>
  <c r="F51" i="17"/>
  <c r="E28" i="18"/>
  <c r="N48" i="20"/>
  <c r="Q44" i="20"/>
  <c r="H45" i="20"/>
  <c r="M45" i="20"/>
  <c r="Q45" i="20"/>
  <c r="U45" i="20"/>
  <c r="Y45" i="20"/>
  <c r="AC45" i="20"/>
  <c r="E18" i="20"/>
  <c r="D18" i="20" s="1"/>
  <c r="Q46" i="20"/>
  <c r="U46" i="20"/>
  <c r="M47" i="20"/>
  <c r="Y47" i="20"/>
  <c r="AC47" i="20"/>
  <c r="R148" i="19"/>
  <c r="R143" i="19" s="1"/>
  <c r="D10" i="17"/>
  <c r="D68" i="17" s="1"/>
  <c r="D31" i="17"/>
  <c r="D128" i="16"/>
  <c r="D126" i="16"/>
  <c r="Q139" i="16"/>
  <c r="Q134" i="16" s="1"/>
  <c r="T49" i="16"/>
  <c r="B54" i="16"/>
  <c r="J59" i="16"/>
  <c r="N59" i="16"/>
  <c r="R59" i="16"/>
  <c r="V59" i="16"/>
  <c r="Z59" i="16"/>
  <c r="AD59" i="16"/>
  <c r="E60" i="16"/>
  <c r="B62" i="16"/>
  <c r="F81" i="16"/>
  <c r="E126" i="16"/>
  <c r="F129" i="16"/>
  <c r="F34" i="17"/>
  <c r="F35" i="17"/>
  <c r="F36" i="17"/>
  <c r="E128" i="16"/>
  <c r="G128" i="16" s="1"/>
  <c r="Y139" i="16"/>
  <c r="Y134" i="16" s="1"/>
  <c r="X49" i="16"/>
  <c r="B60" i="16"/>
  <c r="K59" i="16"/>
  <c r="O59" i="16"/>
  <c r="S59" i="16"/>
  <c r="W59" i="16"/>
  <c r="AA59" i="16"/>
  <c r="AE59" i="16"/>
  <c r="F80" i="16"/>
  <c r="C79" i="16"/>
  <c r="F120" i="16"/>
  <c r="F121" i="16"/>
  <c r="F122" i="16"/>
  <c r="B126" i="16"/>
  <c r="F18" i="17"/>
  <c r="F19" i="17"/>
  <c r="F20" i="17"/>
  <c r="F21" i="17"/>
  <c r="N16" i="19"/>
  <c r="R16" i="19"/>
  <c r="V16" i="19"/>
  <c r="AD16" i="19"/>
  <c r="C82" i="19"/>
  <c r="B36" i="20"/>
  <c r="C12" i="16"/>
  <c r="L39" i="16"/>
  <c r="K138" i="16"/>
  <c r="K149" i="16" s="1"/>
  <c r="S138" i="16"/>
  <c r="S149" i="16" s="1"/>
  <c r="AA138" i="16"/>
  <c r="AA149" i="16" s="1"/>
  <c r="N139" i="16"/>
  <c r="N150" i="16" s="1"/>
  <c r="N146" i="16" s="1"/>
  <c r="R139" i="16"/>
  <c r="R134" i="16" s="1"/>
  <c r="Z139" i="16"/>
  <c r="Z150" i="16" s="1"/>
  <c r="Z146" i="16" s="1"/>
  <c r="AD139" i="16"/>
  <c r="AD150" i="16" s="1"/>
  <c r="AD146" i="16" s="1"/>
  <c r="D62" i="16"/>
  <c r="F110" i="16"/>
  <c r="F111" i="16"/>
  <c r="F112" i="16"/>
  <c r="F115" i="16"/>
  <c r="F116" i="16"/>
  <c r="F117" i="16"/>
  <c r="B12" i="17"/>
  <c r="B70" i="17" s="1"/>
  <c r="B14" i="17"/>
  <c r="B72" i="17" s="1"/>
  <c r="B58" i="17"/>
  <c r="E121" i="19"/>
  <c r="G121" i="19" s="1"/>
  <c r="P16" i="19"/>
  <c r="X16" i="19"/>
  <c r="B19" i="19"/>
  <c r="B20" i="19"/>
  <c r="B10" i="20"/>
  <c r="B51" i="20" s="1"/>
  <c r="G39" i="20"/>
  <c r="E46" i="19"/>
  <c r="R53" i="19"/>
  <c r="R52" i="19" s="1"/>
  <c r="C70" i="19"/>
  <c r="C131" i="19"/>
  <c r="L52" i="19"/>
  <c r="P52" i="19"/>
  <c r="T52" i="19"/>
  <c r="X52" i="19"/>
  <c r="L58" i="19"/>
  <c r="Z58" i="19"/>
  <c r="C56" i="19"/>
  <c r="AC119" i="19"/>
  <c r="B10" i="19"/>
  <c r="B9" i="19" s="1"/>
  <c r="F9" i="19" s="1"/>
  <c r="B131" i="19"/>
  <c r="B125" i="19"/>
  <c r="E106" i="19"/>
  <c r="B106" i="19"/>
  <c r="E94" i="19"/>
  <c r="AD148" i="19"/>
  <c r="AD143" i="19" s="1"/>
  <c r="B88" i="19"/>
  <c r="G84" i="19"/>
  <c r="G82" i="19" s="1"/>
  <c r="AC58" i="19"/>
  <c r="I58" i="19"/>
  <c r="V58" i="19"/>
  <c r="B70" i="19"/>
  <c r="Y58" i="19"/>
  <c r="AB58" i="19"/>
  <c r="AB53" i="19"/>
  <c r="AB52" i="19" s="1"/>
  <c r="M58" i="19"/>
  <c r="Q58" i="19"/>
  <c r="U58" i="19"/>
  <c r="O58" i="19"/>
  <c r="G66" i="19"/>
  <c r="C55" i="19"/>
  <c r="B46" i="19"/>
  <c r="G49" i="19"/>
  <c r="B34" i="19"/>
  <c r="B22" i="19"/>
  <c r="B17" i="19"/>
  <c r="G42" i="19"/>
  <c r="G35" i="19"/>
  <c r="E34" i="19"/>
  <c r="G30" i="19"/>
  <c r="E22" i="19"/>
  <c r="G24" i="19"/>
  <c r="G12" i="19"/>
  <c r="L137" i="16"/>
  <c r="L132" i="16" s="1"/>
  <c r="L34" i="16"/>
  <c r="P137" i="16"/>
  <c r="P148" i="16" s="1"/>
  <c r="P34" i="16"/>
  <c r="X137" i="16"/>
  <c r="X148" i="16" s="1"/>
  <c r="X34" i="16"/>
  <c r="AB137" i="16"/>
  <c r="AB34" i="16"/>
  <c r="C11" i="16"/>
  <c r="K39" i="16"/>
  <c r="K35" i="16"/>
  <c r="AA39" i="16"/>
  <c r="AA35" i="16"/>
  <c r="W36" i="16"/>
  <c r="W138" i="16" s="1"/>
  <c r="W149" i="16" s="1"/>
  <c r="S40" i="16"/>
  <c r="J64" i="16"/>
  <c r="V64" i="16"/>
  <c r="B128" i="16"/>
  <c r="E122" i="19"/>
  <c r="D122" i="19" s="1"/>
  <c r="C125" i="19"/>
  <c r="C120" i="19"/>
  <c r="C136" i="19" s="1"/>
  <c r="E55" i="17"/>
  <c r="G55" i="17" s="1"/>
  <c r="D48" i="17"/>
  <c r="D55" i="17" s="1"/>
  <c r="AD49" i="20"/>
  <c r="AD48" i="20" s="1"/>
  <c r="AD7" i="20"/>
  <c r="S139" i="16"/>
  <c r="S150" i="16" s="1"/>
  <c r="S146" i="16" s="1"/>
  <c r="E44" i="16"/>
  <c r="F44" i="16" s="1"/>
  <c r="H40" i="16"/>
  <c r="C40" i="16" s="1"/>
  <c r="C54" i="16"/>
  <c r="N64" i="16"/>
  <c r="Z64" i="16"/>
  <c r="N148" i="19"/>
  <c r="N143" i="19" s="1"/>
  <c r="V148" i="19"/>
  <c r="V143" i="19" s="1"/>
  <c r="M11" i="16"/>
  <c r="U11" i="16"/>
  <c r="AC11" i="16"/>
  <c r="C17" i="16"/>
  <c r="T139" i="16"/>
  <c r="T150" i="16" s="1"/>
  <c r="T146" i="16" s="1"/>
  <c r="P39" i="16"/>
  <c r="O40" i="16"/>
  <c r="AE40" i="16"/>
  <c r="R39" i="16"/>
  <c r="R36" i="16"/>
  <c r="R138" i="16" s="1"/>
  <c r="R149" i="16" s="1"/>
  <c r="P49" i="16"/>
  <c r="AA49" i="16"/>
  <c r="E51" i="16"/>
  <c r="D51" i="16" s="1"/>
  <c r="F70" i="16"/>
  <c r="C61" i="16"/>
  <c r="F82" i="16"/>
  <c r="B47" i="17"/>
  <c r="B57" i="17"/>
  <c r="P18" i="18"/>
  <c r="P17" i="18" s="1"/>
  <c r="P8" i="18"/>
  <c r="R42" i="18"/>
  <c r="N55" i="18"/>
  <c r="N60" i="18" s="1"/>
  <c r="N42" i="18"/>
  <c r="V55" i="18"/>
  <c r="V60" i="18" s="1"/>
  <c r="V42" i="18"/>
  <c r="AD55" i="18"/>
  <c r="AD60" i="18" s="1"/>
  <c r="AD42" i="18"/>
  <c r="H56" i="18"/>
  <c r="C57" i="18"/>
  <c r="C54" i="19"/>
  <c r="E64" i="19"/>
  <c r="E59" i="19"/>
  <c r="R48" i="20"/>
  <c r="Z48" i="20"/>
  <c r="H14" i="20"/>
  <c r="H8" i="20"/>
  <c r="H49" i="20" s="1"/>
  <c r="H48" i="20" s="1"/>
  <c r="L14" i="20"/>
  <c r="L8" i="20"/>
  <c r="L49" i="20" s="1"/>
  <c r="L43" i="20" s="1"/>
  <c r="P14" i="20"/>
  <c r="P8" i="20"/>
  <c r="P49" i="20" s="1"/>
  <c r="P48" i="20" s="1"/>
  <c r="T14" i="20"/>
  <c r="T8" i="20"/>
  <c r="T49" i="20" s="1"/>
  <c r="T43" i="20" s="1"/>
  <c r="X14" i="20"/>
  <c r="X8" i="20"/>
  <c r="X49" i="20" s="1"/>
  <c r="X48" i="20" s="1"/>
  <c r="AB14" i="20"/>
  <c r="AB8" i="20"/>
  <c r="AB49" i="20" s="1"/>
  <c r="AB43" i="20" s="1"/>
  <c r="J44" i="20"/>
  <c r="N44" i="20"/>
  <c r="R44" i="20"/>
  <c r="V9" i="20"/>
  <c r="V50" i="20" s="1"/>
  <c r="V44" i="20" s="1"/>
  <c r="V14" i="20"/>
  <c r="Z44" i="20"/>
  <c r="AD44" i="20"/>
  <c r="J39" i="16"/>
  <c r="J36" i="16"/>
  <c r="J138" i="16" s="1"/>
  <c r="J149" i="16" s="1"/>
  <c r="Z39" i="16"/>
  <c r="Z36" i="16"/>
  <c r="Z138" i="16" s="1"/>
  <c r="Z149" i="16" s="1"/>
  <c r="D70" i="16"/>
  <c r="E69" i="16"/>
  <c r="B12" i="16"/>
  <c r="V39" i="16"/>
  <c r="V36" i="16"/>
  <c r="V138" i="16" s="1"/>
  <c r="V149" i="16" s="1"/>
  <c r="H41" i="16"/>
  <c r="C41" i="16" s="1"/>
  <c r="R64" i="16"/>
  <c r="AD64" i="16"/>
  <c r="B119" i="16"/>
  <c r="B82" i="19"/>
  <c r="Q11" i="16"/>
  <c r="Y11" i="16"/>
  <c r="B30" i="16"/>
  <c r="B29" i="16" s="1"/>
  <c r="E26" i="16"/>
  <c r="F26" i="16" s="1"/>
  <c r="AB39" i="16"/>
  <c r="E50" i="16"/>
  <c r="J11" i="16"/>
  <c r="N11" i="16"/>
  <c r="R11" i="16"/>
  <c r="V11" i="16"/>
  <c r="Z11" i="16"/>
  <c r="AD11" i="16"/>
  <c r="H152" i="16"/>
  <c r="H151" i="16" s="1"/>
  <c r="L152" i="16"/>
  <c r="L151" i="16" s="1"/>
  <c r="P152" i="16"/>
  <c r="P151" i="16" s="1"/>
  <c r="T152" i="16"/>
  <c r="T151" i="16" s="1"/>
  <c r="X152" i="16"/>
  <c r="X151" i="16" s="1"/>
  <c r="AB152" i="16"/>
  <c r="AB151" i="16" s="1"/>
  <c r="B14" i="16"/>
  <c r="F14" i="16" s="1"/>
  <c r="E17" i="16"/>
  <c r="F17" i="16" s="1"/>
  <c r="T35" i="16"/>
  <c r="Q40" i="16"/>
  <c r="I41" i="16"/>
  <c r="I39" i="16" s="1"/>
  <c r="N39" i="16"/>
  <c r="N36" i="16"/>
  <c r="N138" i="16" s="1"/>
  <c r="N149" i="16" s="1"/>
  <c r="AD39" i="16"/>
  <c r="AD36" i="16"/>
  <c r="AD138" i="16" s="1"/>
  <c r="AD149" i="16" s="1"/>
  <c r="J42" i="16"/>
  <c r="H49" i="16"/>
  <c r="AB49" i="16"/>
  <c r="E54" i="16"/>
  <c r="B61" i="16"/>
  <c r="B69" i="16"/>
  <c r="C60" i="16"/>
  <c r="E79" i="16"/>
  <c r="C84" i="16"/>
  <c r="C16" i="17"/>
  <c r="F26" i="17"/>
  <c r="F28" i="17"/>
  <c r="F29" i="17"/>
  <c r="B9" i="18"/>
  <c r="B8" i="18" s="1"/>
  <c r="H36" i="18"/>
  <c r="C36" i="18" s="1"/>
  <c r="H22" i="18"/>
  <c r="X36" i="18"/>
  <c r="X61" i="18" s="1"/>
  <c r="X67" i="18" s="1"/>
  <c r="X22" i="18"/>
  <c r="T42" i="18"/>
  <c r="H16" i="19"/>
  <c r="T16" i="19"/>
  <c r="E40" i="19"/>
  <c r="I119" i="19"/>
  <c r="E120" i="19"/>
  <c r="M119" i="19"/>
  <c r="Q119" i="19"/>
  <c r="Y136" i="19"/>
  <c r="Y119" i="19"/>
  <c r="H138" i="19"/>
  <c r="B138" i="19" s="1"/>
  <c r="B121" i="19"/>
  <c r="R46" i="20"/>
  <c r="J47" i="20"/>
  <c r="V47" i="20"/>
  <c r="E15" i="20"/>
  <c r="G15" i="20" s="1"/>
  <c r="I8" i="20"/>
  <c r="E8" i="20" s="1"/>
  <c r="D8" i="20" s="1"/>
  <c r="J45" i="20"/>
  <c r="N45" i="20"/>
  <c r="Z45" i="20"/>
  <c r="AD45" i="20"/>
  <c r="J46" i="20"/>
  <c r="V46" i="20"/>
  <c r="Z46" i="20"/>
  <c r="E48" i="18"/>
  <c r="G48" i="18" s="1"/>
  <c r="H148" i="19"/>
  <c r="H143" i="19" s="1"/>
  <c r="L148" i="19"/>
  <c r="L143" i="19" s="1"/>
  <c r="P148" i="19"/>
  <c r="P143" i="19" s="1"/>
  <c r="T148" i="19"/>
  <c r="T143" i="19" s="1"/>
  <c r="X148" i="19"/>
  <c r="X143" i="19" s="1"/>
  <c r="AB148" i="19"/>
  <c r="AB143" i="19" s="1"/>
  <c r="J16" i="19"/>
  <c r="Z16" i="19"/>
  <c r="B28" i="19"/>
  <c r="K58" i="19"/>
  <c r="O52" i="19"/>
  <c r="S58" i="19"/>
  <c r="W52" i="19"/>
  <c r="AA58" i="19"/>
  <c r="AE53" i="19"/>
  <c r="AE52" i="19" s="1"/>
  <c r="AE58" i="19"/>
  <c r="E70" i="19"/>
  <c r="B61" i="19"/>
  <c r="F61" i="19" s="1"/>
  <c r="E76" i="19"/>
  <c r="B94" i="19"/>
  <c r="S45" i="20"/>
  <c r="O46" i="20"/>
  <c r="AE46" i="20"/>
  <c r="R47" i="20"/>
  <c r="W47" i="20"/>
  <c r="J14" i="20"/>
  <c r="R14" i="20"/>
  <c r="Z14" i="20"/>
  <c r="J49" i="16"/>
  <c r="N49" i="16"/>
  <c r="R49" i="16"/>
  <c r="V49" i="16"/>
  <c r="Z49" i="16"/>
  <c r="AD49" i="16"/>
  <c r="D54" i="16"/>
  <c r="F71" i="16"/>
  <c r="F75" i="16"/>
  <c r="D84" i="16"/>
  <c r="B55" i="17"/>
  <c r="L54" i="17"/>
  <c r="P54" i="17"/>
  <c r="T54" i="17"/>
  <c r="AB54" i="17"/>
  <c r="B59" i="17"/>
  <c r="H42" i="18"/>
  <c r="P42" i="18"/>
  <c r="X42" i="18"/>
  <c r="I42" i="18"/>
  <c r="M42" i="18"/>
  <c r="Q42" i="18"/>
  <c r="U42" i="18"/>
  <c r="Y42" i="18"/>
  <c r="AC42" i="18"/>
  <c r="I148" i="19"/>
  <c r="I143" i="19" s="1"/>
  <c r="Q148" i="19"/>
  <c r="Q143" i="19" s="1"/>
  <c r="Y148" i="19"/>
  <c r="Y143" i="19" s="1"/>
  <c r="E11" i="19"/>
  <c r="F11" i="19" s="1"/>
  <c r="C28" i="19"/>
  <c r="G43" i="19"/>
  <c r="W58" i="19"/>
  <c r="P58" i="19"/>
  <c r="T58" i="19"/>
  <c r="J54" i="19"/>
  <c r="J113" i="19" s="1"/>
  <c r="J58" i="19"/>
  <c r="Z52" i="19"/>
  <c r="B64" i="19"/>
  <c r="B123" i="19"/>
  <c r="K46" i="20"/>
  <c r="AA46" i="20"/>
  <c r="N47" i="20"/>
  <c r="S47" i="20"/>
  <c r="AD47" i="20"/>
  <c r="N58" i="19"/>
  <c r="AD58" i="19"/>
  <c r="G72" i="19"/>
  <c r="G70" i="19" s="1"/>
  <c r="B76" i="19"/>
  <c r="E82" i="19"/>
  <c r="E88" i="19"/>
  <c r="J100" i="19"/>
  <c r="N100" i="19"/>
  <c r="R100" i="19"/>
  <c r="V100" i="19"/>
  <c r="Z100" i="19"/>
  <c r="AD100" i="19"/>
  <c r="B102" i="19"/>
  <c r="E125" i="19"/>
  <c r="O43" i="20"/>
  <c r="O42" i="20" s="1"/>
  <c r="AE43" i="20"/>
  <c r="AE42" i="20" s="1"/>
  <c r="E21" i="20"/>
  <c r="G37" i="20"/>
  <c r="E36" i="20"/>
  <c r="G41" i="20"/>
  <c r="E47" i="17"/>
  <c r="D49" i="17"/>
  <c r="D56" i="17" s="1"/>
  <c r="E30" i="16"/>
  <c r="E29" i="16" s="1"/>
  <c r="E23" i="16"/>
  <c r="G23" i="16" s="1"/>
  <c r="I11" i="16"/>
  <c r="E20" i="16"/>
  <c r="G20" i="16" s="1"/>
  <c r="E12" i="16"/>
  <c r="D15" i="16"/>
  <c r="B51" i="16"/>
  <c r="B66" i="16"/>
  <c r="B22" i="18"/>
  <c r="V52" i="19"/>
  <c r="B67" i="16"/>
  <c r="F18" i="16"/>
  <c r="F21" i="16"/>
  <c r="F24" i="16"/>
  <c r="F27" i="16"/>
  <c r="F45" i="16"/>
  <c r="F46" i="16"/>
  <c r="F47" i="16"/>
  <c r="I49" i="16"/>
  <c r="F55" i="16"/>
  <c r="F56" i="16"/>
  <c r="F57" i="16"/>
  <c r="I64" i="16"/>
  <c r="B74" i="16"/>
  <c r="B79" i="16"/>
  <c r="B84" i="16"/>
  <c r="F72" i="16"/>
  <c r="F77" i="16"/>
  <c r="N8" i="18"/>
  <c r="V8" i="18"/>
  <c r="AD8" i="18"/>
  <c r="K22" i="18"/>
  <c r="O22" i="18"/>
  <c r="S22" i="18"/>
  <c r="W22" i="18"/>
  <c r="AA22" i="18"/>
  <c r="AE22" i="18"/>
  <c r="L34" i="18"/>
  <c r="P34" i="18"/>
  <c r="T34" i="18"/>
  <c r="B43" i="18"/>
  <c r="B44" i="18"/>
  <c r="B56" i="18" s="1"/>
  <c r="B45" i="18"/>
  <c r="B57" i="18" s="1"/>
  <c r="B46" i="18"/>
  <c r="B58" i="18" s="1"/>
  <c r="N9" i="19"/>
  <c r="R9" i="19"/>
  <c r="V9" i="19"/>
  <c r="AD9" i="19"/>
  <c r="K148" i="19"/>
  <c r="K143" i="19" s="1"/>
  <c r="O148" i="19"/>
  <c r="O143" i="19" s="1"/>
  <c r="S148" i="19"/>
  <c r="S143" i="19" s="1"/>
  <c r="W148" i="19"/>
  <c r="W143" i="19" s="1"/>
  <c r="AA148" i="19"/>
  <c r="AA143" i="19" s="1"/>
  <c r="AE148" i="19"/>
  <c r="AE143" i="19" s="1"/>
  <c r="L16" i="19"/>
  <c r="W16" i="19"/>
  <c r="AB16" i="19"/>
  <c r="B18" i="19"/>
  <c r="C20" i="19"/>
  <c r="G23" i="19"/>
  <c r="C22" i="19"/>
  <c r="C17" i="19"/>
  <c r="C40" i="19"/>
  <c r="G44" i="19"/>
  <c r="G48" i="19"/>
  <c r="K53" i="19"/>
  <c r="K52" i="19" s="1"/>
  <c r="S53" i="19"/>
  <c r="S52" i="19" s="1"/>
  <c r="AA53" i="19"/>
  <c r="AA52" i="19" s="1"/>
  <c r="B59" i="19"/>
  <c r="C64" i="19"/>
  <c r="E60" i="19"/>
  <c r="F60" i="19" s="1"/>
  <c r="B62" i="19"/>
  <c r="F62" i="19" s="1"/>
  <c r="I16" i="19"/>
  <c r="M16" i="19"/>
  <c r="Q16" i="19"/>
  <c r="U16" i="19"/>
  <c r="Y16" i="19"/>
  <c r="AC16" i="19"/>
  <c r="G47" i="19"/>
  <c r="C46" i="19"/>
  <c r="H52" i="19"/>
  <c r="G61" i="19"/>
  <c r="C67" i="17"/>
  <c r="J8" i="18"/>
  <c r="R8" i="18"/>
  <c r="Z8" i="18"/>
  <c r="I22" i="18"/>
  <c r="M22" i="18"/>
  <c r="Q22" i="18"/>
  <c r="U22" i="18"/>
  <c r="Y22" i="18"/>
  <c r="AC22" i="18"/>
  <c r="J34" i="18"/>
  <c r="N34" i="18"/>
  <c r="R34" i="18"/>
  <c r="V34" i="18"/>
  <c r="Z34" i="18"/>
  <c r="AD34" i="18"/>
  <c r="C28" i="18"/>
  <c r="H9" i="19"/>
  <c r="L9" i="19"/>
  <c r="P9" i="19"/>
  <c r="T9" i="19"/>
  <c r="X9" i="19"/>
  <c r="AB9" i="19"/>
  <c r="M148" i="19"/>
  <c r="M143" i="19" s="1"/>
  <c r="U148" i="19"/>
  <c r="U143" i="19" s="1"/>
  <c r="AC148" i="19"/>
  <c r="AC143" i="19" s="1"/>
  <c r="C11" i="19"/>
  <c r="O16" i="19"/>
  <c r="AE16" i="19"/>
  <c r="C19" i="19"/>
  <c r="C34" i="19"/>
  <c r="G38" i="19"/>
  <c r="B40" i="19"/>
  <c r="I53" i="19"/>
  <c r="I112" i="19" s="1"/>
  <c r="M53" i="19"/>
  <c r="M52" i="19" s="1"/>
  <c r="Q53" i="19"/>
  <c r="Q52" i="19" s="1"/>
  <c r="U53" i="19"/>
  <c r="U52" i="19" s="1"/>
  <c r="Y53" i="19"/>
  <c r="Y52" i="19" s="1"/>
  <c r="AC53" i="19"/>
  <c r="AC52" i="19" s="1"/>
  <c r="B55" i="19"/>
  <c r="E56" i="19"/>
  <c r="D56" i="19" s="1"/>
  <c r="N56" i="19"/>
  <c r="N52" i="19" s="1"/>
  <c r="AD56" i="19"/>
  <c r="AD52" i="19" s="1"/>
  <c r="H58" i="19"/>
  <c r="X58" i="19"/>
  <c r="C76" i="19"/>
  <c r="C9" i="17"/>
  <c r="L8" i="18"/>
  <c r="T8" i="18"/>
  <c r="AB8" i="18"/>
  <c r="J22" i="18"/>
  <c r="N22" i="18"/>
  <c r="R22" i="18"/>
  <c r="V22" i="18"/>
  <c r="Z22" i="18"/>
  <c r="AD22" i="18"/>
  <c r="C10" i="19"/>
  <c r="G10" i="19" s="1"/>
  <c r="Z148" i="19"/>
  <c r="Z143" i="19" s="1"/>
  <c r="K16" i="19"/>
  <c r="AA16" i="19"/>
  <c r="E28" i="19"/>
  <c r="E54" i="19"/>
  <c r="E55" i="19"/>
  <c r="D55" i="19" s="1"/>
  <c r="G62" i="19"/>
  <c r="G96" i="19"/>
  <c r="G94" i="19" s="1"/>
  <c r="C94" i="19"/>
  <c r="H100" i="19"/>
  <c r="C88" i="19"/>
  <c r="O147" i="19"/>
  <c r="O142" i="19" s="1"/>
  <c r="W147" i="19"/>
  <c r="W142" i="19" s="1"/>
  <c r="E18" i="19"/>
  <c r="K149" i="19"/>
  <c r="O149" i="19"/>
  <c r="S149" i="19"/>
  <c r="W149" i="19"/>
  <c r="AA149" i="19"/>
  <c r="AE149" i="19"/>
  <c r="I150" i="19"/>
  <c r="I145" i="19" s="1"/>
  <c r="M150" i="19"/>
  <c r="M145" i="19" s="1"/>
  <c r="Q150" i="19"/>
  <c r="Q145" i="19" s="1"/>
  <c r="U150" i="19"/>
  <c r="U145" i="19" s="1"/>
  <c r="Y150" i="19"/>
  <c r="Y145" i="19" s="1"/>
  <c r="AC150" i="19"/>
  <c r="AC145" i="19" s="1"/>
  <c r="G36" i="19"/>
  <c r="G41" i="19"/>
  <c r="G50" i="19"/>
  <c r="G78" i="19"/>
  <c r="G76" i="19" s="1"/>
  <c r="G90" i="19"/>
  <c r="G88" i="19" s="1"/>
  <c r="G108" i="19"/>
  <c r="G106" i="19" s="1"/>
  <c r="J119" i="19"/>
  <c r="N119" i="19"/>
  <c r="R119" i="19"/>
  <c r="V119" i="19"/>
  <c r="Z119" i="19"/>
  <c r="AD119" i="19"/>
  <c r="O136" i="19"/>
  <c r="S136" i="19"/>
  <c r="W136" i="19"/>
  <c r="AA136" i="19"/>
  <c r="AE136" i="19"/>
  <c r="B122" i="19"/>
  <c r="S48" i="20"/>
  <c r="W48" i="20"/>
  <c r="B11" i="20"/>
  <c r="B52" i="20" s="1"/>
  <c r="E12" i="20"/>
  <c r="E53" i="20" s="1"/>
  <c r="K14" i="20"/>
  <c r="O14" i="20"/>
  <c r="S14" i="20"/>
  <c r="W14" i="20"/>
  <c r="AA14" i="20"/>
  <c r="AE14" i="20"/>
  <c r="E16" i="20"/>
  <c r="G16" i="20" s="1"/>
  <c r="E19" i="20"/>
  <c r="F19" i="20" s="1"/>
  <c r="C21" i="20"/>
  <c r="G25" i="20"/>
  <c r="B55" i="20"/>
  <c r="C36" i="20"/>
  <c r="G40" i="20"/>
  <c r="K119" i="19"/>
  <c r="O119" i="19"/>
  <c r="S119" i="19"/>
  <c r="W119" i="19"/>
  <c r="AA119" i="19"/>
  <c r="AE119" i="19"/>
  <c r="E123" i="19"/>
  <c r="D123" i="19" s="1"/>
  <c r="J7" i="20"/>
  <c r="R7" i="20"/>
  <c r="Z7" i="20"/>
  <c r="E17" i="20"/>
  <c r="G17" i="20" s="1"/>
  <c r="B29" i="20"/>
  <c r="B58" i="20"/>
  <c r="K100" i="19"/>
  <c r="O100" i="19"/>
  <c r="S100" i="19"/>
  <c r="W100" i="19"/>
  <c r="AA100" i="19"/>
  <c r="AE100" i="19"/>
  <c r="E102" i="19"/>
  <c r="C106" i="19"/>
  <c r="H119" i="19"/>
  <c r="L119" i="19"/>
  <c r="P119" i="19"/>
  <c r="T119" i="19"/>
  <c r="X119" i="19"/>
  <c r="AB119" i="19"/>
  <c r="B120" i="19"/>
  <c r="M136" i="19"/>
  <c r="U136" i="19"/>
  <c r="AC136" i="19"/>
  <c r="Q7" i="20"/>
  <c r="B12" i="20"/>
  <c r="B53" i="20" s="1"/>
  <c r="M14" i="20"/>
  <c r="Q14" i="20"/>
  <c r="U14" i="20"/>
  <c r="Y14" i="20"/>
  <c r="AC14" i="20"/>
  <c r="G23" i="20"/>
  <c r="C29" i="20"/>
  <c r="G38" i="20"/>
  <c r="G14" i="16"/>
  <c r="G18" i="16"/>
  <c r="G21" i="16"/>
  <c r="G24" i="16"/>
  <c r="G27" i="16"/>
  <c r="G45" i="16"/>
  <c r="G46" i="16"/>
  <c r="G47" i="16"/>
  <c r="G55" i="16"/>
  <c r="G56" i="16"/>
  <c r="G57" i="16"/>
  <c r="G70" i="16"/>
  <c r="G71" i="16"/>
  <c r="G72" i="16"/>
  <c r="G75" i="16"/>
  <c r="G76" i="16"/>
  <c r="G77" i="16"/>
  <c r="G80" i="16"/>
  <c r="G81" i="16"/>
  <c r="G82" i="16"/>
  <c r="G85" i="16"/>
  <c r="G86" i="16"/>
  <c r="G87" i="16"/>
  <c r="G90" i="16"/>
  <c r="G91" i="16"/>
  <c r="G92" i="16"/>
  <c r="G95" i="16"/>
  <c r="G96" i="16"/>
  <c r="G97" i="16"/>
  <c r="G100" i="16"/>
  <c r="G101" i="16"/>
  <c r="G102" i="16"/>
  <c r="G105" i="16"/>
  <c r="G106" i="16"/>
  <c r="G107" i="16"/>
  <c r="G110" i="16"/>
  <c r="G111" i="16"/>
  <c r="G112" i="16"/>
  <c r="G115" i="16"/>
  <c r="G116" i="16"/>
  <c r="G117" i="16"/>
  <c r="G120" i="16"/>
  <c r="G121" i="16"/>
  <c r="G122" i="16"/>
  <c r="G129" i="16"/>
  <c r="N67" i="17"/>
  <c r="V67" i="17"/>
  <c r="AD67" i="17"/>
  <c r="K62" i="17"/>
  <c r="K76" i="17" s="1"/>
  <c r="M62" i="17"/>
  <c r="M76" i="17" s="1"/>
  <c r="O62" i="17"/>
  <c r="O76" i="17" s="1"/>
  <c r="S62" i="17"/>
  <c r="S76" i="17" s="1"/>
  <c r="W62" i="17"/>
  <c r="W76" i="17" s="1"/>
  <c r="AA62" i="17"/>
  <c r="AA76" i="17" s="1"/>
  <c r="AC62" i="17"/>
  <c r="AC76" i="17" s="1"/>
  <c r="AE62" i="17"/>
  <c r="AE76" i="17" s="1"/>
  <c r="I41" i="17"/>
  <c r="I63" i="17" s="1"/>
  <c r="I77" i="17" s="1"/>
  <c r="J41" i="17"/>
  <c r="J38" i="17" s="1"/>
  <c r="K41" i="17"/>
  <c r="K63" i="17" s="1"/>
  <c r="K77" i="17" s="1"/>
  <c r="M41" i="17"/>
  <c r="M63" i="17" s="1"/>
  <c r="M77" i="17" s="1"/>
  <c r="N41" i="17"/>
  <c r="N63" i="17" s="1"/>
  <c r="N77" i="17" s="1"/>
  <c r="O41" i="17"/>
  <c r="O63" i="17" s="1"/>
  <c r="O77" i="17" s="1"/>
  <c r="Q41" i="17"/>
  <c r="Q63" i="17" s="1"/>
  <c r="Q77" i="17" s="1"/>
  <c r="R41" i="17"/>
  <c r="R63" i="17" s="1"/>
  <c r="R77" i="17" s="1"/>
  <c r="S41" i="17"/>
  <c r="S63" i="17" s="1"/>
  <c r="S77" i="17" s="1"/>
  <c r="U41" i="17"/>
  <c r="U63" i="17" s="1"/>
  <c r="U77" i="17" s="1"/>
  <c r="V41" i="17"/>
  <c r="V63" i="17" s="1"/>
  <c r="V77" i="17" s="1"/>
  <c r="W41" i="17"/>
  <c r="W63" i="17" s="1"/>
  <c r="W77" i="17" s="1"/>
  <c r="Y41" i="17"/>
  <c r="Y63" i="17" s="1"/>
  <c r="Y77" i="17" s="1"/>
  <c r="Z41" i="17"/>
  <c r="Z38" i="17" s="1"/>
  <c r="AA41" i="17"/>
  <c r="AA63" i="17" s="1"/>
  <c r="AA77" i="17" s="1"/>
  <c r="AC41" i="17"/>
  <c r="AC63" i="17" s="1"/>
  <c r="AC77" i="17" s="1"/>
  <c r="AD41" i="17"/>
  <c r="AD63" i="17" s="1"/>
  <c r="AD77" i="17" s="1"/>
  <c r="AE41" i="17"/>
  <c r="AE63" i="17" s="1"/>
  <c r="AE77" i="17" s="1"/>
  <c r="G17" i="17"/>
  <c r="G18" i="17"/>
  <c r="G19" i="17"/>
  <c r="G20" i="17"/>
  <c r="G21" i="17"/>
  <c r="C39" i="17"/>
  <c r="C61" i="17" s="1"/>
  <c r="C75" i="17" s="1"/>
  <c r="C40" i="17"/>
  <c r="C62" i="17" s="1"/>
  <c r="C41" i="17"/>
  <c r="D41" i="17"/>
  <c r="D63" i="17" s="1"/>
  <c r="D77" i="17" s="1"/>
  <c r="C42" i="17"/>
  <c r="C64" i="17" s="1"/>
  <c r="C78" i="17" s="1"/>
  <c r="D42" i="17"/>
  <c r="D64" i="17" s="1"/>
  <c r="D78" i="17" s="1"/>
  <c r="C43" i="17"/>
  <c r="C65" i="17" s="1"/>
  <c r="C79" i="17" s="1"/>
  <c r="D43" i="17"/>
  <c r="D65" i="17" s="1"/>
  <c r="D79" i="17" s="1"/>
  <c r="G32" i="17"/>
  <c r="G33" i="17"/>
  <c r="G34" i="17"/>
  <c r="G35" i="17"/>
  <c r="G36" i="17"/>
  <c r="G50" i="17"/>
  <c r="E57" i="17"/>
  <c r="G51" i="17"/>
  <c r="E58" i="17"/>
  <c r="G52" i="17"/>
  <c r="E59" i="17"/>
  <c r="I62" i="17"/>
  <c r="I76" i="17" s="1"/>
  <c r="Q62" i="17"/>
  <c r="Q76" i="17" s="1"/>
  <c r="U62" i="17"/>
  <c r="U76" i="17" s="1"/>
  <c r="Y62" i="17"/>
  <c r="Y76" i="17" s="1"/>
  <c r="I54" i="17"/>
  <c r="K54" i="17"/>
  <c r="M54" i="17"/>
  <c r="O54" i="17"/>
  <c r="Q54" i="17"/>
  <c r="S54" i="17"/>
  <c r="U54" i="17"/>
  <c r="W54" i="17"/>
  <c r="Y54" i="17"/>
  <c r="AA54" i="17"/>
  <c r="F11" i="18"/>
  <c r="G12" i="18"/>
  <c r="F12" i="18"/>
  <c r="F29" i="18"/>
  <c r="K61" i="18"/>
  <c r="K67" i="18" s="1"/>
  <c r="S61" i="18"/>
  <c r="S67" i="18" s="1"/>
  <c r="AA61" i="18"/>
  <c r="AA67" i="18" s="1"/>
  <c r="M62" i="18"/>
  <c r="M68" i="18" s="1"/>
  <c r="Q62" i="18"/>
  <c r="Q68" i="18" s="1"/>
  <c r="U62" i="18"/>
  <c r="U68" i="18" s="1"/>
  <c r="Y62" i="18"/>
  <c r="Y68" i="18" s="1"/>
  <c r="AC62" i="18"/>
  <c r="AC68" i="18" s="1"/>
  <c r="K63" i="18"/>
  <c r="K69" i="18" s="1"/>
  <c r="O63" i="18"/>
  <c r="O69" i="18" s="1"/>
  <c r="S63" i="18"/>
  <c r="S69" i="18" s="1"/>
  <c r="W63" i="18"/>
  <c r="W69" i="18" s="1"/>
  <c r="AA63" i="18"/>
  <c r="AA69" i="18" s="1"/>
  <c r="AE63" i="18"/>
  <c r="AE69" i="18" s="1"/>
  <c r="G49" i="18"/>
  <c r="F49" i="18"/>
  <c r="B48" i="18"/>
  <c r="G51" i="18"/>
  <c r="F51" i="18"/>
  <c r="I54" i="20"/>
  <c r="K54" i="20"/>
  <c r="M54" i="20"/>
  <c r="O54" i="20"/>
  <c r="Q54" i="20"/>
  <c r="S54" i="20"/>
  <c r="U54" i="20"/>
  <c r="W54" i="20"/>
  <c r="Y54" i="20"/>
  <c r="AA54" i="20"/>
  <c r="AC54" i="20"/>
  <c r="AE54" i="20"/>
  <c r="Q34" i="18"/>
  <c r="Y34" i="18"/>
  <c r="K60" i="18"/>
  <c r="K54" i="18"/>
  <c r="O60" i="18"/>
  <c r="O54" i="18"/>
  <c r="S60" i="18"/>
  <c r="S54" i="18"/>
  <c r="W60" i="18"/>
  <c r="W54" i="18"/>
  <c r="AA60" i="18"/>
  <c r="AA54" i="18"/>
  <c r="AE60" i="18"/>
  <c r="AE54" i="18"/>
  <c r="C8" i="20"/>
  <c r="C43" i="20" s="1"/>
  <c r="C14" i="20"/>
  <c r="C10" i="20"/>
  <c r="C51" i="20" s="1"/>
  <c r="C12" i="20"/>
  <c r="C47" i="20" s="1"/>
  <c r="Y132" i="16"/>
  <c r="M34" i="18"/>
  <c r="U34" i="18"/>
  <c r="AC34" i="18"/>
  <c r="K62" i="18"/>
  <c r="K68" i="18" s="1"/>
  <c r="O62" i="18"/>
  <c r="O68" i="18" s="1"/>
  <c r="S62" i="18"/>
  <c r="S68" i="18" s="1"/>
  <c r="W62" i="18"/>
  <c r="W68" i="18" s="1"/>
  <c r="AA62" i="18"/>
  <c r="AA68" i="18" s="1"/>
  <c r="AE62" i="18"/>
  <c r="AE68" i="18" s="1"/>
  <c r="M63" i="18"/>
  <c r="M69" i="18" s="1"/>
  <c r="Q63" i="18"/>
  <c r="Q69" i="18" s="1"/>
  <c r="U63" i="18"/>
  <c r="U69" i="18" s="1"/>
  <c r="Y63" i="18"/>
  <c r="Y69" i="18" s="1"/>
  <c r="AC63" i="18"/>
  <c r="AC69" i="18" s="1"/>
  <c r="O61" i="18"/>
  <c r="O67" i="18" s="1"/>
  <c r="W61" i="18"/>
  <c r="W67" i="18" s="1"/>
  <c r="AE61" i="18"/>
  <c r="AE67" i="18" s="1"/>
  <c r="Y48" i="20"/>
  <c r="Y43" i="20"/>
  <c r="F15" i="16"/>
  <c r="L133" i="16"/>
  <c r="L145" i="16" s="1"/>
  <c r="P133" i="16"/>
  <c r="P145" i="16" s="1"/>
  <c r="T133" i="16"/>
  <c r="T145" i="16" s="1"/>
  <c r="X133" i="16"/>
  <c r="X145" i="16" s="1"/>
  <c r="AB133" i="16"/>
  <c r="AB145" i="16" s="1"/>
  <c r="F17" i="17"/>
  <c r="F25" i="17"/>
  <c r="F32" i="17"/>
  <c r="L62" i="17"/>
  <c r="L76" i="17" s="1"/>
  <c r="P62" i="17"/>
  <c r="P76" i="17" s="1"/>
  <c r="X62" i="17"/>
  <c r="X76" i="17" s="1"/>
  <c r="AB62" i="17"/>
  <c r="AB76" i="17" s="1"/>
  <c r="F48" i="17"/>
  <c r="G56" i="17"/>
  <c r="H62" i="17"/>
  <c r="H76" i="17" s="1"/>
  <c r="T62" i="17"/>
  <c r="T76" i="17" s="1"/>
  <c r="F15" i="18"/>
  <c r="E14" i="18"/>
  <c r="I18" i="18"/>
  <c r="M18" i="18"/>
  <c r="Q18" i="18"/>
  <c r="Q17" i="18" s="1"/>
  <c r="U18" i="18"/>
  <c r="Y18" i="18"/>
  <c r="Y17" i="18" s="1"/>
  <c r="AC18" i="18"/>
  <c r="F30" i="18"/>
  <c r="F31" i="18"/>
  <c r="F32" i="18"/>
  <c r="J61" i="18"/>
  <c r="J67" i="18" s="1"/>
  <c r="L61" i="18"/>
  <c r="L67" i="18" s="1"/>
  <c r="N61" i="18"/>
  <c r="N67" i="18" s="1"/>
  <c r="R61" i="18"/>
  <c r="R67" i="18" s="1"/>
  <c r="T61" i="18"/>
  <c r="T67" i="18" s="1"/>
  <c r="V61" i="18"/>
  <c r="V67" i="18" s="1"/>
  <c r="Z61" i="18"/>
  <c r="Z67" i="18" s="1"/>
  <c r="AB61" i="18"/>
  <c r="AB67" i="18" s="1"/>
  <c r="AD61" i="18"/>
  <c r="AD67" i="18" s="1"/>
  <c r="J63" i="18"/>
  <c r="J69" i="18" s="1"/>
  <c r="L63" i="18"/>
  <c r="L69" i="18" s="1"/>
  <c r="N63" i="18"/>
  <c r="N69" i="18" s="1"/>
  <c r="P63" i="18"/>
  <c r="P69" i="18" s="1"/>
  <c r="R63" i="18"/>
  <c r="R69" i="18" s="1"/>
  <c r="T63" i="18"/>
  <c r="T69" i="18" s="1"/>
  <c r="V63" i="18"/>
  <c r="V69" i="18" s="1"/>
  <c r="X63" i="18"/>
  <c r="X69" i="18" s="1"/>
  <c r="Z63" i="18"/>
  <c r="Z69" i="18" s="1"/>
  <c r="AB63" i="18"/>
  <c r="AB69" i="18" s="1"/>
  <c r="AD63" i="18"/>
  <c r="AD69" i="18" s="1"/>
  <c r="F50" i="18"/>
  <c r="F52" i="18"/>
  <c r="I55" i="18"/>
  <c r="M55" i="18"/>
  <c r="Q55" i="18"/>
  <c r="U55" i="18"/>
  <c r="Y55" i="18"/>
  <c r="AC55" i="18"/>
  <c r="F127" i="19"/>
  <c r="D127" i="19"/>
  <c r="G127" i="19"/>
  <c r="K136" i="19"/>
  <c r="M149" i="19"/>
  <c r="U149" i="19"/>
  <c r="AC149" i="19"/>
  <c r="O150" i="19"/>
  <c r="O145" i="19" s="1"/>
  <c r="W150" i="19"/>
  <c r="AE150" i="19"/>
  <c r="AE145" i="19" s="1"/>
  <c r="K48" i="20"/>
  <c r="M48" i="20"/>
  <c r="M43" i="20"/>
  <c r="U48" i="20"/>
  <c r="U43" i="20"/>
  <c r="AA48" i="20"/>
  <c r="AC48" i="20"/>
  <c r="AC43" i="20"/>
  <c r="I51" i="20"/>
  <c r="I45" i="20" s="1"/>
  <c r="E10" i="20"/>
  <c r="D19" i="20"/>
  <c r="G22" i="20"/>
  <c r="G24" i="20"/>
  <c r="G26" i="20"/>
  <c r="G30" i="20"/>
  <c r="C44" i="20"/>
  <c r="G31" i="20"/>
  <c r="G32" i="20"/>
  <c r="C46" i="20"/>
  <c r="G33" i="20"/>
  <c r="G34" i="20"/>
  <c r="K43" i="20"/>
  <c r="K42" i="20" s="1"/>
  <c r="S43" i="20"/>
  <c r="AA43" i="20"/>
  <c r="AA42" i="20" s="1"/>
  <c r="O48" i="20"/>
  <c r="AE48" i="20"/>
  <c r="Q49" i="20"/>
  <c r="I53" i="20"/>
  <c r="I47" i="20" s="1"/>
  <c r="G15" i="16"/>
  <c r="K133" i="16"/>
  <c r="K145" i="16" s="1"/>
  <c r="M133" i="16"/>
  <c r="M145" i="16" s="1"/>
  <c r="O133" i="16"/>
  <c r="O145" i="16" s="1"/>
  <c r="Q133" i="16"/>
  <c r="Q145" i="16" s="1"/>
  <c r="S133" i="16"/>
  <c r="S145" i="16" s="1"/>
  <c r="U133" i="16"/>
  <c r="U145" i="16" s="1"/>
  <c r="Y133" i="16"/>
  <c r="Y145" i="16" s="1"/>
  <c r="AA133" i="16"/>
  <c r="AA145" i="16" s="1"/>
  <c r="AC133" i="16"/>
  <c r="AC145" i="16" s="1"/>
  <c r="AE133" i="16"/>
  <c r="AE145" i="16" s="1"/>
  <c r="H67" i="17"/>
  <c r="J67" i="17"/>
  <c r="L67" i="17"/>
  <c r="P67" i="17"/>
  <c r="R67" i="17"/>
  <c r="T67" i="17"/>
  <c r="X67" i="17"/>
  <c r="Z67" i="17"/>
  <c r="AB67" i="17"/>
  <c r="B11" i="17"/>
  <c r="B13" i="17"/>
  <c r="D24" i="17"/>
  <c r="R62" i="17"/>
  <c r="R76" i="17" s="1"/>
  <c r="H41" i="17"/>
  <c r="L41" i="17"/>
  <c r="L63" i="17" s="1"/>
  <c r="L77" i="17" s="1"/>
  <c r="P41" i="17"/>
  <c r="P63" i="17" s="1"/>
  <c r="P77" i="17" s="1"/>
  <c r="T41" i="17"/>
  <c r="T63" i="17" s="1"/>
  <c r="T77" i="17" s="1"/>
  <c r="X41" i="17"/>
  <c r="X63" i="17" s="1"/>
  <c r="X77" i="17" s="1"/>
  <c r="AB41" i="17"/>
  <c r="AB63" i="17" s="1"/>
  <c r="AB77" i="17" s="1"/>
  <c r="C54" i="17"/>
  <c r="F49" i="17"/>
  <c r="J54" i="17"/>
  <c r="N54" i="17"/>
  <c r="R54" i="17"/>
  <c r="V54" i="17"/>
  <c r="Z54" i="17"/>
  <c r="F56" i="17"/>
  <c r="K8" i="18"/>
  <c r="O8" i="18"/>
  <c r="S8" i="18"/>
  <c r="W8" i="18"/>
  <c r="AA8" i="18"/>
  <c r="AE8" i="18"/>
  <c r="G11" i="18"/>
  <c r="G15" i="18"/>
  <c r="D28" i="18"/>
  <c r="G29" i="18"/>
  <c r="G30" i="18"/>
  <c r="G31" i="18"/>
  <c r="G32" i="18"/>
  <c r="K42" i="18"/>
  <c r="O42" i="18"/>
  <c r="S42" i="18"/>
  <c r="W42" i="18"/>
  <c r="AA42" i="18"/>
  <c r="AE42" i="18"/>
  <c r="J60" i="18"/>
  <c r="J54" i="18"/>
  <c r="L60" i="18"/>
  <c r="L54" i="18"/>
  <c r="P60" i="18"/>
  <c r="P54" i="18"/>
  <c r="R60" i="18"/>
  <c r="R54" i="18"/>
  <c r="T60" i="18"/>
  <c r="T54" i="18"/>
  <c r="X60" i="18"/>
  <c r="X54" i="18"/>
  <c r="Z60" i="18"/>
  <c r="Z54" i="18"/>
  <c r="J62" i="18"/>
  <c r="J68" i="18" s="1"/>
  <c r="L62" i="18"/>
  <c r="L68" i="18" s="1"/>
  <c r="N62" i="18"/>
  <c r="N68" i="18" s="1"/>
  <c r="P62" i="18"/>
  <c r="P68" i="18" s="1"/>
  <c r="R62" i="18"/>
  <c r="R68" i="18" s="1"/>
  <c r="T62" i="18"/>
  <c r="T68" i="18" s="1"/>
  <c r="V62" i="18"/>
  <c r="V68" i="18" s="1"/>
  <c r="X62" i="18"/>
  <c r="X68" i="18" s="1"/>
  <c r="Z62" i="18"/>
  <c r="Z68" i="18" s="1"/>
  <c r="AB62" i="18"/>
  <c r="AB68" i="18" s="1"/>
  <c r="AD62" i="18"/>
  <c r="AD68" i="18" s="1"/>
  <c r="G50" i="18"/>
  <c r="G52" i="18"/>
  <c r="D10" i="19"/>
  <c r="F12" i="19"/>
  <c r="D12" i="19"/>
  <c r="D11" i="19" s="1"/>
  <c r="E17" i="19"/>
  <c r="E19" i="19"/>
  <c r="E20" i="19"/>
  <c r="F23" i="19"/>
  <c r="D23" i="19"/>
  <c r="F24" i="19"/>
  <c r="D24" i="19"/>
  <c r="F30" i="19"/>
  <c r="D30" i="19"/>
  <c r="F35" i="19"/>
  <c r="D35" i="19"/>
  <c r="F36" i="19"/>
  <c r="D36" i="19"/>
  <c r="F38" i="19"/>
  <c r="D38" i="19"/>
  <c r="F41" i="19"/>
  <c r="D41" i="19"/>
  <c r="F42" i="19"/>
  <c r="D42" i="19"/>
  <c r="F43" i="19"/>
  <c r="D43" i="19"/>
  <c r="F44" i="19"/>
  <c r="D44" i="19"/>
  <c r="F47" i="19"/>
  <c r="D47" i="19"/>
  <c r="F48" i="19"/>
  <c r="D48" i="19"/>
  <c r="F49" i="19"/>
  <c r="D49" i="19"/>
  <c r="F50" i="19"/>
  <c r="D50" i="19"/>
  <c r="F66" i="19"/>
  <c r="D66" i="19"/>
  <c r="F72" i="19"/>
  <c r="F70" i="19" s="1"/>
  <c r="D72" i="19"/>
  <c r="F78" i="19"/>
  <c r="F76" i="19" s="1"/>
  <c r="D78" i="19"/>
  <c r="F84" i="19"/>
  <c r="F82" i="19" s="1"/>
  <c r="D84" i="19"/>
  <c r="F90" i="19"/>
  <c r="F88" i="19" s="1"/>
  <c r="D90" i="19"/>
  <c r="I100" i="19"/>
  <c r="J136" i="19"/>
  <c r="L136" i="19"/>
  <c r="N136" i="19"/>
  <c r="P136" i="19"/>
  <c r="R136" i="19"/>
  <c r="T136" i="19"/>
  <c r="V136" i="19"/>
  <c r="X136" i="19"/>
  <c r="Z136" i="19"/>
  <c r="AB136" i="19"/>
  <c r="AD136" i="19"/>
  <c r="E138" i="19"/>
  <c r="E131" i="19"/>
  <c r="F133" i="19"/>
  <c r="D133" i="19"/>
  <c r="G133" i="19"/>
  <c r="Q136" i="19"/>
  <c r="I149" i="19"/>
  <c r="Q149" i="19"/>
  <c r="Y149" i="19"/>
  <c r="K150" i="19"/>
  <c r="S150" i="19"/>
  <c r="S145" i="19" s="1"/>
  <c r="AA150" i="19"/>
  <c r="K7" i="20"/>
  <c r="M7" i="20"/>
  <c r="O7" i="20"/>
  <c r="S7" i="20"/>
  <c r="U7" i="20"/>
  <c r="W7" i="20"/>
  <c r="Y7" i="20"/>
  <c r="AA7" i="20"/>
  <c r="AC7" i="20"/>
  <c r="AE7" i="20"/>
  <c r="I50" i="20"/>
  <c r="I44" i="20" s="1"/>
  <c r="E9" i="20"/>
  <c r="I52" i="20"/>
  <c r="I46" i="20" s="1"/>
  <c r="E11" i="20"/>
  <c r="I14" i="20"/>
  <c r="W43" i="20"/>
  <c r="G25" i="17"/>
  <c r="G26" i="17"/>
  <c r="G28" i="17"/>
  <c r="G29" i="17"/>
  <c r="G48" i="17"/>
  <c r="G49" i="17"/>
  <c r="H147" i="19"/>
  <c r="J147" i="19"/>
  <c r="L147" i="19"/>
  <c r="N147" i="19"/>
  <c r="P147" i="19"/>
  <c r="T147" i="19"/>
  <c r="V147" i="19"/>
  <c r="X147" i="19"/>
  <c r="Z147" i="19"/>
  <c r="AD147" i="19"/>
  <c r="H149" i="19"/>
  <c r="J149" i="19"/>
  <c r="L149" i="19"/>
  <c r="N149" i="19"/>
  <c r="P149" i="19"/>
  <c r="R149" i="19"/>
  <c r="T149" i="19"/>
  <c r="V149" i="19"/>
  <c r="X149" i="19"/>
  <c r="Z149" i="19"/>
  <c r="AB149" i="19"/>
  <c r="AD149" i="19"/>
  <c r="H150" i="19"/>
  <c r="H145" i="19" s="1"/>
  <c r="J150" i="19"/>
  <c r="J145" i="19" s="1"/>
  <c r="L150" i="19"/>
  <c r="L145" i="19" s="1"/>
  <c r="P150" i="19"/>
  <c r="P145" i="19" s="1"/>
  <c r="R150" i="19"/>
  <c r="R145" i="19" s="1"/>
  <c r="T150" i="19"/>
  <c r="T145" i="19" s="1"/>
  <c r="V150" i="19"/>
  <c r="V145" i="19" s="1"/>
  <c r="X150" i="19"/>
  <c r="X145" i="19" s="1"/>
  <c r="Z150" i="19"/>
  <c r="Z145" i="19" s="1"/>
  <c r="AB150" i="19"/>
  <c r="AB145" i="19" s="1"/>
  <c r="F96" i="19"/>
  <c r="F94" i="19" s="1"/>
  <c r="D96" i="19"/>
  <c r="F108" i="19"/>
  <c r="F106" i="19" s="1"/>
  <c r="D108" i="19"/>
  <c r="F22" i="20"/>
  <c r="D22" i="20"/>
  <c r="F23" i="20"/>
  <c r="D23" i="20"/>
  <c r="F24" i="20"/>
  <c r="D24" i="20"/>
  <c r="F25" i="20"/>
  <c r="D25" i="20"/>
  <c r="F26" i="20"/>
  <c r="D26" i="20"/>
  <c r="F30" i="20"/>
  <c r="D30" i="20"/>
  <c r="G56" i="20"/>
  <c r="F31" i="20"/>
  <c r="D31" i="20"/>
  <c r="F32" i="20"/>
  <c r="D32" i="20"/>
  <c r="F33" i="20"/>
  <c r="D33" i="20"/>
  <c r="F34" i="20"/>
  <c r="D34" i="20"/>
  <c r="F37" i="20"/>
  <c r="D37" i="20"/>
  <c r="F38" i="20"/>
  <c r="D38" i="20"/>
  <c r="F39" i="20"/>
  <c r="F40" i="20"/>
  <c r="D40" i="20"/>
  <c r="F41" i="20"/>
  <c r="D41" i="20"/>
  <c r="B59" i="20"/>
  <c r="J43" i="20"/>
  <c r="N43" i="20"/>
  <c r="R43" i="20"/>
  <c r="V43" i="20"/>
  <c r="Z43" i="20"/>
  <c r="G52" i="16" l="1"/>
  <c r="N148" i="16"/>
  <c r="N144" i="16" s="1"/>
  <c r="E70" i="17"/>
  <c r="G70" i="17" s="1"/>
  <c r="H134" i="16"/>
  <c r="F43" i="18"/>
  <c r="Y34" i="16"/>
  <c r="F104" i="16"/>
  <c r="F109" i="16"/>
  <c r="G19" i="20"/>
  <c r="U150" i="16"/>
  <c r="U146" i="16" s="1"/>
  <c r="Z132" i="16"/>
  <c r="G26" i="18"/>
  <c r="F99" i="16"/>
  <c r="X43" i="20"/>
  <c r="F18" i="20"/>
  <c r="G46" i="18"/>
  <c r="D12" i="20"/>
  <c r="D53" i="20" s="1"/>
  <c r="F53" i="20" s="1"/>
  <c r="G67" i="16"/>
  <c r="M150" i="16"/>
  <c r="M146" i="16" s="1"/>
  <c r="R150" i="16"/>
  <c r="R146" i="16" s="1"/>
  <c r="G26" i="16"/>
  <c r="Y39" i="16"/>
  <c r="D67" i="17"/>
  <c r="AD43" i="20"/>
  <c r="AD42" i="20" s="1"/>
  <c r="AD38" i="17"/>
  <c r="W42" i="20"/>
  <c r="D15" i="20"/>
  <c r="T134" i="16"/>
  <c r="AB136" i="16"/>
  <c r="AB48" i="20"/>
  <c r="F114" i="16"/>
  <c r="X42" i="20"/>
  <c r="I7" i="20"/>
  <c r="M147" i="19"/>
  <c r="M146" i="19" s="1"/>
  <c r="G123" i="19"/>
  <c r="AD54" i="18"/>
  <c r="N54" i="18"/>
  <c r="F12" i="16"/>
  <c r="G17" i="16"/>
  <c r="H62" i="18"/>
  <c r="H68" i="18" s="1"/>
  <c r="B68" i="18" s="1"/>
  <c r="E47" i="20"/>
  <c r="G47" i="20" s="1"/>
  <c r="F12" i="17"/>
  <c r="X150" i="16"/>
  <c r="X146" i="16" s="1"/>
  <c r="AB132" i="16"/>
  <c r="AB131" i="16" s="1"/>
  <c r="P132" i="16"/>
  <c r="P131" i="16" s="1"/>
  <c r="J148" i="16"/>
  <c r="J144" i="16" s="1"/>
  <c r="F57" i="17"/>
  <c r="K147" i="19"/>
  <c r="K142" i="19" s="1"/>
  <c r="E22" i="18"/>
  <c r="F22" i="18" s="1"/>
  <c r="G40" i="19"/>
  <c r="F79" i="16"/>
  <c r="G84" i="16"/>
  <c r="F119" i="16"/>
  <c r="G69" i="16"/>
  <c r="C62" i="18"/>
  <c r="F12" i="20"/>
  <c r="AA150" i="16"/>
  <c r="AA146" i="16" s="1"/>
  <c r="Q150" i="16"/>
  <c r="Q146" i="16" s="1"/>
  <c r="AB148" i="16"/>
  <c r="AB144" i="16" s="1"/>
  <c r="AB143" i="16" s="1"/>
  <c r="X132" i="16"/>
  <c r="X131" i="16" s="1"/>
  <c r="E43" i="17"/>
  <c r="G43" i="17" s="1"/>
  <c r="E72" i="17"/>
  <c r="G72" i="17" s="1"/>
  <c r="E42" i="16"/>
  <c r="E37" i="16" s="1"/>
  <c r="J42" i="20"/>
  <c r="G12" i="16"/>
  <c r="G122" i="19"/>
  <c r="AE134" i="16"/>
  <c r="W150" i="16"/>
  <c r="W146" i="16" s="1"/>
  <c r="K150" i="16"/>
  <c r="K146" i="16" s="1"/>
  <c r="Y136" i="16"/>
  <c r="I148" i="16"/>
  <c r="I144" i="16" s="1"/>
  <c r="AB134" i="16"/>
  <c r="V134" i="16"/>
  <c r="L134" i="16"/>
  <c r="AD132" i="16"/>
  <c r="V132" i="16"/>
  <c r="L148" i="16"/>
  <c r="L144" i="16" s="1"/>
  <c r="L143" i="16" s="1"/>
  <c r="G18" i="20"/>
  <c r="F51" i="16"/>
  <c r="B38" i="18"/>
  <c r="B63" i="18" s="1"/>
  <c r="G16" i="17"/>
  <c r="C42" i="16"/>
  <c r="C37" i="16" s="1"/>
  <c r="C139" i="16" s="1"/>
  <c r="T42" i="20"/>
  <c r="F60" i="16"/>
  <c r="F62" i="16"/>
  <c r="G43" i="18"/>
  <c r="E42" i="18"/>
  <c r="I134" i="16"/>
  <c r="I150" i="16"/>
  <c r="I146" i="16" s="1"/>
  <c r="I49" i="20"/>
  <c r="I48" i="20" s="1"/>
  <c r="G25" i="18"/>
  <c r="H17" i="18"/>
  <c r="E49" i="20"/>
  <c r="Y42" i="20"/>
  <c r="AC134" i="16"/>
  <c r="S134" i="16"/>
  <c r="Z134" i="16"/>
  <c r="P134" i="16"/>
  <c r="R132" i="16"/>
  <c r="F44" i="18"/>
  <c r="E40" i="17"/>
  <c r="E62" i="17" s="1"/>
  <c r="G62" i="17" s="1"/>
  <c r="E39" i="17"/>
  <c r="E61" i="17" s="1"/>
  <c r="E75" i="17" s="1"/>
  <c r="E71" i="17"/>
  <c r="G71" i="17" s="1"/>
  <c r="G11" i="17"/>
  <c r="E68" i="17"/>
  <c r="G68" i="17" s="1"/>
  <c r="X34" i="18"/>
  <c r="G66" i="16"/>
  <c r="F126" i="16"/>
  <c r="F54" i="16"/>
  <c r="B46" i="20"/>
  <c r="F16" i="20"/>
  <c r="E56" i="18"/>
  <c r="F56" i="18" s="1"/>
  <c r="G44" i="18"/>
  <c r="G126" i="16"/>
  <c r="M42" i="20"/>
  <c r="P61" i="18"/>
  <c r="P67" i="18" s="1"/>
  <c r="D18" i="18"/>
  <c r="D17" i="18" s="1"/>
  <c r="F14" i="17"/>
  <c r="F10" i="17"/>
  <c r="Z133" i="16"/>
  <c r="Z145" i="16" s="1"/>
  <c r="N133" i="16"/>
  <c r="N145" i="16" s="1"/>
  <c r="Y150" i="16"/>
  <c r="Y146" i="16" s="1"/>
  <c r="L136" i="16"/>
  <c r="F58" i="17"/>
  <c r="E42" i="17"/>
  <c r="G42" i="17" s="1"/>
  <c r="D39" i="17"/>
  <c r="D61" i="17" s="1"/>
  <c r="D75" i="17" s="1"/>
  <c r="F40" i="19"/>
  <c r="F84" i="16"/>
  <c r="F66" i="16"/>
  <c r="F36" i="20"/>
  <c r="B37" i="18"/>
  <c r="F50" i="16"/>
  <c r="G54" i="16"/>
  <c r="C152" i="16"/>
  <c r="C151" i="16" s="1"/>
  <c r="F65" i="16"/>
  <c r="F16" i="17"/>
  <c r="F94" i="16"/>
  <c r="AB60" i="18"/>
  <c r="AB59" i="18" s="1"/>
  <c r="B45" i="20"/>
  <c r="E43" i="20"/>
  <c r="G43" i="20" s="1"/>
  <c r="D16" i="20"/>
  <c r="F10" i="19"/>
  <c r="G23" i="18"/>
  <c r="D9" i="17"/>
  <c r="S42" i="20"/>
  <c r="P136" i="16"/>
  <c r="F9" i="18"/>
  <c r="E41" i="17"/>
  <c r="E63" i="17" s="1"/>
  <c r="D40" i="17"/>
  <c r="D62" i="17" s="1"/>
  <c r="D76" i="17" s="1"/>
  <c r="G109" i="16"/>
  <c r="L7" i="20"/>
  <c r="G102" i="19"/>
  <c r="G100" i="19" s="1"/>
  <c r="T48" i="20"/>
  <c r="F74" i="16"/>
  <c r="B41" i="16"/>
  <c r="B36" i="16" s="1"/>
  <c r="D54" i="17"/>
  <c r="F125" i="19"/>
  <c r="W39" i="16"/>
  <c r="E59" i="16"/>
  <c r="D16" i="17"/>
  <c r="F89" i="16"/>
  <c r="G8" i="18"/>
  <c r="D54" i="18"/>
  <c r="D57" i="20"/>
  <c r="F57" i="20" s="1"/>
  <c r="D55" i="20"/>
  <c r="B54" i="17"/>
  <c r="G51" i="16"/>
  <c r="F45" i="18"/>
  <c r="H61" i="18"/>
  <c r="H67" i="18" s="1"/>
  <c r="C67" i="18" s="1"/>
  <c r="G79" i="16"/>
  <c r="F29" i="20"/>
  <c r="F61" i="16"/>
  <c r="C115" i="19"/>
  <c r="C114" i="19"/>
  <c r="H60" i="18"/>
  <c r="H66" i="18" s="1"/>
  <c r="E38" i="18"/>
  <c r="G38" i="18" s="1"/>
  <c r="D38" i="18"/>
  <c r="D63" i="18" s="1"/>
  <c r="R42" i="20"/>
  <c r="C145" i="19"/>
  <c r="J63" i="17"/>
  <c r="J77" i="17" s="1"/>
  <c r="H34" i="18"/>
  <c r="G57" i="17"/>
  <c r="V133" i="16"/>
  <c r="V145" i="16" s="1"/>
  <c r="W132" i="16"/>
  <c r="G30" i="16"/>
  <c r="R136" i="16"/>
  <c r="E57" i="18"/>
  <c r="P7" i="20"/>
  <c r="V34" i="16"/>
  <c r="F67" i="16"/>
  <c r="F21" i="20"/>
  <c r="F69" i="16"/>
  <c r="F55" i="17"/>
  <c r="G55" i="19"/>
  <c r="C63" i="18"/>
  <c r="C112" i="19"/>
  <c r="E9" i="17"/>
  <c r="G9" i="17" s="1"/>
  <c r="E35" i="18"/>
  <c r="E60" i="18" s="1"/>
  <c r="D35" i="18"/>
  <c r="D60" i="18" s="1"/>
  <c r="F31" i="17"/>
  <c r="H43" i="20"/>
  <c r="H42" i="20" s="1"/>
  <c r="Z42" i="20"/>
  <c r="P43" i="20"/>
  <c r="P42" i="20" s="1"/>
  <c r="Z63" i="17"/>
  <c r="Z77" i="17" s="1"/>
  <c r="I63" i="18"/>
  <c r="I69" i="18" s="1"/>
  <c r="E69" i="18" s="1"/>
  <c r="O134" i="16"/>
  <c r="W136" i="16"/>
  <c r="I34" i="18"/>
  <c r="V136" i="16"/>
  <c r="R34" i="16"/>
  <c r="AB42" i="20"/>
  <c r="L42" i="20"/>
  <c r="F28" i="18"/>
  <c r="E36" i="18"/>
  <c r="D36" i="18"/>
  <c r="V54" i="18"/>
  <c r="R133" i="16"/>
  <c r="R145" i="16" s="1"/>
  <c r="J133" i="16"/>
  <c r="J145" i="16" s="1"/>
  <c r="F30" i="16"/>
  <c r="J136" i="16"/>
  <c r="G9" i="18"/>
  <c r="F59" i="17"/>
  <c r="G60" i="16"/>
  <c r="G29" i="20"/>
  <c r="J34" i="16"/>
  <c r="B113" i="19"/>
  <c r="D42" i="18"/>
  <c r="M35" i="16"/>
  <c r="M137" i="16" s="1"/>
  <c r="M148" i="16" s="1"/>
  <c r="M144" i="16" s="1"/>
  <c r="M143" i="16" s="1"/>
  <c r="U136" i="16"/>
  <c r="E37" i="18"/>
  <c r="G37" i="18" s="1"/>
  <c r="D37" i="18"/>
  <c r="D62" i="18" s="1"/>
  <c r="C113" i="19"/>
  <c r="F121" i="19"/>
  <c r="B114" i="19"/>
  <c r="G54" i="19"/>
  <c r="G28" i="18"/>
  <c r="F15" i="20"/>
  <c r="B35" i="18"/>
  <c r="G65" i="16"/>
  <c r="M132" i="16"/>
  <c r="M131" i="16" s="1"/>
  <c r="AD136" i="16"/>
  <c r="F8" i="18"/>
  <c r="V42" i="20"/>
  <c r="N42" i="20"/>
  <c r="B47" i="20"/>
  <c r="D58" i="20"/>
  <c r="F58" i="20" s="1"/>
  <c r="D56" i="20"/>
  <c r="F56" i="20" s="1"/>
  <c r="D121" i="19"/>
  <c r="H54" i="18"/>
  <c r="B18" i="18"/>
  <c r="B17" i="18" s="1"/>
  <c r="V38" i="17"/>
  <c r="U42" i="20"/>
  <c r="AD133" i="16"/>
  <c r="AD145" i="16" s="1"/>
  <c r="U132" i="16"/>
  <c r="U131" i="16" s="1"/>
  <c r="AD134" i="16"/>
  <c r="N134" i="16"/>
  <c r="X136" i="16"/>
  <c r="F24" i="18"/>
  <c r="G31" i="17"/>
  <c r="F24" i="17"/>
  <c r="AB7" i="20"/>
  <c r="L48" i="20"/>
  <c r="C150" i="19"/>
  <c r="Z34" i="16"/>
  <c r="U34" i="16"/>
  <c r="D65" i="16"/>
  <c r="D64" i="16" s="1"/>
  <c r="F128" i="16"/>
  <c r="W133" i="16"/>
  <c r="W145" i="16" s="1"/>
  <c r="E64" i="16"/>
  <c r="G64" i="16" s="1"/>
  <c r="B54" i="20"/>
  <c r="E54" i="17"/>
  <c r="G54" i="17" s="1"/>
  <c r="AC42" i="20"/>
  <c r="H63" i="18"/>
  <c r="H69" i="18" s="1"/>
  <c r="C69" i="18" s="1"/>
  <c r="G59" i="17"/>
  <c r="Z136" i="16"/>
  <c r="G61" i="16"/>
  <c r="T7" i="20"/>
  <c r="B9" i="20"/>
  <c r="B59" i="16"/>
  <c r="U39" i="16"/>
  <c r="AA112" i="19"/>
  <c r="AA111" i="19" s="1"/>
  <c r="N115" i="19"/>
  <c r="N111" i="19" s="1"/>
  <c r="U112" i="19"/>
  <c r="U111" i="19" s="1"/>
  <c r="S112" i="19"/>
  <c r="S111" i="19" s="1"/>
  <c r="Q112" i="19"/>
  <c r="Q111" i="19" s="1"/>
  <c r="AB112" i="19"/>
  <c r="K112" i="19"/>
  <c r="K111" i="19" s="1"/>
  <c r="R112" i="19"/>
  <c r="R111" i="19" s="1"/>
  <c r="AC112" i="19"/>
  <c r="AC111" i="19" s="1"/>
  <c r="M112" i="19"/>
  <c r="M111" i="19" s="1"/>
  <c r="AE112" i="19"/>
  <c r="AE111" i="19" s="1"/>
  <c r="AD115" i="19"/>
  <c r="Y112" i="19"/>
  <c r="Y111" i="19" s="1"/>
  <c r="F20" i="16"/>
  <c r="B36" i="18"/>
  <c r="G36" i="20"/>
  <c r="AD34" i="16"/>
  <c r="C142" i="16"/>
  <c r="C141" i="16" s="1"/>
  <c r="C125" i="16"/>
  <c r="AC39" i="16"/>
  <c r="AC35" i="16"/>
  <c r="B49" i="16"/>
  <c r="F46" i="19"/>
  <c r="D14" i="18"/>
  <c r="F102" i="19"/>
  <c r="F100" i="19" s="1"/>
  <c r="E142" i="16"/>
  <c r="E141" i="16" s="1"/>
  <c r="E125" i="16"/>
  <c r="G125" i="16" s="1"/>
  <c r="D17" i="20"/>
  <c r="C38" i="17"/>
  <c r="G44" i="16"/>
  <c r="H7" i="20"/>
  <c r="B142" i="16"/>
  <c r="B141" i="16" s="1"/>
  <c r="B125" i="16"/>
  <c r="D142" i="16"/>
  <c r="D141" i="16" s="1"/>
  <c r="D125" i="16"/>
  <c r="F17" i="20"/>
  <c r="F48" i="18"/>
  <c r="B8" i="20"/>
  <c r="B49" i="20" s="1"/>
  <c r="B100" i="19"/>
  <c r="G46" i="19"/>
  <c r="E49" i="16"/>
  <c r="V48" i="20"/>
  <c r="C45" i="20"/>
  <c r="C42" i="20" s="1"/>
  <c r="E14" i="20"/>
  <c r="G14" i="20" s="1"/>
  <c r="G58" i="17"/>
  <c r="G50" i="16"/>
  <c r="N136" i="16"/>
  <c r="F46" i="18"/>
  <c r="X7" i="20"/>
  <c r="R147" i="19"/>
  <c r="R146" i="19" s="1"/>
  <c r="E58" i="19"/>
  <c r="G22" i="19"/>
  <c r="I136" i="19"/>
  <c r="G125" i="19"/>
  <c r="D54" i="19"/>
  <c r="C119" i="19"/>
  <c r="F18" i="19"/>
  <c r="G28" i="19"/>
  <c r="B53" i="19"/>
  <c r="B147" i="19" s="1"/>
  <c r="F22" i="19"/>
  <c r="F34" i="19"/>
  <c r="G60" i="19"/>
  <c r="F120" i="19"/>
  <c r="D120" i="19"/>
  <c r="G120" i="19"/>
  <c r="H136" i="19"/>
  <c r="F122" i="19"/>
  <c r="F123" i="19"/>
  <c r="E119" i="19"/>
  <c r="B119" i="19"/>
  <c r="D102" i="19"/>
  <c r="E100" i="19"/>
  <c r="Q147" i="19"/>
  <c r="Q142" i="19" s="1"/>
  <c r="Q141" i="19" s="1"/>
  <c r="AC147" i="19"/>
  <c r="AC146" i="19" s="1"/>
  <c r="U147" i="19"/>
  <c r="U142" i="19" s="1"/>
  <c r="U141" i="19" s="1"/>
  <c r="I147" i="19"/>
  <c r="I142" i="19" s="1"/>
  <c r="N150" i="19"/>
  <c r="N145" i="19" s="1"/>
  <c r="Y147" i="19"/>
  <c r="Y142" i="19" s="1"/>
  <c r="Y141" i="19" s="1"/>
  <c r="AD150" i="19"/>
  <c r="AD145" i="19" s="1"/>
  <c r="G56" i="19"/>
  <c r="AB147" i="19"/>
  <c r="AB146" i="19" s="1"/>
  <c r="F59" i="19"/>
  <c r="F55" i="19"/>
  <c r="AA147" i="19"/>
  <c r="AA142" i="19" s="1"/>
  <c r="AE147" i="19"/>
  <c r="AE142" i="19" s="1"/>
  <c r="AE141" i="19" s="1"/>
  <c r="F64" i="19"/>
  <c r="G64" i="19"/>
  <c r="B16" i="19"/>
  <c r="W111" i="19"/>
  <c r="G34" i="19"/>
  <c r="F28" i="19"/>
  <c r="E148" i="19"/>
  <c r="O111" i="19"/>
  <c r="G18" i="19"/>
  <c r="D18" i="19"/>
  <c r="E113" i="19"/>
  <c r="E143" i="19"/>
  <c r="D143" i="19" s="1"/>
  <c r="G11" i="19"/>
  <c r="T137" i="16"/>
  <c r="T34" i="16"/>
  <c r="B152" i="16"/>
  <c r="B151" i="16" s="1"/>
  <c r="B11" i="16"/>
  <c r="D60" i="16"/>
  <c r="D59" i="16" s="1"/>
  <c r="D69" i="16"/>
  <c r="J148" i="19"/>
  <c r="J143" i="19" s="1"/>
  <c r="C143" i="19" s="1"/>
  <c r="B64" i="16"/>
  <c r="B54" i="19"/>
  <c r="F54" i="19" s="1"/>
  <c r="D50" i="16"/>
  <c r="D49" i="16" s="1"/>
  <c r="F47" i="17"/>
  <c r="C55" i="18"/>
  <c r="C42" i="18"/>
  <c r="B42" i="16"/>
  <c r="J37" i="16"/>
  <c r="J139" i="16" s="1"/>
  <c r="AE39" i="16"/>
  <c r="AE35" i="16"/>
  <c r="V7" i="20"/>
  <c r="K137" i="16"/>
  <c r="K34" i="16"/>
  <c r="J52" i="19"/>
  <c r="E41" i="16"/>
  <c r="I36" i="16"/>
  <c r="O35" i="16"/>
  <c r="O39" i="16"/>
  <c r="H39" i="16"/>
  <c r="H35" i="16"/>
  <c r="B40" i="16"/>
  <c r="S39" i="16"/>
  <c r="S35" i="16"/>
  <c r="W34" i="16"/>
  <c r="G21" i="20"/>
  <c r="B149" i="19"/>
  <c r="N34" i="16"/>
  <c r="F23" i="16"/>
  <c r="C59" i="16"/>
  <c r="Q39" i="16"/>
  <c r="Q35" i="16"/>
  <c r="C36" i="16"/>
  <c r="H36" i="16"/>
  <c r="C49" i="16"/>
  <c r="E40" i="16"/>
  <c r="AA137" i="16"/>
  <c r="AA34" i="16"/>
  <c r="G47" i="17"/>
  <c r="D47" i="17"/>
  <c r="C63" i="17"/>
  <c r="C77" i="17" s="1"/>
  <c r="E152" i="16"/>
  <c r="E11" i="16"/>
  <c r="C76" i="17"/>
  <c r="AD62" i="17"/>
  <c r="AD76" i="17" s="1"/>
  <c r="AD74" i="17" s="1"/>
  <c r="C148" i="19"/>
  <c r="C9" i="19"/>
  <c r="G9" i="19" s="1"/>
  <c r="C149" i="19"/>
  <c r="G59" i="19"/>
  <c r="C58" i="19"/>
  <c r="C53" i="19"/>
  <c r="C52" i="19" s="1"/>
  <c r="B56" i="19"/>
  <c r="C22" i="18"/>
  <c r="C16" i="19"/>
  <c r="B55" i="18"/>
  <c r="B42" i="18"/>
  <c r="S147" i="19"/>
  <c r="S142" i="19" s="1"/>
  <c r="S141" i="19" s="1"/>
  <c r="C100" i="19"/>
  <c r="E53" i="19"/>
  <c r="E112" i="19" s="1"/>
  <c r="I52" i="19"/>
  <c r="B58" i="19"/>
  <c r="D30" i="16"/>
  <c r="D29" i="16" s="1"/>
  <c r="D14" i="16"/>
  <c r="D12" i="16"/>
  <c r="AA145" i="19"/>
  <c r="K145" i="19"/>
  <c r="B136" i="19"/>
  <c r="N62" i="17"/>
  <c r="N76" i="17" s="1"/>
  <c r="N38" i="17"/>
  <c r="C54" i="20"/>
  <c r="W145" i="19"/>
  <c r="W141" i="19" s="1"/>
  <c r="W146" i="19"/>
  <c r="I111" i="19"/>
  <c r="AC17" i="18"/>
  <c r="AC61" i="18"/>
  <c r="AC67" i="18" s="1"/>
  <c r="U17" i="18"/>
  <c r="U61" i="18"/>
  <c r="U67" i="18" s="1"/>
  <c r="M17" i="18"/>
  <c r="M61" i="18"/>
  <c r="M67" i="18" s="1"/>
  <c r="E68" i="18"/>
  <c r="D68" i="18" s="1"/>
  <c r="AE67" i="17"/>
  <c r="AE38" i="17"/>
  <c r="AC67" i="17"/>
  <c r="AC38" i="17"/>
  <c r="AA67" i="17"/>
  <c r="AA38" i="17"/>
  <c r="Y67" i="17"/>
  <c r="Y38" i="17"/>
  <c r="W67" i="17"/>
  <c r="W38" i="17"/>
  <c r="U67" i="17"/>
  <c r="U38" i="17"/>
  <c r="S67" i="17"/>
  <c r="S38" i="17"/>
  <c r="Q67" i="17"/>
  <c r="Q38" i="17"/>
  <c r="O67" i="17"/>
  <c r="O38" i="17"/>
  <c r="M67" i="17"/>
  <c r="M38" i="17"/>
  <c r="K67" i="17"/>
  <c r="K38" i="17"/>
  <c r="I67" i="17"/>
  <c r="I38" i="17"/>
  <c r="AD142" i="19"/>
  <c r="Z146" i="19"/>
  <c r="Z142" i="19"/>
  <c r="Z141" i="19" s="1"/>
  <c r="X146" i="19"/>
  <c r="X142" i="19"/>
  <c r="X141" i="19" s="1"/>
  <c r="V146" i="19"/>
  <c r="V142" i="19"/>
  <c r="V141" i="19" s="1"/>
  <c r="T146" i="19"/>
  <c r="T142" i="19"/>
  <c r="T141" i="19" s="1"/>
  <c r="P146" i="19"/>
  <c r="P142" i="19"/>
  <c r="P141" i="19" s="1"/>
  <c r="N142" i="19"/>
  <c r="L146" i="19"/>
  <c r="L142" i="19"/>
  <c r="L141" i="19" s="1"/>
  <c r="J142" i="19"/>
  <c r="H146" i="19"/>
  <c r="H142" i="19"/>
  <c r="E52" i="20"/>
  <c r="F11" i="20"/>
  <c r="D11" i="20"/>
  <c r="D52" i="20" s="1"/>
  <c r="E46" i="20"/>
  <c r="G11" i="20"/>
  <c r="E50" i="20"/>
  <c r="D9" i="20"/>
  <c r="D50" i="20" s="1"/>
  <c r="G9" i="20"/>
  <c r="E44" i="20"/>
  <c r="F131" i="19"/>
  <c r="G131" i="19"/>
  <c r="E114" i="19"/>
  <c r="F19" i="19"/>
  <c r="D19" i="19"/>
  <c r="E149" i="19"/>
  <c r="G19" i="19"/>
  <c r="D9" i="19"/>
  <c r="AD66" i="18"/>
  <c r="AD65" i="18" s="1"/>
  <c r="AD59" i="18"/>
  <c r="Z66" i="18"/>
  <c r="Z65" i="18" s="1"/>
  <c r="Z59" i="18"/>
  <c r="X66" i="18"/>
  <c r="X65" i="18" s="1"/>
  <c r="X59" i="18"/>
  <c r="V66" i="18"/>
  <c r="V65" i="18" s="1"/>
  <c r="V59" i="18"/>
  <c r="T66" i="18"/>
  <c r="T65" i="18" s="1"/>
  <c r="T59" i="18"/>
  <c r="R66" i="18"/>
  <c r="R65" i="18" s="1"/>
  <c r="R59" i="18"/>
  <c r="P66" i="18"/>
  <c r="N66" i="18"/>
  <c r="N65" i="18" s="1"/>
  <c r="N59" i="18"/>
  <c r="L66" i="18"/>
  <c r="L65" i="18" s="1"/>
  <c r="L59" i="18"/>
  <c r="J66" i="18"/>
  <c r="J65" i="18" s="1"/>
  <c r="J59" i="18"/>
  <c r="D22" i="18"/>
  <c r="Y74" i="17"/>
  <c r="Y60" i="17"/>
  <c r="Q74" i="17"/>
  <c r="Q60" i="17"/>
  <c r="I74" i="17"/>
  <c r="I60" i="17"/>
  <c r="AB74" i="17"/>
  <c r="AB60" i="17"/>
  <c r="X74" i="17"/>
  <c r="X60" i="17"/>
  <c r="T74" i="17"/>
  <c r="T60" i="17"/>
  <c r="P74" i="17"/>
  <c r="P60" i="17"/>
  <c r="L74" i="17"/>
  <c r="L60" i="17"/>
  <c r="B61" i="17"/>
  <c r="B41" i="17"/>
  <c r="AB38" i="17"/>
  <c r="T38" i="17"/>
  <c r="L38" i="17"/>
  <c r="B71" i="17"/>
  <c r="F13" i="17"/>
  <c r="Q48" i="20"/>
  <c r="Q43" i="20"/>
  <c r="Q42" i="20" s="1"/>
  <c r="F10" i="20"/>
  <c r="D10" i="20"/>
  <c r="D51" i="20" s="1"/>
  <c r="E51" i="20"/>
  <c r="G10" i="20"/>
  <c r="E7" i="20"/>
  <c r="D49" i="20"/>
  <c r="AC60" i="18"/>
  <c r="AC54" i="18"/>
  <c r="U60" i="18"/>
  <c r="U54" i="18"/>
  <c r="M60" i="18"/>
  <c r="M54" i="18"/>
  <c r="I17" i="18"/>
  <c r="E18" i="18"/>
  <c r="AA60" i="17"/>
  <c r="AA74" i="17"/>
  <c r="S60" i="17"/>
  <c r="S74" i="17"/>
  <c r="K60" i="17"/>
  <c r="K74" i="17"/>
  <c r="B42" i="17"/>
  <c r="B40" i="17"/>
  <c r="W147" i="16"/>
  <c r="W144" i="16"/>
  <c r="C49" i="20"/>
  <c r="G8" i="20"/>
  <c r="C7" i="20"/>
  <c r="O146" i="19"/>
  <c r="C61" i="18"/>
  <c r="AE66" i="18"/>
  <c r="AE65" i="18" s="1"/>
  <c r="AE59" i="18"/>
  <c r="AA66" i="18"/>
  <c r="AA65" i="18" s="1"/>
  <c r="AA59" i="18"/>
  <c r="W66" i="18"/>
  <c r="W65" i="18" s="1"/>
  <c r="W59" i="18"/>
  <c r="S66" i="18"/>
  <c r="S65" i="18" s="1"/>
  <c r="S59" i="18"/>
  <c r="O66" i="18"/>
  <c r="O65" i="18" s="1"/>
  <c r="O59" i="18"/>
  <c r="K66" i="18"/>
  <c r="K65" i="18" s="1"/>
  <c r="K59" i="18"/>
  <c r="R38" i="17"/>
  <c r="AD144" i="16"/>
  <c r="AD147" i="16"/>
  <c r="Z144" i="16"/>
  <c r="Z147" i="16"/>
  <c r="V144" i="16"/>
  <c r="V147" i="16"/>
  <c r="R144" i="16"/>
  <c r="R147" i="16"/>
  <c r="N147" i="16"/>
  <c r="E45" i="20"/>
  <c r="D36" i="20"/>
  <c r="D59" i="20"/>
  <c r="F59" i="20" s="1"/>
  <c r="G58" i="20"/>
  <c r="D43" i="20"/>
  <c r="D29" i="20"/>
  <c r="D21" i="20"/>
  <c r="D106" i="19"/>
  <c r="D94" i="19"/>
  <c r="Z111" i="19"/>
  <c r="X111" i="19"/>
  <c r="V111" i="19"/>
  <c r="T111" i="19"/>
  <c r="P111" i="19"/>
  <c r="L111" i="19"/>
  <c r="J111" i="19"/>
  <c r="H111" i="19"/>
  <c r="D125" i="19"/>
  <c r="F138" i="19"/>
  <c r="D138" i="19"/>
  <c r="G138" i="19"/>
  <c r="D88" i="19"/>
  <c r="D82" i="19"/>
  <c r="D76" i="19"/>
  <c r="D70" i="19"/>
  <c r="D62" i="19"/>
  <c r="D61" i="19"/>
  <c r="D60" i="19"/>
  <c r="D64" i="19"/>
  <c r="D59" i="19"/>
  <c r="D46" i="19"/>
  <c r="D40" i="19"/>
  <c r="D34" i="19"/>
  <c r="D28" i="19"/>
  <c r="D22" i="19"/>
  <c r="E150" i="19"/>
  <c r="F20" i="19"/>
  <c r="D20" i="19"/>
  <c r="E115" i="19"/>
  <c r="G20" i="19"/>
  <c r="F17" i="19"/>
  <c r="D17" i="19"/>
  <c r="E16" i="19"/>
  <c r="G17" i="19"/>
  <c r="F58" i="18"/>
  <c r="G58" i="18"/>
  <c r="AC74" i="17"/>
  <c r="AC60" i="17"/>
  <c r="U74" i="17"/>
  <c r="U60" i="17"/>
  <c r="M74" i="17"/>
  <c r="M60" i="17"/>
  <c r="B65" i="17"/>
  <c r="B79" i="17" s="1"/>
  <c r="H63" i="17"/>
  <c r="H77" i="17" s="1"/>
  <c r="R74" i="17"/>
  <c r="R60" i="17"/>
  <c r="B43" i="17"/>
  <c r="X38" i="17"/>
  <c r="P38" i="17"/>
  <c r="B39" i="17"/>
  <c r="H38" i="17"/>
  <c r="B69" i="17"/>
  <c r="F11" i="17"/>
  <c r="B9" i="17"/>
  <c r="E54" i="20"/>
  <c r="O141" i="19"/>
  <c r="D131" i="19"/>
  <c r="Y60" i="18"/>
  <c r="Y54" i="18"/>
  <c r="Q60" i="18"/>
  <c r="Q54" i="18"/>
  <c r="I60" i="18"/>
  <c r="I54" i="18"/>
  <c r="G14" i="18"/>
  <c r="F14" i="18"/>
  <c r="AE60" i="17"/>
  <c r="AE74" i="17"/>
  <c r="W60" i="17"/>
  <c r="W74" i="17"/>
  <c r="O60" i="17"/>
  <c r="O74" i="17"/>
  <c r="Z62" i="17"/>
  <c r="V62" i="17"/>
  <c r="V76" i="17" s="1"/>
  <c r="J62" i="17"/>
  <c r="Y131" i="16"/>
  <c r="Y147" i="16"/>
  <c r="Y144" i="16"/>
  <c r="Y143" i="16" s="1"/>
  <c r="U147" i="16"/>
  <c r="U144" i="16"/>
  <c r="U143" i="16" s="1"/>
  <c r="G29" i="16"/>
  <c r="F29" i="16"/>
  <c r="C53" i="20"/>
  <c r="G53" i="20" s="1"/>
  <c r="G12" i="20"/>
  <c r="E136" i="19"/>
  <c r="Y61" i="18"/>
  <c r="Y67" i="18" s="1"/>
  <c r="Q61" i="18"/>
  <c r="Q67" i="18" s="1"/>
  <c r="I61" i="18"/>
  <c r="I67" i="18" s="1"/>
  <c r="X144" i="16"/>
  <c r="X143" i="16" s="1"/>
  <c r="X147" i="16"/>
  <c r="P144" i="16"/>
  <c r="P143" i="16" s="1"/>
  <c r="P147" i="16"/>
  <c r="L131" i="16"/>
  <c r="C68" i="18" l="1"/>
  <c r="F70" i="17"/>
  <c r="F49" i="20"/>
  <c r="J147" i="16"/>
  <c r="D47" i="20"/>
  <c r="F47" i="20" s="1"/>
  <c r="G56" i="18"/>
  <c r="M142" i="19"/>
  <c r="M141" i="19" s="1"/>
  <c r="G61" i="17"/>
  <c r="I43" i="20"/>
  <c r="I42" i="20" s="1"/>
  <c r="K141" i="19"/>
  <c r="F72" i="17"/>
  <c r="AB147" i="16"/>
  <c r="R131" i="16"/>
  <c r="G40" i="17"/>
  <c r="E76" i="17"/>
  <c r="G76" i="17" s="1"/>
  <c r="Z131" i="16"/>
  <c r="K146" i="19"/>
  <c r="G39" i="17"/>
  <c r="G42" i="16"/>
  <c r="L147" i="16"/>
  <c r="F43" i="17"/>
  <c r="G35" i="18"/>
  <c r="F71" i="17"/>
  <c r="F38" i="18"/>
  <c r="AB66" i="18"/>
  <c r="AB65" i="18" s="1"/>
  <c r="G22" i="18"/>
  <c r="G59" i="16"/>
  <c r="D42" i="16"/>
  <c r="D37" i="16" s="1"/>
  <c r="D139" i="16" s="1"/>
  <c r="D150" i="16" s="1"/>
  <c r="D146" i="16" s="1"/>
  <c r="E65" i="17"/>
  <c r="E60" i="17" s="1"/>
  <c r="V131" i="16"/>
  <c r="P65" i="18"/>
  <c r="G113" i="19"/>
  <c r="AD131" i="16"/>
  <c r="N131" i="16"/>
  <c r="F42" i="17"/>
  <c r="E67" i="17"/>
  <c r="G67" i="17" s="1"/>
  <c r="F42" i="18"/>
  <c r="G42" i="18"/>
  <c r="E64" i="17"/>
  <c r="E78" i="17" s="1"/>
  <c r="G78" i="17" s="1"/>
  <c r="F59" i="16"/>
  <c r="F68" i="17"/>
  <c r="D61" i="18"/>
  <c r="D59" i="18" s="1"/>
  <c r="D7" i="20"/>
  <c r="F49" i="16"/>
  <c r="W131" i="16"/>
  <c r="D14" i="20"/>
  <c r="N60" i="17"/>
  <c r="E54" i="18"/>
  <c r="E63" i="18"/>
  <c r="G63" i="18" s="1"/>
  <c r="R143" i="16"/>
  <c r="Z143" i="16"/>
  <c r="W143" i="16"/>
  <c r="B67" i="18"/>
  <c r="F61" i="17"/>
  <c r="P59" i="18"/>
  <c r="D38" i="17"/>
  <c r="B61" i="18"/>
  <c r="E34" i="18"/>
  <c r="E62" i="18"/>
  <c r="G62" i="18" s="1"/>
  <c r="F37" i="18"/>
  <c r="B62" i="18"/>
  <c r="M147" i="16"/>
  <c r="N143" i="16"/>
  <c r="AD143" i="16"/>
  <c r="G49" i="16"/>
  <c r="F41" i="16"/>
  <c r="E77" i="17"/>
  <c r="G77" i="17" s="1"/>
  <c r="G54" i="20"/>
  <c r="V143" i="16"/>
  <c r="D48" i="20"/>
  <c r="AB142" i="19"/>
  <c r="AB141" i="19" s="1"/>
  <c r="G41" i="17"/>
  <c r="M34" i="16"/>
  <c r="M136" i="16"/>
  <c r="E38" i="17"/>
  <c r="G38" i="17" s="1"/>
  <c r="B34" i="18"/>
  <c r="J143" i="16"/>
  <c r="F54" i="17"/>
  <c r="H59" i="18"/>
  <c r="F125" i="16"/>
  <c r="D119" i="19"/>
  <c r="J131" i="16"/>
  <c r="C66" i="18"/>
  <c r="C65" i="18" s="1"/>
  <c r="C142" i="19"/>
  <c r="C141" i="19" s="1"/>
  <c r="F57" i="18"/>
  <c r="G57" i="18"/>
  <c r="F9" i="17"/>
  <c r="B69" i="18"/>
  <c r="F69" i="18" s="1"/>
  <c r="G69" i="18" s="1"/>
  <c r="B7" i="20"/>
  <c r="F7" i="20" s="1"/>
  <c r="B115" i="19"/>
  <c r="F115" i="19" s="1"/>
  <c r="B112" i="19"/>
  <c r="F36" i="18"/>
  <c r="E61" i="18"/>
  <c r="G61" i="18" s="1"/>
  <c r="F35" i="18"/>
  <c r="F14" i="20"/>
  <c r="B50" i="20"/>
  <c r="B48" i="20" s="1"/>
  <c r="B44" i="20"/>
  <c r="F44" i="20" s="1"/>
  <c r="E48" i="20"/>
  <c r="R142" i="19"/>
  <c r="R141" i="19" s="1"/>
  <c r="F64" i="16"/>
  <c r="AD60" i="17"/>
  <c r="F68" i="18"/>
  <c r="G36" i="18"/>
  <c r="F9" i="20"/>
  <c r="AB111" i="19"/>
  <c r="G119" i="19"/>
  <c r="C134" i="16"/>
  <c r="C150" i="16"/>
  <c r="C146" i="16" s="1"/>
  <c r="G58" i="19"/>
  <c r="B52" i="19"/>
  <c r="AC137" i="16"/>
  <c r="AC34" i="16"/>
  <c r="B145" i="19"/>
  <c r="D8" i="18"/>
  <c r="D11" i="18"/>
  <c r="B143" i="19"/>
  <c r="F143" i="19" s="1"/>
  <c r="AA146" i="19"/>
  <c r="B43" i="20"/>
  <c r="F8" i="20"/>
  <c r="G141" i="16"/>
  <c r="F141" i="16"/>
  <c r="AE146" i="19"/>
  <c r="F58" i="19"/>
  <c r="D100" i="19"/>
  <c r="D113" i="19"/>
  <c r="I146" i="19"/>
  <c r="N141" i="19"/>
  <c r="F119" i="19"/>
  <c r="AC142" i="19"/>
  <c r="AC141" i="19" s="1"/>
  <c r="Q146" i="19"/>
  <c r="U146" i="19"/>
  <c r="C111" i="19"/>
  <c r="J141" i="19"/>
  <c r="N146" i="19"/>
  <c r="B148" i="19"/>
  <c r="F148" i="19" s="1"/>
  <c r="AD111" i="19"/>
  <c r="AA141" i="19"/>
  <c r="Y146" i="19"/>
  <c r="AD141" i="19"/>
  <c r="AD146" i="19"/>
  <c r="E147" i="19"/>
  <c r="F147" i="19" s="1"/>
  <c r="J146" i="19"/>
  <c r="G148" i="19"/>
  <c r="F113" i="19"/>
  <c r="S146" i="19"/>
  <c r="D148" i="19"/>
  <c r="G143" i="19"/>
  <c r="C74" i="17"/>
  <c r="S137" i="16"/>
  <c r="S34" i="16"/>
  <c r="E139" i="16"/>
  <c r="G37" i="16"/>
  <c r="F42" i="16"/>
  <c r="B37" i="16"/>
  <c r="B139" i="16" s="1"/>
  <c r="D58" i="19"/>
  <c r="H138" i="16"/>
  <c r="H149" i="16" s="1"/>
  <c r="H133" i="16"/>
  <c r="H145" i="16" s="1"/>
  <c r="C35" i="16"/>
  <c r="C39" i="16"/>
  <c r="AE137" i="16"/>
  <c r="AE34" i="16"/>
  <c r="AA148" i="16"/>
  <c r="AA136" i="16"/>
  <c r="AA132" i="16"/>
  <c r="AA131" i="16" s="1"/>
  <c r="C138" i="16"/>
  <c r="C149" i="16" s="1"/>
  <c r="C145" i="16" s="1"/>
  <c r="C133" i="16"/>
  <c r="B35" i="16"/>
  <c r="B137" i="16" s="1"/>
  <c r="B39" i="16"/>
  <c r="I138" i="16"/>
  <c r="I34" i="16"/>
  <c r="I133" i="16"/>
  <c r="K148" i="16"/>
  <c r="K136" i="16"/>
  <c r="K132" i="16"/>
  <c r="K131" i="16" s="1"/>
  <c r="T132" i="16"/>
  <c r="T131" i="16" s="1"/>
  <c r="T148" i="16"/>
  <c r="T136" i="16"/>
  <c r="E39" i="16"/>
  <c r="F40" i="16"/>
  <c r="G40" i="16"/>
  <c r="E35" i="16"/>
  <c r="D40" i="16"/>
  <c r="Q137" i="16"/>
  <c r="Q34" i="16"/>
  <c r="H137" i="16"/>
  <c r="H34" i="16"/>
  <c r="O137" i="16"/>
  <c r="O34" i="16"/>
  <c r="G41" i="16"/>
  <c r="E36" i="16"/>
  <c r="F36" i="16" s="1"/>
  <c r="D41" i="16"/>
  <c r="D36" i="16" s="1"/>
  <c r="J150" i="16"/>
  <c r="J146" i="16" s="1"/>
  <c r="J134" i="16"/>
  <c r="G55" i="18"/>
  <c r="C54" i="18"/>
  <c r="D60" i="17"/>
  <c r="D74" i="17"/>
  <c r="N74" i="17"/>
  <c r="C60" i="17"/>
  <c r="G63" i="17"/>
  <c r="F11" i="16"/>
  <c r="G11" i="16"/>
  <c r="G152" i="16"/>
  <c r="E151" i="16"/>
  <c r="F152" i="16"/>
  <c r="D136" i="19"/>
  <c r="D46" i="20"/>
  <c r="B60" i="18"/>
  <c r="B54" i="18"/>
  <c r="F55" i="18"/>
  <c r="G53" i="19"/>
  <c r="F53" i="19"/>
  <c r="D53" i="19"/>
  <c r="D52" i="19" s="1"/>
  <c r="E52" i="19"/>
  <c r="B138" i="16"/>
  <c r="C34" i="18"/>
  <c r="C60" i="18"/>
  <c r="G60" i="18" s="1"/>
  <c r="E67" i="18"/>
  <c r="D67" i="18" s="1"/>
  <c r="C147" i="19"/>
  <c r="C146" i="19" s="1"/>
  <c r="B150" i="19"/>
  <c r="F56" i="19"/>
  <c r="D152" i="16"/>
  <c r="D11" i="16"/>
  <c r="J76" i="17"/>
  <c r="J74" i="17" s="1"/>
  <c r="J60" i="17"/>
  <c r="Z76" i="17"/>
  <c r="Z74" i="17" s="1"/>
  <c r="Z60" i="17"/>
  <c r="E145" i="19"/>
  <c r="F136" i="19"/>
  <c r="G136" i="19"/>
  <c r="B67" i="17"/>
  <c r="F69" i="17"/>
  <c r="B38" i="17"/>
  <c r="F39" i="17"/>
  <c r="V60" i="17"/>
  <c r="G75" i="17"/>
  <c r="D150" i="19"/>
  <c r="D115" i="19"/>
  <c r="G150" i="19"/>
  <c r="F55" i="20"/>
  <c r="D54" i="20"/>
  <c r="F54" i="20" s="1"/>
  <c r="C48" i="20"/>
  <c r="M66" i="18"/>
  <c r="M65" i="18" s="1"/>
  <c r="M59" i="18"/>
  <c r="U66" i="18"/>
  <c r="U65" i="18" s="1"/>
  <c r="U59" i="18"/>
  <c r="AC66" i="18"/>
  <c r="AC65" i="18" s="1"/>
  <c r="AC59" i="18"/>
  <c r="I141" i="19"/>
  <c r="G7" i="20"/>
  <c r="F51" i="20"/>
  <c r="G51" i="20"/>
  <c r="H60" i="17"/>
  <c r="H74" i="17"/>
  <c r="F149" i="19"/>
  <c r="G149" i="19"/>
  <c r="F52" i="20"/>
  <c r="G52" i="20"/>
  <c r="D69" i="18"/>
  <c r="I66" i="18"/>
  <c r="I59" i="18"/>
  <c r="Q66" i="18"/>
  <c r="Q65" i="18" s="1"/>
  <c r="Q59" i="18"/>
  <c r="Y66" i="18"/>
  <c r="Y65" i="18" s="1"/>
  <c r="Y59" i="18"/>
  <c r="G49" i="20"/>
  <c r="V74" i="17"/>
  <c r="B64" i="17"/>
  <c r="F16" i="19"/>
  <c r="G16" i="19"/>
  <c r="D16" i="19"/>
  <c r="G112" i="19"/>
  <c r="E111" i="19"/>
  <c r="G115" i="19"/>
  <c r="F45" i="20"/>
  <c r="G45" i="20"/>
  <c r="F40" i="17"/>
  <c r="B62" i="17"/>
  <c r="F18" i="18"/>
  <c r="G18" i="18"/>
  <c r="E17" i="18"/>
  <c r="F41" i="17"/>
  <c r="B63" i="17"/>
  <c r="B75" i="17"/>
  <c r="F75" i="17" s="1"/>
  <c r="D34" i="18"/>
  <c r="H65" i="18"/>
  <c r="D149" i="19"/>
  <c r="D114" i="19"/>
  <c r="F114" i="19"/>
  <c r="G114" i="19"/>
  <c r="G44" i="20"/>
  <c r="G50" i="20"/>
  <c r="F46" i="20"/>
  <c r="G46" i="20"/>
  <c r="H141" i="19"/>
  <c r="D44" i="20"/>
  <c r="D45" i="20"/>
  <c r="E42" i="20"/>
  <c r="G68" i="18" l="1"/>
  <c r="G64" i="17"/>
  <c r="B66" i="18"/>
  <c r="B65" i="18" s="1"/>
  <c r="F65" i="17"/>
  <c r="F62" i="18"/>
  <c r="F34" i="18"/>
  <c r="F54" i="18"/>
  <c r="F67" i="17"/>
  <c r="G54" i="18"/>
  <c r="D134" i="16"/>
  <c r="G34" i="18"/>
  <c r="B111" i="19"/>
  <c r="F111" i="19" s="1"/>
  <c r="E79" i="17"/>
  <c r="G65" i="17"/>
  <c r="F63" i="18"/>
  <c r="G48" i="20"/>
  <c r="F61" i="18"/>
  <c r="E59" i="18"/>
  <c r="F38" i="17"/>
  <c r="G60" i="17"/>
  <c r="F48" i="20"/>
  <c r="F67" i="18"/>
  <c r="G67" i="18" s="1"/>
  <c r="F50" i="20"/>
  <c r="B142" i="19"/>
  <c r="B141" i="19" s="1"/>
  <c r="AC148" i="16"/>
  <c r="AC136" i="16"/>
  <c r="AC132" i="16"/>
  <c r="AC131" i="16" s="1"/>
  <c r="G42" i="20"/>
  <c r="B42" i="20"/>
  <c r="F43" i="20"/>
  <c r="F42" i="20" s="1"/>
  <c r="F39" i="16"/>
  <c r="E142" i="19"/>
  <c r="F142" i="19" s="1"/>
  <c r="G147" i="19"/>
  <c r="F112" i="19"/>
  <c r="E146" i="19"/>
  <c r="G146" i="19" s="1"/>
  <c r="B146" i="19"/>
  <c r="D147" i="19"/>
  <c r="D146" i="19" s="1"/>
  <c r="F150" i="19"/>
  <c r="E138" i="16"/>
  <c r="F138" i="16" s="1"/>
  <c r="E133" i="16"/>
  <c r="G133" i="16" s="1"/>
  <c r="G36" i="16"/>
  <c r="D39" i="16"/>
  <c r="D35" i="16"/>
  <c r="AA147" i="16"/>
  <c r="AA144" i="16"/>
  <c r="AA143" i="16" s="1"/>
  <c r="H148" i="16"/>
  <c r="H136" i="16"/>
  <c r="H132" i="16"/>
  <c r="H131" i="16" s="1"/>
  <c r="G35" i="16"/>
  <c r="F35" i="16"/>
  <c r="E34" i="16"/>
  <c r="E137" i="16"/>
  <c r="I149" i="16"/>
  <c r="I147" i="16" s="1"/>
  <c r="I136" i="16"/>
  <c r="S148" i="16"/>
  <c r="S136" i="16"/>
  <c r="S132" i="16"/>
  <c r="S131" i="16" s="1"/>
  <c r="C59" i="18"/>
  <c r="G59" i="18" s="1"/>
  <c r="B34" i="16"/>
  <c r="F34" i="16" s="1"/>
  <c r="T144" i="16"/>
  <c r="T143" i="16" s="1"/>
  <c r="T147" i="16"/>
  <c r="K147" i="16"/>
  <c r="K144" i="16"/>
  <c r="K143" i="16" s="1"/>
  <c r="G39" i="16"/>
  <c r="F37" i="16"/>
  <c r="D138" i="16"/>
  <c r="D149" i="16" s="1"/>
  <c r="D133" i="16"/>
  <c r="O136" i="16"/>
  <c r="O132" i="16"/>
  <c r="O131" i="16" s="1"/>
  <c r="O148" i="16"/>
  <c r="Q132" i="16"/>
  <c r="Q131" i="16" s="1"/>
  <c r="Q148" i="16"/>
  <c r="Q136" i="16"/>
  <c r="I145" i="16"/>
  <c r="I143" i="16" s="1"/>
  <c r="I131" i="16"/>
  <c r="B148" i="16"/>
  <c r="B144" i="16" s="1"/>
  <c r="B132" i="16"/>
  <c r="AE136" i="16"/>
  <c r="AE132" i="16"/>
  <c r="AE131" i="16" s="1"/>
  <c r="AE148" i="16"/>
  <c r="C137" i="16"/>
  <c r="C34" i="16"/>
  <c r="B150" i="16"/>
  <c r="B146" i="16" s="1"/>
  <c r="B134" i="16"/>
  <c r="E150" i="16"/>
  <c r="G139" i="16"/>
  <c r="E134" i="16"/>
  <c r="F139" i="16"/>
  <c r="B60" i="17"/>
  <c r="F60" i="17" s="1"/>
  <c r="G151" i="16"/>
  <c r="F151" i="16"/>
  <c r="D112" i="19"/>
  <c r="D111" i="19" s="1"/>
  <c r="D151" i="16"/>
  <c r="D145" i="16"/>
  <c r="B136" i="16"/>
  <c r="B149" i="16"/>
  <c r="B133" i="16"/>
  <c r="F52" i="19"/>
  <c r="G52" i="19"/>
  <c r="B59" i="18"/>
  <c r="F59" i="18" s="1"/>
  <c r="F60" i="18"/>
  <c r="D42" i="20"/>
  <c r="D145" i="19"/>
  <c r="G145" i="19"/>
  <c r="F145" i="19"/>
  <c r="B77" i="17"/>
  <c r="F77" i="17" s="1"/>
  <c r="F63" i="17"/>
  <c r="F17" i="18"/>
  <c r="G17" i="18"/>
  <c r="I65" i="18"/>
  <c r="E66" i="18"/>
  <c r="D66" i="18" s="1"/>
  <c r="B76" i="17"/>
  <c r="F62" i="17"/>
  <c r="G111" i="19"/>
  <c r="B78" i="17"/>
  <c r="F78" i="17" s="1"/>
  <c r="F64" i="17"/>
  <c r="G79" i="17" l="1"/>
  <c r="F79" i="17"/>
  <c r="E74" i="17"/>
  <c r="G74" i="17" s="1"/>
  <c r="E141" i="19"/>
  <c r="G141" i="19" s="1"/>
  <c r="D142" i="19"/>
  <c r="D141" i="19" s="1"/>
  <c r="G142" i="19"/>
  <c r="G34" i="16"/>
  <c r="AC147" i="16"/>
  <c r="AC144" i="16"/>
  <c r="AC143" i="16" s="1"/>
  <c r="F146" i="19"/>
  <c r="H144" i="16"/>
  <c r="H143" i="16" s="1"/>
  <c r="H147" i="16"/>
  <c r="E146" i="16"/>
  <c r="F150" i="16"/>
  <c r="G150" i="16"/>
  <c r="C148" i="16"/>
  <c r="C136" i="16"/>
  <c r="C132" i="16"/>
  <c r="C131" i="16" s="1"/>
  <c r="O144" i="16"/>
  <c r="O143" i="16" s="1"/>
  <c r="O147" i="16"/>
  <c r="AE144" i="16"/>
  <c r="AE143" i="16" s="1"/>
  <c r="AE147" i="16"/>
  <c r="Q147" i="16"/>
  <c r="Q144" i="16"/>
  <c r="Q143" i="16" s="1"/>
  <c r="E148" i="16"/>
  <c r="G137" i="16"/>
  <c r="E136" i="16"/>
  <c r="F136" i="16" s="1"/>
  <c r="E132" i="16"/>
  <c r="F137" i="16"/>
  <c r="G134" i="16"/>
  <c r="F134" i="16"/>
  <c r="S147" i="16"/>
  <c r="S144" i="16"/>
  <c r="S143" i="16" s="1"/>
  <c r="D137" i="16"/>
  <c r="D34" i="16"/>
  <c r="E149" i="16"/>
  <c r="F149" i="16" s="1"/>
  <c r="G138" i="16"/>
  <c r="B145" i="16"/>
  <c r="B143" i="16" s="1"/>
  <c r="B147" i="16"/>
  <c r="B131" i="16"/>
  <c r="F133" i="16"/>
  <c r="F76" i="17"/>
  <c r="B74" i="17"/>
  <c r="F74" i="17" s="1"/>
  <c r="F141" i="19"/>
  <c r="F66" i="18"/>
  <c r="G66" i="18" s="1"/>
  <c r="D65" i="18"/>
  <c r="E65" i="18"/>
  <c r="F65" i="18" s="1"/>
  <c r="G65" i="18" s="1"/>
  <c r="D136" i="16" l="1"/>
  <c r="D148" i="16"/>
  <c r="D132" i="16"/>
  <c r="D131" i="16" s="1"/>
  <c r="E144" i="16"/>
  <c r="F144" i="16" s="1"/>
  <c r="F148" i="16"/>
  <c r="G148" i="16"/>
  <c r="E147" i="16"/>
  <c r="G136" i="16"/>
  <c r="G146" i="16"/>
  <c r="F146" i="16"/>
  <c r="G149" i="16"/>
  <c r="E145" i="16"/>
  <c r="E131" i="16"/>
  <c r="F132" i="16"/>
  <c r="G132" i="16"/>
  <c r="C144" i="16"/>
  <c r="C143" i="16" s="1"/>
  <c r="C147" i="16"/>
  <c r="AE115" i="15"/>
  <c r="AD115" i="15"/>
  <c r="AC115" i="15"/>
  <c r="AB115" i="15"/>
  <c r="AA115" i="15"/>
  <c r="Z115" i="15"/>
  <c r="Y115" i="15"/>
  <c r="X115" i="15"/>
  <c r="W115" i="15"/>
  <c r="V115" i="15"/>
  <c r="U115" i="15"/>
  <c r="T115" i="15"/>
  <c r="S115" i="15"/>
  <c r="R115" i="15"/>
  <c r="Q115" i="15"/>
  <c r="P115" i="15"/>
  <c r="O115" i="15"/>
  <c r="O126" i="15" s="1"/>
  <c r="N115" i="15"/>
  <c r="M115" i="15"/>
  <c r="L115" i="15"/>
  <c r="K115" i="15"/>
  <c r="K126" i="15" s="1"/>
  <c r="J115" i="15"/>
  <c r="I115" i="15"/>
  <c r="H115" i="15"/>
  <c r="AE114" i="15"/>
  <c r="AD114" i="15"/>
  <c r="AD125" i="15" s="1"/>
  <c r="AC114" i="15"/>
  <c r="AB114" i="15"/>
  <c r="AB125" i="15" s="1"/>
  <c r="AA114" i="15"/>
  <c r="Z114" i="15"/>
  <c r="Z125" i="15" s="1"/>
  <c r="Y114" i="15"/>
  <c r="X114" i="15"/>
  <c r="X125" i="15" s="1"/>
  <c r="W114" i="15"/>
  <c r="V114" i="15"/>
  <c r="V125" i="15" s="1"/>
  <c r="U114" i="15"/>
  <c r="T114" i="15"/>
  <c r="T125" i="15" s="1"/>
  <c r="S114" i="15"/>
  <c r="R114" i="15"/>
  <c r="R125" i="15" s="1"/>
  <c r="Q114" i="15"/>
  <c r="P114" i="15"/>
  <c r="P125" i="15" s="1"/>
  <c r="O114" i="15"/>
  <c r="N114" i="15"/>
  <c r="N125" i="15" s="1"/>
  <c r="M114" i="15"/>
  <c r="L114" i="15"/>
  <c r="L125" i="15" s="1"/>
  <c r="K114" i="15"/>
  <c r="J114" i="15"/>
  <c r="J125" i="15" s="1"/>
  <c r="I114" i="15"/>
  <c r="H114" i="15"/>
  <c r="H125" i="15" s="1"/>
  <c r="AE113" i="15"/>
  <c r="AE124" i="15" s="1"/>
  <c r="AD113" i="15"/>
  <c r="AC113" i="15"/>
  <c r="AB113" i="15"/>
  <c r="AA113" i="15"/>
  <c r="AA124" i="15" s="1"/>
  <c r="Z113" i="15"/>
  <c r="Y113" i="15"/>
  <c r="X113" i="15"/>
  <c r="W113" i="15"/>
  <c r="W124" i="15" s="1"/>
  <c r="V113" i="15"/>
  <c r="U113" i="15"/>
  <c r="T113" i="15"/>
  <c r="S113" i="15"/>
  <c r="S124" i="15" s="1"/>
  <c r="R113" i="15"/>
  <c r="Q113" i="15"/>
  <c r="Q124" i="15" s="1"/>
  <c r="P113" i="15"/>
  <c r="O113" i="15"/>
  <c r="O124" i="15" s="1"/>
  <c r="N113" i="15"/>
  <c r="M113" i="15"/>
  <c r="M124" i="15" s="1"/>
  <c r="L113" i="15"/>
  <c r="K113" i="15"/>
  <c r="K124" i="15" s="1"/>
  <c r="J113" i="15"/>
  <c r="I113" i="15"/>
  <c r="I124" i="15" s="1"/>
  <c r="H113" i="15"/>
  <c r="AE112" i="15"/>
  <c r="AD112" i="15"/>
  <c r="AC112" i="15"/>
  <c r="AB112" i="15"/>
  <c r="AA112" i="15"/>
  <c r="Z112" i="15"/>
  <c r="Y112" i="15"/>
  <c r="X112" i="15"/>
  <c r="W112" i="15"/>
  <c r="V112" i="15"/>
  <c r="U112" i="15"/>
  <c r="T112" i="15"/>
  <c r="T111" i="15" s="1"/>
  <c r="S112" i="15"/>
  <c r="R112" i="15"/>
  <c r="Q112" i="15"/>
  <c r="P112" i="15"/>
  <c r="O112" i="15"/>
  <c r="N112" i="15"/>
  <c r="M112" i="15"/>
  <c r="L112" i="15"/>
  <c r="L111" i="15" s="1"/>
  <c r="K112" i="15"/>
  <c r="J112" i="15"/>
  <c r="I112" i="15"/>
  <c r="H112" i="15"/>
  <c r="S126" i="15"/>
  <c r="X105" i="15"/>
  <c r="W105" i="15"/>
  <c r="S105" i="15"/>
  <c r="P105" i="15"/>
  <c r="O105" i="15"/>
  <c r="K105" i="15"/>
  <c r="H105" i="15"/>
  <c r="AE105" i="15"/>
  <c r="AA105" i="15"/>
  <c r="E104" i="15"/>
  <c r="D104" i="15" s="1"/>
  <c r="B104" i="15"/>
  <c r="AG104" i="15" s="1"/>
  <c r="E103" i="15"/>
  <c r="B103" i="15"/>
  <c r="E102" i="15"/>
  <c r="D102" i="15" s="1"/>
  <c r="B102" i="15"/>
  <c r="E101" i="15"/>
  <c r="B101" i="15"/>
  <c r="AG101" i="15" s="1"/>
  <c r="AE100" i="15"/>
  <c r="AD100" i="15"/>
  <c r="AC100" i="15"/>
  <c r="AB100" i="15"/>
  <c r="AA100" i="15"/>
  <c r="Z100" i="15"/>
  <c r="Y100" i="15"/>
  <c r="X100" i="15"/>
  <c r="W100" i="15"/>
  <c r="V100" i="15"/>
  <c r="U100" i="15"/>
  <c r="T100" i="15"/>
  <c r="S100" i="15"/>
  <c r="R100" i="15"/>
  <c r="Q100" i="15"/>
  <c r="P100" i="15"/>
  <c r="O100" i="15"/>
  <c r="N100" i="15"/>
  <c r="M100" i="15"/>
  <c r="L100" i="15"/>
  <c r="K100" i="15"/>
  <c r="J100" i="15"/>
  <c r="I100" i="15"/>
  <c r="H100" i="15"/>
  <c r="AG99" i="15"/>
  <c r="E98" i="15"/>
  <c r="D98" i="15" s="1"/>
  <c r="B98" i="15"/>
  <c r="AG98" i="15" s="1"/>
  <c r="E97" i="15"/>
  <c r="B97" i="15"/>
  <c r="AG97" i="15" s="1"/>
  <c r="E96" i="15"/>
  <c r="D96" i="15" s="1"/>
  <c r="B96" i="15"/>
  <c r="E95" i="15"/>
  <c r="B95" i="15"/>
  <c r="AG95" i="15" s="1"/>
  <c r="AE94" i="15"/>
  <c r="AD94" i="15"/>
  <c r="AC94" i="15"/>
  <c r="AB94" i="15"/>
  <c r="AA94" i="15"/>
  <c r="Z94" i="15"/>
  <c r="Y94" i="15"/>
  <c r="X94" i="15"/>
  <c r="W94" i="15"/>
  <c r="V94" i="15"/>
  <c r="U94" i="15"/>
  <c r="T94" i="15"/>
  <c r="S94" i="15"/>
  <c r="R94" i="15"/>
  <c r="Q94" i="15"/>
  <c r="P94" i="15"/>
  <c r="O94" i="15"/>
  <c r="N94" i="15"/>
  <c r="M94" i="15"/>
  <c r="L94" i="15"/>
  <c r="K94" i="15"/>
  <c r="J94" i="15"/>
  <c r="I94" i="15"/>
  <c r="H94" i="15"/>
  <c r="AG93" i="15"/>
  <c r="E92" i="15"/>
  <c r="D92" i="15" s="1"/>
  <c r="B92" i="15"/>
  <c r="AG92" i="15" s="1"/>
  <c r="E91" i="15"/>
  <c r="B91" i="15"/>
  <c r="AG91" i="15" s="1"/>
  <c r="E90" i="15"/>
  <c r="D90" i="15" s="1"/>
  <c r="B90" i="15"/>
  <c r="E89" i="15"/>
  <c r="B89" i="15"/>
  <c r="AG89" i="15" s="1"/>
  <c r="AE88" i="15"/>
  <c r="AD88" i="15"/>
  <c r="AC88" i="15"/>
  <c r="AB88" i="15"/>
  <c r="AA88" i="15"/>
  <c r="Z88" i="15"/>
  <c r="Y88" i="15"/>
  <c r="X88" i="15"/>
  <c r="W88" i="15"/>
  <c r="V88" i="15"/>
  <c r="U88" i="15"/>
  <c r="T88" i="15"/>
  <c r="S88" i="15"/>
  <c r="R88" i="15"/>
  <c r="Q88" i="15"/>
  <c r="P88" i="15"/>
  <c r="O88" i="15"/>
  <c r="N88" i="15"/>
  <c r="M88" i="15"/>
  <c r="L88" i="15"/>
  <c r="K88" i="15"/>
  <c r="J88" i="15"/>
  <c r="I88" i="15"/>
  <c r="H88" i="15"/>
  <c r="AG87" i="15"/>
  <c r="AG86" i="15"/>
  <c r="AG85" i="15"/>
  <c r="E84" i="15"/>
  <c r="D84" i="15" s="1"/>
  <c r="C84" i="15"/>
  <c r="B84" i="15"/>
  <c r="AG84" i="15" s="1"/>
  <c r="E83" i="15"/>
  <c r="C83" i="15"/>
  <c r="B83" i="15"/>
  <c r="AG83" i="15" s="1"/>
  <c r="E82" i="15"/>
  <c r="D82" i="15" s="1"/>
  <c r="C82" i="15"/>
  <c r="B82" i="15"/>
  <c r="AG82" i="15" s="1"/>
  <c r="E81" i="15"/>
  <c r="C81" i="15"/>
  <c r="B81" i="15"/>
  <c r="AG81" i="15" s="1"/>
  <c r="AE80" i="15"/>
  <c r="AD80" i="15"/>
  <c r="AC80" i="15"/>
  <c r="AB80" i="15"/>
  <c r="AA80" i="15"/>
  <c r="Z80" i="15"/>
  <c r="Y80" i="15"/>
  <c r="X80" i="15"/>
  <c r="W80" i="15"/>
  <c r="V80" i="15"/>
  <c r="U80" i="15"/>
  <c r="T80" i="15"/>
  <c r="S80" i="15"/>
  <c r="R80" i="15"/>
  <c r="Q80" i="15"/>
  <c r="P80" i="15"/>
  <c r="O80" i="15"/>
  <c r="N80" i="15"/>
  <c r="M80" i="15"/>
  <c r="L80" i="15"/>
  <c r="K80" i="15"/>
  <c r="J80" i="15"/>
  <c r="I80" i="15"/>
  <c r="H80" i="15"/>
  <c r="AG79" i="15"/>
  <c r="E78" i="15"/>
  <c r="D78" i="15" s="1"/>
  <c r="B78" i="15"/>
  <c r="E77" i="15"/>
  <c r="B77" i="15"/>
  <c r="AG77" i="15" s="1"/>
  <c r="E76" i="15"/>
  <c r="D76" i="15" s="1"/>
  <c r="B76" i="15"/>
  <c r="AG76" i="15" s="1"/>
  <c r="E75" i="15"/>
  <c r="B75" i="15"/>
  <c r="AG75" i="15" s="1"/>
  <c r="AE74" i="15"/>
  <c r="AD74" i="15"/>
  <c r="AC74" i="15"/>
  <c r="AB74" i="15"/>
  <c r="AA74" i="15"/>
  <c r="Z74" i="15"/>
  <c r="Y74" i="15"/>
  <c r="X74" i="15"/>
  <c r="W74" i="15"/>
  <c r="V74" i="15"/>
  <c r="U74" i="15"/>
  <c r="T74" i="15"/>
  <c r="S74" i="15"/>
  <c r="R74" i="15"/>
  <c r="Q74" i="15"/>
  <c r="P74" i="15"/>
  <c r="O74" i="15"/>
  <c r="N74" i="15"/>
  <c r="M74" i="15"/>
  <c r="L74" i="15"/>
  <c r="K74" i="15"/>
  <c r="J74" i="15"/>
  <c r="I74" i="15"/>
  <c r="H74" i="15"/>
  <c r="AG73" i="15"/>
  <c r="E72" i="15"/>
  <c r="D72" i="15" s="1"/>
  <c r="B72" i="15"/>
  <c r="AG72" i="15" s="1"/>
  <c r="E71" i="15"/>
  <c r="B71" i="15"/>
  <c r="AG71" i="15" s="1"/>
  <c r="E70" i="15"/>
  <c r="D70" i="15" s="1"/>
  <c r="B70" i="15"/>
  <c r="AG70" i="15" s="1"/>
  <c r="E69" i="15"/>
  <c r="B69" i="15"/>
  <c r="AG69" i="15" s="1"/>
  <c r="AE68" i="15"/>
  <c r="AD68" i="15"/>
  <c r="AC68" i="15"/>
  <c r="AB68" i="15"/>
  <c r="AA68" i="15"/>
  <c r="Z68" i="15"/>
  <c r="Y68" i="15"/>
  <c r="X68" i="15"/>
  <c r="W68" i="15"/>
  <c r="V68" i="15"/>
  <c r="U68" i="15"/>
  <c r="T68" i="15"/>
  <c r="S68" i="15"/>
  <c r="R68" i="15"/>
  <c r="Q68" i="15"/>
  <c r="P68" i="15"/>
  <c r="O68" i="15"/>
  <c r="N68" i="15"/>
  <c r="M68" i="15"/>
  <c r="L68" i="15"/>
  <c r="K68" i="15"/>
  <c r="J68" i="15"/>
  <c r="I68" i="15"/>
  <c r="H68" i="15"/>
  <c r="AG67" i="15"/>
  <c r="E66" i="15"/>
  <c r="D66" i="15" s="1"/>
  <c r="B66" i="15"/>
  <c r="E64" i="15"/>
  <c r="B64" i="15"/>
  <c r="AG64" i="15" s="1"/>
  <c r="E63" i="15"/>
  <c r="D63" i="15" s="1"/>
  <c r="B63" i="15"/>
  <c r="E62" i="15"/>
  <c r="B62" i="15"/>
  <c r="AG62" i="15" s="1"/>
  <c r="AE61" i="15"/>
  <c r="AD61" i="15"/>
  <c r="AC61" i="15"/>
  <c r="AB61" i="15"/>
  <c r="AA61" i="15"/>
  <c r="Z61" i="15"/>
  <c r="Y61" i="15"/>
  <c r="X61" i="15"/>
  <c r="W61" i="15"/>
  <c r="V61" i="15"/>
  <c r="U61" i="15"/>
  <c r="T61" i="15"/>
  <c r="S61" i="15"/>
  <c r="R61" i="15"/>
  <c r="Q61" i="15"/>
  <c r="P61" i="15"/>
  <c r="O61" i="15"/>
  <c r="N61" i="15"/>
  <c r="M61" i="15"/>
  <c r="L61" i="15"/>
  <c r="K61" i="15"/>
  <c r="J61" i="15"/>
  <c r="I61" i="15"/>
  <c r="H61" i="15"/>
  <c r="AG60" i="15"/>
  <c r="AG59" i="15"/>
  <c r="AG58" i="15"/>
  <c r="E50" i="15"/>
  <c r="C50" i="15"/>
  <c r="C120" i="15" s="1"/>
  <c r="B50" i="15"/>
  <c r="E49" i="15"/>
  <c r="C49" i="15"/>
  <c r="B49" i="15"/>
  <c r="AG49" i="15" s="1"/>
  <c r="E48" i="15"/>
  <c r="D48" i="15" s="1"/>
  <c r="C48" i="15"/>
  <c r="B48" i="15"/>
  <c r="E47" i="15"/>
  <c r="C47" i="15"/>
  <c r="B47" i="15"/>
  <c r="AG47" i="15" s="1"/>
  <c r="AE46" i="15"/>
  <c r="AD46" i="15"/>
  <c r="AC46" i="15"/>
  <c r="AB46" i="15"/>
  <c r="AA46" i="15"/>
  <c r="Z46" i="15"/>
  <c r="Y46" i="15"/>
  <c r="X46" i="15"/>
  <c r="W46" i="15"/>
  <c r="V46" i="15"/>
  <c r="U46" i="15"/>
  <c r="T46" i="15"/>
  <c r="S46" i="15"/>
  <c r="R46" i="15"/>
  <c r="Q46" i="15"/>
  <c r="P46" i="15"/>
  <c r="O46" i="15"/>
  <c r="N46" i="15"/>
  <c r="M46" i="15"/>
  <c r="L46" i="15"/>
  <c r="K46" i="15"/>
  <c r="J46" i="15"/>
  <c r="I46" i="15"/>
  <c r="H46" i="15"/>
  <c r="AG45" i="15"/>
  <c r="E44" i="15"/>
  <c r="D44" i="15" s="1"/>
  <c r="B44" i="15"/>
  <c r="AG44" i="15" s="1"/>
  <c r="E42" i="15"/>
  <c r="B42" i="15"/>
  <c r="AG42" i="15" s="1"/>
  <c r="E41" i="15"/>
  <c r="D41" i="15" s="1"/>
  <c r="B41" i="15"/>
  <c r="AG41" i="15" s="1"/>
  <c r="E40" i="15"/>
  <c r="B40" i="15"/>
  <c r="AG40" i="15" s="1"/>
  <c r="AE39" i="15"/>
  <c r="AD39" i="15"/>
  <c r="AC39" i="15"/>
  <c r="AB39" i="15"/>
  <c r="AA39" i="15"/>
  <c r="Z39" i="15"/>
  <c r="Y39" i="15"/>
  <c r="X39" i="15"/>
  <c r="W39" i="15"/>
  <c r="V39" i="15"/>
  <c r="U39" i="15"/>
  <c r="T39" i="15"/>
  <c r="S39" i="15"/>
  <c r="R39" i="15"/>
  <c r="Q39" i="15"/>
  <c r="P39" i="15"/>
  <c r="O39" i="15"/>
  <c r="N39" i="15"/>
  <c r="M39" i="15"/>
  <c r="L39" i="15"/>
  <c r="K39" i="15"/>
  <c r="J39" i="15"/>
  <c r="I39" i="15"/>
  <c r="H39" i="15"/>
  <c r="AG38" i="15"/>
  <c r="E37" i="15"/>
  <c r="D37" i="15" s="1"/>
  <c r="B37" i="15"/>
  <c r="E35" i="15"/>
  <c r="B35" i="15"/>
  <c r="AG35" i="15" s="1"/>
  <c r="E34" i="15"/>
  <c r="B34" i="15"/>
  <c r="E33" i="15"/>
  <c r="B33" i="15"/>
  <c r="AG33" i="15" s="1"/>
  <c r="AE32" i="15"/>
  <c r="AD32" i="15"/>
  <c r="AC32" i="15"/>
  <c r="AB32" i="15"/>
  <c r="AA32" i="15"/>
  <c r="Z32" i="15"/>
  <c r="Y32" i="15"/>
  <c r="X32" i="15"/>
  <c r="W32" i="15"/>
  <c r="V32" i="15"/>
  <c r="U32" i="15"/>
  <c r="T32" i="15"/>
  <c r="S32" i="15"/>
  <c r="R32" i="15"/>
  <c r="Q32" i="15"/>
  <c r="P32" i="15"/>
  <c r="O32" i="15"/>
  <c r="N32" i="15"/>
  <c r="M32" i="15"/>
  <c r="L32" i="15"/>
  <c r="K32" i="15"/>
  <c r="J32" i="15"/>
  <c r="I32" i="15"/>
  <c r="H32" i="15"/>
  <c r="AG31" i="15"/>
  <c r="E30" i="15"/>
  <c r="B30" i="15"/>
  <c r="E28" i="15"/>
  <c r="B28" i="15"/>
  <c r="E27" i="15"/>
  <c r="D27" i="15" s="1"/>
  <c r="B27" i="15"/>
  <c r="E26" i="15"/>
  <c r="B26" i="15"/>
  <c r="AE25" i="15"/>
  <c r="AD25" i="15"/>
  <c r="AC25" i="15"/>
  <c r="AB25" i="15"/>
  <c r="AA25" i="15"/>
  <c r="Z25" i="15"/>
  <c r="Y25" i="15"/>
  <c r="X25" i="15"/>
  <c r="W25" i="15"/>
  <c r="V25" i="15"/>
  <c r="U25" i="15"/>
  <c r="T25" i="15"/>
  <c r="S25" i="15"/>
  <c r="R25" i="15"/>
  <c r="Q25" i="15"/>
  <c r="P25" i="15"/>
  <c r="O25" i="15"/>
  <c r="N25" i="15"/>
  <c r="M25" i="15"/>
  <c r="L25" i="15"/>
  <c r="K25" i="15"/>
  <c r="J25" i="15"/>
  <c r="I25" i="15"/>
  <c r="H25" i="15"/>
  <c r="AG24" i="15"/>
  <c r="AG23" i="15"/>
  <c r="E22" i="15"/>
  <c r="C22" i="15"/>
  <c r="B22" i="15"/>
  <c r="AG22" i="15" s="1"/>
  <c r="E21" i="15"/>
  <c r="D21" i="15" s="1"/>
  <c r="C21" i="15"/>
  <c r="B21" i="15"/>
  <c r="AG21" i="15" s="1"/>
  <c r="E20" i="15"/>
  <c r="C20" i="15"/>
  <c r="B20" i="15"/>
  <c r="AG20" i="15" s="1"/>
  <c r="E19" i="15"/>
  <c r="D19" i="15" s="1"/>
  <c r="C19" i="15"/>
  <c r="B19" i="15"/>
  <c r="AE18" i="15"/>
  <c r="AD18" i="15"/>
  <c r="AC18" i="15"/>
  <c r="AB18" i="15"/>
  <c r="AA18" i="15"/>
  <c r="Z18" i="15"/>
  <c r="Y18" i="15"/>
  <c r="X18" i="15"/>
  <c r="W18" i="15"/>
  <c r="V18" i="15"/>
  <c r="U18" i="15"/>
  <c r="T18" i="15"/>
  <c r="S18" i="15"/>
  <c r="R18" i="15"/>
  <c r="Q18" i="15"/>
  <c r="P18" i="15"/>
  <c r="O18" i="15"/>
  <c r="N18" i="15"/>
  <c r="M18" i="15"/>
  <c r="L18" i="15"/>
  <c r="K18" i="15"/>
  <c r="J18" i="15"/>
  <c r="I18" i="15"/>
  <c r="H18" i="15"/>
  <c r="AG17" i="15"/>
  <c r="E16" i="15"/>
  <c r="C16" i="15"/>
  <c r="B16" i="15"/>
  <c r="E15" i="15"/>
  <c r="D15" i="15" s="1"/>
  <c r="C15" i="15"/>
  <c r="B15" i="15"/>
  <c r="E14" i="15"/>
  <c r="C14" i="15"/>
  <c r="B14" i="15"/>
  <c r="E13" i="15"/>
  <c r="C13" i="15"/>
  <c r="B13" i="15"/>
  <c r="AE12" i="15"/>
  <c r="AD12" i="15"/>
  <c r="AC12" i="15"/>
  <c r="AB12" i="15"/>
  <c r="AA12" i="15"/>
  <c r="Z12" i="15"/>
  <c r="Y12" i="15"/>
  <c r="X12" i="15"/>
  <c r="W12" i="15"/>
  <c r="V12" i="15"/>
  <c r="U12" i="15"/>
  <c r="T12" i="15"/>
  <c r="S12" i="15"/>
  <c r="R12" i="15"/>
  <c r="Q12" i="15"/>
  <c r="P12" i="15"/>
  <c r="O12" i="15"/>
  <c r="N12" i="15"/>
  <c r="M12" i="15"/>
  <c r="L12" i="15"/>
  <c r="K12" i="15"/>
  <c r="J12" i="15"/>
  <c r="I12" i="15"/>
  <c r="H12" i="15"/>
  <c r="AG11" i="15"/>
  <c r="G86" i="13"/>
  <c r="AE31" i="13"/>
  <c r="AD31" i="13"/>
  <c r="AC31" i="13"/>
  <c r="AB31" i="13"/>
  <c r="AA31" i="13"/>
  <c r="Z31" i="13"/>
  <c r="Y31" i="13"/>
  <c r="X31" i="13"/>
  <c r="W31" i="13"/>
  <c r="V31" i="13"/>
  <c r="U31" i="13"/>
  <c r="T31" i="13"/>
  <c r="S31" i="13"/>
  <c r="R31" i="13"/>
  <c r="Q31" i="13"/>
  <c r="P31" i="13"/>
  <c r="O31" i="13"/>
  <c r="N31" i="13"/>
  <c r="M31" i="13"/>
  <c r="L31" i="13"/>
  <c r="K31" i="13"/>
  <c r="J31" i="13"/>
  <c r="I31" i="13"/>
  <c r="H31" i="13"/>
  <c r="AE29" i="13"/>
  <c r="AD29" i="13"/>
  <c r="AC29" i="13"/>
  <c r="AB29" i="13"/>
  <c r="AA29" i="13"/>
  <c r="Z29" i="13"/>
  <c r="Y29" i="13"/>
  <c r="X29" i="13"/>
  <c r="W29" i="13"/>
  <c r="V29" i="13"/>
  <c r="U29" i="13"/>
  <c r="T29" i="13"/>
  <c r="S29" i="13"/>
  <c r="R29" i="13"/>
  <c r="Q29" i="13"/>
  <c r="P29" i="13"/>
  <c r="O29" i="13"/>
  <c r="N29" i="13"/>
  <c r="M29" i="13"/>
  <c r="L29" i="13"/>
  <c r="K29" i="13"/>
  <c r="J29" i="13"/>
  <c r="I29" i="13"/>
  <c r="H29" i="13"/>
  <c r="E29" i="13"/>
  <c r="AE28" i="13"/>
  <c r="AD28" i="13"/>
  <c r="AC28" i="13"/>
  <c r="AB28" i="13"/>
  <c r="AA28" i="13"/>
  <c r="Z28" i="13"/>
  <c r="Y28" i="13"/>
  <c r="X28" i="13"/>
  <c r="W28" i="13"/>
  <c r="V28" i="13"/>
  <c r="U28" i="13"/>
  <c r="T28" i="13"/>
  <c r="S28" i="13"/>
  <c r="R28" i="13"/>
  <c r="Q28" i="13"/>
  <c r="P28" i="13"/>
  <c r="O28" i="13"/>
  <c r="N28" i="13"/>
  <c r="M28" i="13"/>
  <c r="L28" i="13"/>
  <c r="K28" i="13"/>
  <c r="J28" i="13"/>
  <c r="I28" i="13"/>
  <c r="H28" i="13"/>
  <c r="E28" i="13"/>
  <c r="AE26" i="13"/>
  <c r="AD26" i="13"/>
  <c r="AC26" i="13"/>
  <c r="AB26" i="13"/>
  <c r="AA26" i="13"/>
  <c r="Z26" i="13"/>
  <c r="Y26" i="13"/>
  <c r="X26" i="13"/>
  <c r="W26" i="13"/>
  <c r="V26" i="13"/>
  <c r="U26" i="13"/>
  <c r="T26" i="13"/>
  <c r="S26" i="13"/>
  <c r="R26" i="13"/>
  <c r="Q26" i="13"/>
  <c r="P26" i="13"/>
  <c r="O26" i="13"/>
  <c r="N26" i="13"/>
  <c r="M26" i="13"/>
  <c r="L26" i="13"/>
  <c r="K26" i="13"/>
  <c r="J26" i="13"/>
  <c r="H26" i="13"/>
  <c r="AE25" i="13"/>
  <c r="AE30" i="13" s="1"/>
  <c r="AD25" i="13"/>
  <c r="AD30" i="13" s="1"/>
  <c r="AC25" i="13"/>
  <c r="AB25" i="13"/>
  <c r="AB30" i="13" s="1"/>
  <c r="AA25" i="13"/>
  <c r="AA30" i="13" s="1"/>
  <c r="Z25" i="13"/>
  <c r="Z30" i="13" s="1"/>
  <c r="Y25" i="13"/>
  <c r="Y30" i="13" s="1"/>
  <c r="X25" i="13"/>
  <c r="X30" i="13" s="1"/>
  <c r="W25" i="13"/>
  <c r="W30" i="13" s="1"/>
  <c r="V25" i="13"/>
  <c r="V30" i="13" s="1"/>
  <c r="U25" i="13"/>
  <c r="U30" i="13" s="1"/>
  <c r="T25" i="13"/>
  <c r="T30" i="13" s="1"/>
  <c r="S25" i="13"/>
  <c r="S30" i="13" s="1"/>
  <c r="Q25" i="13"/>
  <c r="Q30" i="13" s="1"/>
  <c r="P25" i="13"/>
  <c r="P30" i="13" s="1"/>
  <c r="O25" i="13"/>
  <c r="O30" i="13" s="1"/>
  <c r="N25" i="13"/>
  <c r="N30" i="13" s="1"/>
  <c r="M25" i="13"/>
  <c r="M30" i="13" s="1"/>
  <c r="L25" i="13"/>
  <c r="L30" i="13" s="1"/>
  <c r="K25" i="13"/>
  <c r="K30" i="13" s="1"/>
  <c r="J25" i="13"/>
  <c r="J30" i="13" s="1"/>
  <c r="I25" i="13"/>
  <c r="I30" i="13" s="1"/>
  <c r="H25" i="13"/>
  <c r="H30" i="13" s="1"/>
  <c r="D21" i="13"/>
  <c r="C21" i="13"/>
  <c r="AH21" i="13" s="1"/>
  <c r="B21" i="13"/>
  <c r="AG21" i="13" s="1"/>
  <c r="D19" i="13"/>
  <c r="C19" i="13"/>
  <c r="AH19" i="13" s="1"/>
  <c r="B19" i="13"/>
  <c r="AG19" i="13" s="1"/>
  <c r="D18" i="13"/>
  <c r="C18" i="13"/>
  <c r="AH18" i="13" s="1"/>
  <c r="B18" i="13"/>
  <c r="AG18" i="13" s="1"/>
  <c r="AD16" i="13"/>
  <c r="AB16" i="13"/>
  <c r="Z16" i="13"/>
  <c r="X16" i="13"/>
  <c r="V16" i="13"/>
  <c r="T16" i="13"/>
  <c r="R16" i="13"/>
  <c r="P16" i="13"/>
  <c r="N16" i="13"/>
  <c r="L16" i="13"/>
  <c r="J17" i="13"/>
  <c r="J16" i="13" s="1"/>
  <c r="I16" i="13"/>
  <c r="H16" i="13"/>
  <c r="E17" i="13"/>
  <c r="E16" i="13" s="1"/>
  <c r="D15" i="13"/>
  <c r="B15" i="13"/>
  <c r="D13" i="13"/>
  <c r="C13" i="13"/>
  <c r="B13" i="13"/>
  <c r="D12" i="13"/>
  <c r="C12" i="13"/>
  <c r="B12" i="13"/>
  <c r="AG12" i="13" s="1"/>
  <c r="AD10" i="13"/>
  <c r="AB10" i="13"/>
  <c r="Z10" i="13"/>
  <c r="X10" i="13"/>
  <c r="V10" i="13"/>
  <c r="T10" i="13"/>
  <c r="R10" i="13"/>
  <c r="P10" i="13"/>
  <c r="N10" i="13"/>
  <c r="L10" i="13"/>
  <c r="J10" i="13"/>
  <c r="I10" i="13"/>
  <c r="AG350" i="12"/>
  <c r="E349" i="12"/>
  <c r="C349" i="12"/>
  <c r="B349" i="12"/>
  <c r="AG349" i="12" s="1"/>
  <c r="E348" i="12"/>
  <c r="D348" i="12" s="1"/>
  <c r="C348" i="12"/>
  <c r="B348" i="12"/>
  <c r="AG348" i="12" s="1"/>
  <c r="E347" i="12"/>
  <c r="C347" i="12"/>
  <c r="B347" i="12"/>
  <c r="AG347" i="12" s="1"/>
  <c r="AE346" i="12"/>
  <c r="AD346" i="12"/>
  <c r="AC346" i="12"/>
  <c r="AB346" i="12"/>
  <c r="AA346" i="12"/>
  <c r="Z346" i="12"/>
  <c r="Y346" i="12"/>
  <c r="X346" i="12"/>
  <c r="W346" i="12"/>
  <c r="V346" i="12"/>
  <c r="U346" i="12"/>
  <c r="T346" i="12"/>
  <c r="S346" i="12"/>
  <c r="R346" i="12"/>
  <c r="Q346" i="12"/>
  <c r="P346" i="12"/>
  <c r="O346" i="12"/>
  <c r="N346" i="12"/>
  <c r="M346" i="12"/>
  <c r="L346" i="12"/>
  <c r="K346" i="12"/>
  <c r="J346" i="12"/>
  <c r="I346" i="12"/>
  <c r="H346" i="12"/>
  <c r="AG345" i="12"/>
  <c r="AG344" i="12"/>
  <c r="E343" i="12"/>
  <c r="C343" i="12"/>
  <c r="B343" i="12"/>
  <c r="AG343" i="12" s="1"/>
  <c r="E342" i="12"/>
  <c r="D342" i="12" s="1"/>
  <c r="C342" i="12"/>
  <c r="B342" i="12"/>
  <c r="E341" i="12"/>
  <c r="C341" i="12"/>
  <c r="AG341" i="12"/>
  <c r="AE340" i="12"/>
  <c r="AD340" i="12"/>
  <c r="AC340" i="12"/>
  <c r="AB340" i="12"/>
  <c r="AA340" i="12"/>
  <c r="Z340" i="12"/>
  <c r="Y340" i="12"/>
  <c r="X340" i="12"/>
  <c r="W340" i="12"/>
  <c r="V340" i="12"/>
  <c r="U340" i="12"/>
  <c r="T340" i="12"/>
  <c r="S340" i="12"/>
  <c r="R340" i="12"/>
  <c r="Q340" i="12"/>
  <c r="P340" i="12"/>
  <c r="O340" i="12"/>
  <c r="N340" i="12"/>
  <c r="M340" i="12"/>
  <c r="L340" i="12"/>
  <c r="K340" i="12"/>
  <c r="J340" i="12"/>
  <c r="I340" i="12"/>
  <c r="H340" i="12"/>
  <c r="AG339" i="12"/>
  <c r="AE338" i="12"/>
  <c r="AD338" i="12"/>
  <c r="AC338" i="12"/>
  <c r="AB338" i="12"/>
  <c r="AA338" i="12"/>
  <c r="Z338" i="12"/>
  <c r="Y338" i="12"/>
  <c r="X338" i="12"/>
  <c r="W338" i="12"/>
  <c r="V338" i="12"/>
  <c r="U338" i="12"/>
  <c r="T338" i="12"/>
  <c r="S338" i="12"/>
  <c r="R338" i="12"/>
  <c r="Q338" i="12"/>
  <c r="P338" i="12"/>
  <c r="O338" i="12"/>
  <c r="N338" i="12"/>
  <c r="M338" i="12"/>
  <c r="L338" i="12"/>
  <c r="K338" i="12"/>
  <c r="J338" i="12"/>
  <c r="I338" i="12"/>
  <c r="H338" i="12"/>
  <c r="E338" i="12"/>
  <c r="D338" i="12"/>
  <c r="C338" i="12"/>
  <c r="B338" i="12"/>
  <c r="AE337" i="12"/>
  <c r="AD337" i="12"/>
  <c r="AC337" i="12"/>
  <c r="AB337" i="12"/>
  <c r="AA337" i="12"/>
  <c r="Z337" i="12"/>
  <c r="Y337" i="12"/>
  <c r="X337" i="12"/>
  <c r="W337" i="12"/>
  <c r="V337" i="12"/>
  <c r="U337" i="12"/>
  <c r="T337" i="12"/>
  <c r="S337" i="12"/>
  <c r="R337" i="12"/>
  <c r="Q337" i="12"/>
  <c r="P337" i="12"/>
  <c r="O337" i="12"/>
  <c r="N337" i="12"/>
  <c r="M337" i="12"/>
  <c r="L337" i="12"/>
  <c r="K337" i="12"/>
  <c r="J337" i="12"/>
  <c r="I337" i="12"/>
  <c r="H337" i="12"/>
  <c r="AE336" i="12"/>
  <c r="AD336" i="12"/>
  <c r="AC336" i="12"/>
  <c r="AB336" i="12"/>
  <c r="AA336" i="12"/>
  <c r="Z336" i="12"/>
  <c r="Y336" i="12"/>
  <c r="X336" i="12"/>
  <c r="W336" i="12"/>
  <c r="V336" i="12"/>
  <c r="U336" i="12"/>
  <c r="T336" i="12"/>
  <c r="S336" i="12"/>
  <c r="R336" i="12"/>
  <c r="Q336" i="12"/>
  <c r="P336" i="12"/>
  <c r="O336" i="12"/>
  <c r="N336" i="12"/>
  <c r="M336" i="12"/>
  <c r="L336" i="12"/>
  <c r="K336" i="12"/>
  <c r="J336" i="12"/>
  <c r="I336" i="12"/>
  <c r="H336" i="12"/>
  <c r="AE335" i="12"/>
  <c r="AD335" i="12"/>
  <c r="AC335" i="12"/>
  <c r="AB335" i="12"/>
  <c r="AA335" i="12"/>
  <c r="Z335" i="12"/>
  <c r="Y335" i="12"/>
  <c r="X335" i="12"/>
  <c r="W335" i="12"/>
  <c r="V335" i="12"/>
  <c r="U335" i="12"/>
  <c r="T335" i="12"/>
  <c r="S335" i="12"/>
  <c r="R335" i="12"/>
  <c r="Q335" i="12"/>
  <c r="P335" i="12"/>
  <c r="O335" i="12"/>
  <c r="N335" i="12"/>
  <c r="M335" i="12"/>
  <c r="L335" i="12"/>
  <c r="K335" i="12"/>
  <c r="J335" i="12"/>
  <c r="I335" i="12"/>
  <c r="H335" i="12"/>
  <c r="AG333" i="12"/>
  <c r="AG332" i="12"/>
  <c r="E331" i="12"/>
  <c r="C331" i="12"/>
  <c r="B331" i="12"/>
  <c r="AG331" i="12" s="1"/>
  <c r="B330" i="12"/>
  <c r="AG330" i="12" s="1"/>
  <c r="E329" i="12"/>
  <c r="C329" i="12"/>
  <c r="B329" i="12"/>
  <c r="AG329" i="12" s="1"/>
  <c r="AE328" i="12"/>
  <c r="AD328" i="12"/>
  <c r="AC328" i="12"/>
  <c r="AB328" i="12"/>
  <c r="AA328" i="12"/>
  <c r="Z328" i="12"/>
  <c r="Y328" i="12"/>
  <c r="X328" i="12"/>
  <c r="W328" i="12"/>
  <c r="V328" i="12"/>
  <c r="U328" i="12"/>
  <c r="T328" i="12"/>
  <c r="S328" i="12"/>
  <c r="R328" i="12"/>
  <c r="Q328" i="12"/>
  <c r="P328" i="12"/>
  <c r="O328" i="12"/>
  <c r="N328" i="12"/>
  <c r="M328" i="12"/>
  <c r="L328" i="12"/>
  <c r="K328" i="12"/>
  <c r="J328" i="12"/>
  <c r="I328" i="12"/>
  <c r="H328" i="12"/>
  <c r="AG327" i="12"/>
  <c r="AG326" i="12"/>
  <c r="E325" i="12"/>
  <c r="B325" i="12"/>
  <c r="AG325" i="12" s="1"/>
  <c r="E324" i="12"/>
  <c r="D324" i="12" s="1"/>
  <c r="C324" i="12"/>
  <c r="B324" i="12"/>
  <c r="AG324" i="12" s="1"/>
  <c r="E323" i="12"/>
  <c r="C323" i="12"/>
  <c r="B323" i="12"/>
  <c r="AG323" i="12" s="1"/>
  <c r="AE322" i="12"/>
  <c r="AD322" i="12"/>
  <c r="AC322" i="12"/>
  <c r="AB322" i="12"/>
  <c r="AA322" i="12"/>
  <c r="Z322" i="12"/>
  <c r="Y322" i="12"/>
  <c r="X322" i="12"/>
  <c r="W322" i="12"/>
  <c r="V322" i="12"/>
  <c r="U322" i="12"/>
  <c r="T322" i="12"/>
  <c r="S322" i="12"/>
  <c r="R322" i="12"/>
  <c r="Q322" i="12"/>
  <c r="P322" i="12"/>
  <c r="O322" i="12"/>
  <c r="N322" i="12"/>
  <c r="M322" i="12"/>
  <c r="L322" i="12"/>
  <c r="K322" i="12"/>
  <c r="J322" i="12"/>
  <c r="I322" i="12"/>
  <c r="H322" i="12"/>
  <c r="AG321" i="12"/>
  <c r="AG320" i="12"/>
  <c r="B319" i="12"/>
  <c r="AG319" i="12" s="1"/>
  <c r="D318" i="12"/>
  <c r="B318" i="12"/>
  <c r="AG318" i="12" s="1"/>
  <c r="E317" i="12"/>
  <c r="B317" i="12"/>
  <c r="AG317" i="12" s="1"/>
  <c r="AE316" i="12"/>
  <c r="AD316" i="12"/>
  <c r="AC316" i="12"/>
  <c r="AB316" i="12"/>
  <c r="AA316" i="12"/>
  <c r="Z316" i="12"/>
  <c r="Y316" i="12"/>
  <c r="X316" i="12"/>
  <c r="W316" i="12"/>
  <c r="V316" i="12"/>
  <c r="U316" i="12"/>
  <c r="T316" i="12"/>
  <c r="S316" i="12"/>
  <c r="R316" i="12"/>
  <c r="Q316" i="12"/>
  <c r="P316" i="12"/>
  <c r="O316" i="12"/>
  <c r="N316" i="12"/>
  <c r="M316" i="12"/>
  <c r="L316" i="12"/>
  <c r="K316" i="12"/>
  <c r="J316" i="12"/>
  <c r="I316" i="12"/>
  <c r="H316" i="12"/>
  <c r="AG315" i="12"/>
  <c r="AE314" i="12"/>
  <c r="AE302" i="12" s="1"/>
  <c r="AD314" i="12"/>
  <c r="AC314" i="12"/>
  <c r="AC302" i="12" s="1"/>
  <c r="AB314" i="12"/>
  <c r="AB302" i="12" s="1"/>
  <c r="AA314" i="12"/>
  <c r="AA302" i="12" s="1"/>
  <c r="Z314" i="12"/>
  <c r="Y314" i="12"/>
  <c r="Y302" i="12" s="1"/>
  <c r="X314" i="12"/>
  <c r="X302" i="12" s="1"/>
  <c r="W314" i="12"/>
  <c r="W302" i="12" s="1"/>
  <c r="V314" i="12"/>
  <c r="U314" i="12"/>
  <c r="U302" i="12" s="1"/>
  <c r="T314" i="12"/>
  <c r="T302" i="12" s="1"/>
  <c r="S314" i="12"/>
  <c r="S302" i="12" s="1"/>
  <c r="R314" i="12"/>
  <c r="Q314" i="12"/>
  <c r="Q302" i="12" s="1"/>
  <c r="P314" i="12"/>
  <c r="P302" i="12" s="1"/>
  <c r="O314" i="12"/>
  <c r="O302" i="12" s="1"/>
  <c r="N314" i="12"/>
  <c r="M314" i="12"/>
  <c r="M302" i="12" s="1"/>
  <c r="L314" i="12"/>
  <c r="L302" i="12" s="1"/>
  <c r="K314" i="12"/>
  <c r="K302" i="12" s="1"/>
  <c r="J314" i="12"/>
  <c r="I314" i="12"/>
  <c r="I302" i="12" s="1"/>
  <c r="H314" i="12"/>
  <c r="H302" i="12" s="1"/>
  <c r="C302" i="12" s="1"/>
  <c r="AE313" i="12"/>
  <c r="AE301" i="12" s="1"/>
  <c r="AD313" i="12"/>
  <c r="AD301" i="12" s="1"/>
  <c r="AC313" i="12"/>
  <c r="AC301" i="12" s="1"/>
  <c r="AB313" i="12"/>
  <c r="AB301" i="12" s="1"/>
  <c r="AA313" i="12"/>
  <c r="AA301" i="12" s="1"/>
  <c r="Z313" i="12"/>
  <c r="Z301" i="12" s="1"/>
  <c r="Y313" i="12"/>
  <c r="Y301" i="12" s="1"/>
  <c r="X313" i="12"/>
  <c r="X301" i="12" s="1"/>
  <c r="W313" i="12"/>
  <c r="W301" i="12" s="1"/>
  <c r="V313" i="12"/>
  <c r="V301" i="12" s="1"/>
  <c r="U313" i="12"/>
  <c r="U301" i="12" s="1"/>
  <c r="T313" i="12"/>
  <c r="T301" i="12" s="1"/>
  <c r="S313" i="12"/>
  <c r="S301" i="12" s="1"/>
  <c r="R313" i="12"/>
  <c r="R301" i="12" s="1"/>
  <c r="Q313" i="12"/>
  <c r="Q301" i="12" s="1"/>
  <c r="P313" i="12"/>
  <c r="P301" i="12" s="1"/>
  <c r="O313" i="12"/>
  <c r="O301" i="12" s="1"/>
  <c r="N313" i="12"/>
  <c r="N301" i="12" s="1"/>
  <c r="M313" i="12"/>
  <c r="M301" i="12" s="1"/>
  <c r="L313" i="12"/>
  <c r="L301" i="12" s="1"/>
  <c r="K313" i="12"/>
  <c r="K301" i="12" s="1"/>
  <c r="J313" i="12"/>
  <c r="J301" i="12" s="1"/>
  <c r="I313" i="12"/>
  <c r="H313" i="12"/>
  <c r="C313" i="12" s="1"/>
  <c r="AE312" i="12"/>
  <c r="AE300" i="12" s="1"/>
  <c r="AD312" i="12"/>
  <c r="AD300" i="12" s="1"/>
  <c r="AC312" i="12"/>
  <c r="AC300" i="12" s="1"/>
  <c r="AB312" i="12"/>
  <c r="AB300" i="12" s="1"/>
  <c r="AA312" i="12"/>
  <c r="AA300" i="12" s="1"/>
  <c r="Z312" i="12"/>
  <c r="Z300" i="12" s="1"/>
  <c r="Y312" i="12"/>
  <c r="Y300" i="12" s="1"/>
  <c r="X312" i="12"/>
  <c r="X300" i="12" s="1"/>
  <c r="W312" i="12"/>
  <c r="W300" i="12" s="1"/>
  <c r="V312" i="12"/>
  <c r="V300" i="12" s="1"/>
  <c r="U312" i="12"/>
  <c r="U300" i="12" s="1"/>
  <c r="T312" i="12"/>
  <c r="T300" i="12" s="1"/>
  <c r="S312" i="12"/>
  <c r="S300" i="12" s="1"/>
  <c r="R312" i="12"/>
  <c r="R300" i="12" s="1"/>
  <c r="Q312" i="12"/>
  <c r="Q300" i="12" s="1"/>
  <c r="P312" i="12"/>
  <c r="P300" i="12" s="1"/>
  <c r="O312" i="12"/>
  <c r="O300" i="12" s="1"/>
  <c r="N312" i="12"/>
  <c r="N300" i="12" s="1"/>
  <c r="M312" i="12"/>
  <c r="M300" i="12" s="1"/>
  <c r="L312" i="12"/>
  <c r="L300" i="12" s="1"/>
  <c r="K312" i="12"/>
  <c r="K300" i="12" s="1"/>
  <c r="J312" i="12"/>
  <c r="J300" i="12" s="1"/>
  <c r="I312" i="12"/>
  <c r="H312" i="12"/>
  <c r="AE311" i="12"/>
  <c r="AE299" i="12" s="1"/>
  <c r="AD311" i="12"/>
  <c r="AD299" i="12" s="1"/>
  <c r="AC311" i="12"/>
  <c r="AC299" i="12" s="1"/>
  <c r="AB311" i="12"/>
  <c r="AB299" i="12" s="1"/>
  <c r="AA311" i="12"/>
  <c r="AA299" i="12" s="1"/>
  <c r="Z311" i="12"/>
  <c r="Z299" i="12" s="1"/>
  <c r="Y311" i="12"/>
  <c r="Y299" i="12" s="1"/>
  <c r="X311" i="12"/>
  <c r="X299" i="12" s="1"/>
  <c r="W311" i="12"/>
  <c r="W299" i="12" s="1"/>
  <c r="V311" i="12"/>
  <c r="V299" i="12" s="1"/>
  <c r="U311" i="12"/>
  <c r="U299" i="12" s="1"/>
  <c r="T311" i="12"/>
  <c r="T299" i="12" s="1"/>
  <c r="S311" i="12"/>
  <c r="S299" i="12" s="1"/>
  <c r="R311" i="12"/>
  <c r="R299" i="12" s="1"/>
  <c r="Q311" i="12"/>
  <c r="Q299" i="12" s="1"/>
  <c r="P311" i="12"/>
  <c r="P299" i="12" s="1"/>
  <c r="O311" i="12"/>
  <c r="O299" i="12" s="1"/>
  <c r="N311" i="12"/>
  <c r="N299" i="12" s="1"/>
  <c r="M311" i="12"/>
  <c r="M299" i="12" s="1"/>
  <c r="L311" i="12"/>
  <c r="L299" i="12" s="1"/>
  <c r="K311" i="12"/>
  <c r="K299" i="12" s="1"/>
  <c r="J311" i="12"/>
  <c r="J299" i="12" s="1"/>
  <c r="I311" i="12"/>
  <c r="H311" i="12"/>
  <c r="C311" i="12" s="1"/>
  <c r="AG309" i="12"/>
  <c r="AG308" i="12"/>
  <c r="E307" i="12"/>
  <c r="C307" i="12"/>
  <c r="B307" i="12"/>
  <c r="AG307" i="12" s="1"/>
  <c r="E306" i="12"/>
  <c r="D306" i="12" s="1"/>
  <c r="C306" i="12"/>
  <c r="B306" i="12"/>
  <c r="E305" i="12"/>
  <c r="C305" i="12"/>
  <c r="B305" i="12"/>
  <c r="AG305" i="12" s="1"/>
  <c r="AE304" i="12"/>
  <c r="AD304" i="12"/>
  <c r="AC304" i="12"/>
  <c r="AB304" i="12"/>
  <c r="AA304" i="12"/>
  <c r="Z304" i="12"/>
  <c r="Y304" i="12"/>
  <c r="X304" i="12"/>
  <c r="W304" i="12"/>
  <c r="V304" i="12"/>
  <c r="U304" i="12"/>
  <c r="T304" i="12"/>
  <c r="S304" i="12"/>
  <c r="R304" i="12"/>
  <c r="Q304" i="12"/>
  <c r="P304" i="12"/>
  <c r="O304" i="12"/>
  <c r="N304" i="12"/>
  <c r="M304" i="12"/>
  <c r="L304" i="12"/>
  <c r="K304" i="12"/>
  <c r="J304" i="12"/>
  <c r="I304" i="12"/>
  <c r="H304" i="12"/>
  <c r="AG303" i="12"/>
  <c r="AG297" i="12"/>
  <c r="AG296" i="12"/>
  <c r="E295" i="12"/>
  <c r="B295" i="12"/>
  <c r="AG295" i="12" s="1"/>
  <c r="E294" i="12"/>
  <c r="D294" i="12" s="1"/>
  <c r="C294" i="12"/>
  <c r="B294" i="12"/>
  <c r="E293" i="12"/>
  <c r="C293" i="12"/>
  <c r="B293" i="12"/>
  <c r="AG293" i="12" s="1"/>
  <c r="AE292" i="12"/>
  <c r="AD292" i="12"/>
  <c r="AC292" i="12"/>
  <c r="AB292" i="12"/>
  <c r="AA292" i="12"/>
  <c r="Z292" i="12"/>
  <c r="Y292" i="12"/>
  <c r="X292" i="12"/>
  <c r="W292" i="12"/>
  <c r="V292" i="12"/>
  <c r="U292" i="12"/>
  <c r="T292" i="12"/>
  <c r="S292" i="12"/>
  <c r="R292" i="12"/>
  <c r="Q292" i="12"/>
  <c r="P292" i="12"/>
  <c r="O292" i="12"/>
  <c r="N292" i="12"/>
  <c r="M292" i="12"/>
  <c r="L292" i="12"/>
  <c r="K292" i="12"/>
  <c r="J292" i="12"/>
  <c r="I292" i="12"/>
  <c r="H292" i="12"/>
  <c r="AG291" i="12"/>
  <c r="AG290" i="12"/>
  <c r="E289" i="12"/>
  <c r="B289" i="12"/>
  <c r="AG289" i="12" s="1"/>
  <c r="E288" i="12"/>
  <c r="D288" i="12" s="1"/>
  <c r="C288" i="12"/>
  <c r="B288" i="12"/>
  <c r="E287" i="12"/>
  <c r="C287" i="12"/>
  <c r="B287" i="12"/>
  <c r="AG287" i="12" s="1"/>
  <c r="AE286" i="12"/>
  <c r="AD286" i="12"/>
  <c r="AC286" i="12"/>
  <c r="AB286" i="12"/>
  <c r="AA286" i="12"/>
  <c r="Z286" i="12"/>
  <c r="Y286" i="12"/>
  <c r="X286" i="12"/>
  <c r="W286" i="12"/>
  <c r="V286" i="12"/>
  <c r="U286" i="12"/>
  <c r="T286" i="12"/>
  <c r="S286" i="12"/>
  <c r="R286" i="12"/>
  <c r="Q286" i="12"/>
  <c r="P286" i="12"/>
  <c r="O286" i="12"/>
  <c r="N286" i="12"/>
  <c r="M286" i="12"/>
  <c r="L286" i="12"/>
  <c r="K286" i="12"/>
  <c r="J286" i="12"/>
  <c r="I286" i="12"/>
  <c r="H286" i="12"/>
  <c r="AG285" i="12"/>
  <c r="AG284" i="12"/>
  <c r="B283" i="12"/>
  <c r="AG283" i="12" s="1"/>
  <c r="E282" i="12"/>
  <c r="D282" i="12" s="1"/>
  <c r="C282" i="12"/>
  <c r="B282" i="12"/>
  <c r="E281" i="12"/>
  <c r="C281" i="12"/>
  <c r="B281" i="12"/>
  <c r="AG281" i="12" s="1"/>
  <c r="AE280" i="12"/>
  <c r="AD280" i="12"/>
  <c r="AC280" i="12"/>
  <c r="AB280" i="12"/>
  <c r="AA280" i="12"/>
  <c r="Z280" i="12"/>
  <c r="Y280" i="12"/>
  <c r="X280" i="12"/>
  <c r="W280" i="12"/>
  <c r="V280" i="12"/>
  <c r="U280" i="12"/>
  <c r="T280" i="12"/>
  <c r="S280" i="12"/>
  <c r="R280" i="12"/>
  <c r="Q280" i="12"/>
  <c r="P280" i="12"/>
  <c r="O280" i="12"/>
  <c r="N280" i="12"/>
  <c r="L280" i="12"/>
  <c r="K280" i="12"/>
  <c r="J280" i="12"/>
  <c r="I280" i="12"/>
  <c r="H280" i="12"/>
  <c r="AG279" i="12"/>
  <c r="AE278" i="12"/>
  <c r="AD278" i="12"/>
  <c r="AC278" i="12"/>
  <c r="AB278" i="12"/>
  <c r="AA278" i="12"/>
  <c r="Z278" i="12"/>
  <c r="Y278" i="12"/>
  <c r="X278" i="12"/>
  <c r="W278" i="12"/>
  <c r="V278" i="12"/>
  <c r="U278" i="12"/>
  <c r="T278" i="12"/>
  <c r="S278" i="12"/>
  <c r="R278" i="12"/>
  <c r="Q278" i="12"/>
  <c r="P278" i="12"/>
  <c r="O278" i="12"/>
  <c r="N278" i="12"/>
  <c r="M278" i="12"/>
  <c r="L278" i="12"/>
  <c r="K278" i="12"/>
  <c r="J278" i="12"/>
  <c r="I278" i="12"/>
  <c r="H278" i="12"/>
  <c r="C278" i="12" s="1"/>
  <c r="AE277" i="12"/>
  <c r="AD277" i="12"/>
  <c r="AC277" i="12"/>
  <c r="AB277" i="12"/>
  <c r="AA277" i="12"/>
  <c r="Z277" i="12"/>
  <c r="Y277" i="12"/>
  <c r="X277" i="12"/>
  <c r="W277" i="12"/>
  <c r="V277" i="12"/>
  <c r="U277" i="12"/>
  <c r="T277" i="12"/>
  <c r="S277" i="12"/>
  <c r="R277" i="12"/>
  <c r="Q277" i="12"/>
  <c r="P277" i="12"/>
  <c r="O277" i="12"/>
  <c r="N277" i="12"/>
  <c r="M277" i="12"/>
  <c r="L277" i="12"/>
  <c r="K277" i="12"/>
  <c r="J277" i="12"/>
  <c r="I277" i="12"/>
  <c r="H277" i="12"/>
  <c r="AE276" i="12"/>
  <c r="AD276" i="12"/>
  <c r="AC276" i="12"/>
  <c r="AB276" i="12"/>
  <c r="AA276" i="12"/>
  <c r="Z276" i="12"/>
  <c r="Y276" i="12"/>
  <c r="X276" i="12"/>
  <c r="W276" i="12"/>
  <c r="V276" i="12"/>
  <c r="U276" i="12"/>
  <c r="T276" i="12"/>
  <c r="S276" i="12"/>
  <c r="R276" i="12"/>
  <c r="Q276" i="12"/>
  <c r="P276" i="12"/>
  <c r="O276" i="12"/>
  <c r="N276" i="12"/>
  <c r="M276" i="12"/>
  <c r="L276" i="12"/>
  <c r="K276" i="12"/>
  <c r="J276" i="12"/>
  <c r="I276" i="12"/>
  <c r="H276" i="12"/>
  <c r="AE275" i="12"/>
  <c r="AD275" i="12"/>
  <c r="AC275" i="12"/>
  <c r="AB275" i="12"/>
  <c r="AA275" i="12"/>
  <c r="Z275" i="12"/>
  <c r="Y275" i="12"/>
  <c r="X275" i="12"/>
  <c r="W275" i="12"/>
  <c r="V275" i="12"/>
  <c r="U275" i="12"/>
  <c r="T275" i="12"/>
  <c r="S275" i="12"/>
  <c r="R275" i="12"/>
  <c r="Q275" i="12"/>
  <c r="P275" i="12"/>
  <c r="O275" i="12"/>
  <c r="N275" i="12"/>
  <c r="M275" i="12"/>
  <c r="L275" i="12"/>
  <c r="K275" i="12"/>
  <c r="J275" i="12"/>
  <c r="I275" i="12"/>
  <c r="H275" i="12"/>
  <c r="C275" i="12" s="1"/>
  <c r="AG273" i="12"/>
  <c r="AG272" i="12"/>
  <c r="E271" i="12"/>
  <c r="C271" i="12"/>
  <c r="B271" i="12"/>
  <c r="AG271" i="12" s="1"/>
  <c r="E270" i="12"/>
  <c r="D270" i="12" s="1"/>
  <c r="C270" i="12"/>
  <c r="B270" i="12"/>
  <c r="AG270" i="12" s="1"/>
  <c r="E269" i="12"/>
  <c r="C269" i="12"/>
  <c r="B269" i="12"/>
  <c r="AG269" i="12" s="1"/>
  <c r="E268" i="12"/>
  <c r="D268" i="12" s="1"/>
  <c r="C268" i="12"/>
  <c r="B268" i="12"/>
  <c r="AE267" i="12"/>
  <c r="AD267" i="12"/>
  <c r="AC267" i="12"/>
  <c r="AB267" i="12"/>
  <c r="AA267" i="12"/>
  <c r="Z267" i="12"/>
  <c r="Y267" i="12"/>
  <c r="X267" i="12"/>
  <c r="W267" i="12"/>
  <c r="V267" i="12"/>
  <c r="U267" i="12"/>
  <c r="T267" i="12"/>
  <c r="S267" i="12"/>
  <c r="R267" i="12"/>
  <c r="Q267" i="12"/>
  <c r="P267" i="12"/>
  <c r="O267" i="12"/>
  <c r="N267" i="12"/>
  <c r="M267" i="12"/>
  <c r="L267" i="12"/>
  <c r="K267" i="12"/>
  <c r="J267" i="12"/>
  <c r="I267" i="12"/>
  <c r="H267" i="12"/>
  <c r="AG266" i="12"/>
  <c r="AG265" i="12"/>
  <c r="E264" i="12"/>
  <c r="D264" i="12" s="1"/>
  <c r="D258" i="12" s="1"/>
  <c r="C264" i="12"/>
  <c r="C258" i="12" s="1"/>
  <c r="B264" i="12"/>
  <c r="AB263" i="12"/>
  <c r="E263" i="12"/>
  <c r="D263" i="12" s="1"/>
  <c r="D257" i="12" s="1"/>
  <c r="C263" i="12"/>
  <c r="C257" i="12" s="1"/>
  <c r="E262" i="12"/>
  <c r="E256" i="12" s="1"/>
  <c r="C262" i="12"/>
  <c r="C256" i="12" s="1"/>
  <c r="B262" i="12"/>
  <c r="AG262" i="12" s="1"/>
  <c r="AE261" i="12"/>
  <c r="AD261" i="12"/>
  <c r="AC261" i="12"/>
  <c r="AA261" i="12"/>
  <c r="Z261" i="12"/>
  <c r="Y261" i="12"/>
  <c r="X261" i="12"/>
  <c r="W261" i="12"/>
  <c r="V261" i="12"/>
  <c r="U261" i="12"/>
  <c r="T261" i="12"/>
  <c r="S261" i="12"/>
  <c r="R261" i="12"/>
  <c r="Q261" i="12"/>
  <c r="P261" i="12"/>
  <c r="O261" i="12"/>
  <c r="N261" i="12"/>
  <c r="M261" i="12"/>
  <c r="L261" i="12"/>
  <c r="K261" i="12"/>
  <c r="J261" i="12"/>
  <c r="I261" i="12"/>
  <c r="H261" i="12"/>
  <c r="AG260" i="12"/>
  <c r="AE259" i="12"/>
  <c r="AD259" i="12"/>
  <c r="AC259" i="12"/>
  <c r="AB259" i="12"/>
  <c r="AA259" i="12"/>
  <c r="Z259" i="12"/>
  <c r="Y259" i="12"/>
  <c r="X259" i="12"/>
  <c r="W259" i="12"/>
  <c r="V259" i="12"/>
  <c r="U259" i="12"/>
  <c r="T259" i="12"/>
  <c r="S259" i="12"/>
  <c r="R259" i="12"/>
  <c r="Q259" i="12"/>
  <c r="P259" i="12"/>
  <c r="O259" i="12"/>
  <c r="N259" i="12"/>
  <c r="M259" i="12"/>
  <c r="L259" i="12"/>
  <c r="K259" i="12"/>
  <c r="J259" i="12"/>
  <c r="I259" i="12"/>
  <c r="H259" i="12"/>
  <c r="E259" i="12"/>
  <c r="D259" i="12"/>
  <c r="C259" i="12"/>
  <c r="B259" i="12"/>
  <c r="AE258" i="12"/>
  <c r="AC258" i="12"/>
  <c r="AB258" i="12"/>
  <c r="AA258" i="12"/>
  <c r="Z258" i="12"/>
  <c r="Y258" i="12"/>
  <c r="X258" i="12"/>
  <c r="W258" i="12"/>
  <c r="V258" i="12"/>
  <c r="U258" i="12"/>
  <c r="T258" i="12"/>
  <c r="S258" i="12"/>
  <c r="R258" i="12"/>
  <c r="Q258" i="12"/>
  <c r="P258" i="12"/>
  <c r="O258" i="12"/>
  <c r="N258" i="12"/>
  <c r="M258" i="12"/>
  <c r="L258" i="12"/>
  <c r="K258" i="12"/>
  <c r="J258" i="12"/>
  <c r="I258" i="12"/>
  <c r="H258" i="12"/>
  <c r="AE257" i="12"/>
  <c r="AD257" i="12"/>
  <c r="AC257" i="12"/>
  <c r="AA257" i="12"/>
  <c r="Z257" i="12"/>
  <c r="Y257" i="12"/>
  <c r="X257" i="12"/>
  <c r="W257" i="12"/>
  <c r="V257" i="12"/>
  <c r="U257" i="12"/>
  <c r="T257" i="12"/>
  <c r="S257" i="12"/>
  <c r="R257" i="12"/>
  <c r="Q257" i="12"/>
  <c r="P257" i="12"/>
  <c r="O257" i="12"/>
  <c r="N257" i="12"/>
  <c r="M257" i="12"/>
  <c r="L257" i="12"/>
  <c r="K257" i="12"/>
  <c r="J257" i="12"/>
  <c r="I257" i="12"/>
  <c r="H257" i="12"/>
  <c r="AE256" i="12"/>
  <c r="AD256" i="12"/>
  <c r="AC256" i="12"/>
  <c r="AB256" i="12"/>
  <c r="AA256" i="12"/>
  <c r="Z256" i="12"/>
  <c r="Y256" i="12"/>
  <c r="X256" i="12"/>
  <c r="W256" i="12"/>
  <c r="V256" i="12"/>
  <c r="U256" i="12"/>
  <c r="T256" i="12"/>
  <c r="S256" i="12"/>
  <c r="R256" i="12"/>
  <c r="Q256" i="12"/>
  <c r="P256" i="12"/>
  <c r="O256" i="12"/>
  <c r="N256" i="12"/>
  <c r="M256" i="12"/>
  <c r="L256" i="12"/>
  <c r="K256" i="12"/>
  <c r="J256" i="12"/>
  <c r="I256" i="12"/>
  <c r="H256" i="12"/>
  <c r="AG254" i="12"/>
  <c r="AG252" i="12"/>
  <c r="AG251" i="12"/>
  <c r="E250" i="12"/>
  <c r="D250" i="12" s="1"/>
  <c r="B250" i="12"/>
  <c r="E249" i="12"/>
  <c r="C249" i="12"/>
  <c r="B249" i="12"/>
  <c r="AG249" i="12" s="1"/>
  <c r="E248" i="12"/>
  <c r="D248" i="12" s="1"/>
  <c r="C248" i="12"/>
  <c r="B248" i="12"/>
  <c r="AG248" i="12" s="1"/>
  <c r="AE247" i="12"/>
  <c r="AD247" i="12"/>
  <c r="AC247" i="12"/>
  <c r="AB247" i="12"/>
  <c r="AA247" i="12"/>
  <c r="Z247" i="12"/>
  <c r="Y247" i="12"/>
  <c r="X247" i="12"/>
  <c r="W247" i="12"/>
  <c r="V247" i="12"/>
  <c r="U247" i="12"/>
  <c r="T247" i="12"/>
  <c r="S247" i="12"/>
  <c r="R247" i="12"/>
  <c r="Q247" i="12"/>
  <c r="P247" i="12"/>
  <c r="O247" i="12"/>
  <c r="N247" i="12"/>
  <c r="M247" i="12"/>
  <c r="L247" i="12"/>
  <c r="K247" i="12"/>
  <c r="J247" i="12"/>
  <c r="I247" i="12"/>
  <c r="H247" i="12"/>
  <c r="AG246" i="12"/>
  <c r="AG245" i="12"/>
  <c r="E244" i="12"/>
  <c r="D244" i="12" s="1"/>
  <c r="B244" i="12"/>
  <c r="AG244" i="12" s="1"/>
  <c r="E243" i="12"/>
  <c r="C243" i="12"/>
  <c r="B243" i="12"/>
  <c r="AG243" i="12" s="1"/>
  <c r="E242" i="12"/>
  <c r="D242" i="12" s="1"/>
  <c r="C242" i="12"/>
  <c r="B242" i="12"/>
  <c r="AE241" i="12"/>
  <c r="AD241" i="12"/>
  <c r="AC241" i="12"/>
  <c r="AB241" i="12"/>
  <c r="AA241" i="12"/>
  <c r="Z241" i="12"/>
  <c r="Y241" i="12"/>
  <c r="X241" i="12"/>
  <c r="W241" i="12"/>
  <c r="V241" i="12"/>
  <c r="U241" i="12"/>
  <c r="T241" i="12"/>
  <c r="S241" i="12"/>
  <c r="R241" i="12"/>
  <c r="Q241" i="12"/>
  <c r="P241" i="12"/>
  <c r="O241" i="12"/>
  <c r="N241" i="12"/>
  <c r="M241" i="12"/>
  <c r="L241" i="12"/>
  <c r="K241" i="12"/>
  <c r="J241" i="12"/>
  <c r="I241" i="12"/>
  <c r="H241" i="12"/>
  <c r="AG240" i="12"/>
  <c r="AE239" i="12"/>
  <c r="AD239" i="12"/>
  <c r="AC239" i="12"/>
  <c r="AB239" i="12"/>
  <c r="AA239" i="12"/>
  <c r="Z239" i="12"/>
  <c r="Y239" i="12"/>
  <c r="X239" i="12"/>
  <c r="W239" i="12"/>
  <c r="V239" i="12"/>
  <c r="U239" i="12"/>
  <c r="T239" i="12"/>
  <c r="S239" i="12"/>
  <c r="R239" i="12"/>
  <c r="Q239" i="12"/>
  <c r="P239" i="12"/>
  <c r="O239" i="12"/>
  <c r="N239" i="12"/>
  <c r="M239" i="12"/>
  <c r="L239" i="12"/>
  <c r="K239" i="12"/>
  <c r="J239" i="12"/>
  <c r="I239" i="12"/>
  <c r="H239" i="12"/>
  <c r="E239" i="12"/>
  <c r="D239" i="12"/>
  <c r="C239" i="12"/>
  <c r="B239" i="12"/>
  <c r="AE238" i="12"/>
  <c r="AD238" i="12"/>
  <c r="AC238" i="12"/>
  <c r="AB238" i="12"/>
  <c r="AA238" i="12"/>
  <c r="Z238" i="12"/>
  <c r="Y238" i="12"/>
  <c r="X238" i="12"/>
  <c r="W238" i="12"/>
  <c r="V238" i="12"/>
  <c r="U238" i="12"/>
  <c r="T238" i="12"/>
  <c r="S238" i="12"/>
  <c r="R238" i="12"/>
  <c r="Q238" i="12"/>
  <c r="P238" i="12"/>
  <c r="O238" i="12"/>
  <c r="N238" i="12"/>
  <c r="M238" i="12"/>
  <c r="L238" i="12"/>
  <c r="K238" i="12"/>
  <c r="J238" i="12"/>
  <c r="I238" i="12"/>
  <c r="H238" i="12"/>
  <c r="AE237" i="12"/>
  <c r="AD237" i="12"/>
  <c r="AC237" i="12"/>
  <c r="AB237" i="12"/>
  <c r="AA237" i="12"/>
  <c r="Z237" i="12"/>
  <c r="Y237" i="12"/>
  <c r="X237" i="12"/>
  <c r="W237" i="12"/>
  <c r="V237" i="12"/>
  <c r="U237" i="12"/>
  <c r="T237" i="12"/>
  <c r="S237" i="12"/>
  <c r="R237" i="12"/>
  <c r="Q237" i="12"/>
  <c r="P237" i="12"/>
  <c r="O237" i="12"/>
  <c r="N237" i="12"/>
  <c r="M237" i="12"/>
  <c r="L237" i="12"/>
  <c r="K237" i="12"/>
  <c r="J237" i="12"/>
  <c r="I237" i="12"/>
  <c r="H237" i="12"/>
  <c r="AE236" i="12"/>
  <c r="AD236" i="12"/>
  <c r="AC236" i="12"/>
  <c r="AB236" i="12"/>
  <c r="AA236" i="12"/>
  <c r="Z236" i="12"/>
  <c r="Y236" i="12"/>
  <c r="X236" i="12"/>
  <c r="W236" i="12"/>
  <c r="V236" i="12"/>
  <c r="U236" i="12"/>
  <c r="T236" i="12"/>
  <c r="S236" i="12"/>
  <c r="R236" i="12"/>
  <c r="Q236" i="12"/>
  <c r="P236" i="12"/>
  <c r="O236" i="12"/>
  <c r="O235" i="12" s="1"/>
  <c r="N236" i="12"/>
  <c r="M236" i="12"/>
  <c r="L236" i="12"/>
  <c r="K236" i="12"/>
  <c r="J236" i="12"/>
  <c r="I236" i="12"/>
  <c r="H236" i="12"/>
  <c r="AG234" i="12"/>
  <c r="AG233" i="12"/>
  <c r="E232" i="12"/>
  <c r="D232" i="12" s="1"/>
  <c r="C232" i="12"/>
  <c r="B232" i="12"/>
  <c r="E231" i="12"/>
  <c r="C231" i="12"/>
  <c r="B231" i="12"/>
  <c r="AG231" i="12" s="1"/>
  <c r="E230" i="12"/>
  <c r="D230" i="12" s="1"/>
  <c r="C230" i="12"/>
  <c r="B230" i="12"/>
  <c r="AG230" i="12" s="1"/>
  <c r="AE229" i="12"/>
  <c r="AD229" i="12"/>
  <c r="AC229" i="12"/>
  <c r="AB229" i="12"/>
  <c r="AA229" i="12"/>
  <c r="Z229" i="12"/>
  <c r="Y229" i="12"/>
  <c r="X229" i="12"/>
  <c r="W229" i="12"/>
  <c r="V229" i="12"/>
  <c r="U229" i="12"/>
  <c r="T229" i="12"/>
  <c r="S229" i="12"/>
  <c r="R229" i="12"/>
  <c r="Q229" i="12"/>
  <c r="P229" i="12"/>
  <c r="O229" i="12"/>
  <c r="N229" i="12"/>
  <c r="M229" i="12"/>
  <c r="L229" i="12"/>
  <c r="K229" i="12"/>
  <c r="J229" i="12"/>
  <c r="I229" i="12"/>
  <c r="H229" i="12"/>
  <c r="AG228" i="12"/>
  <c r="AG227" i="12"/>
  <c r="E226" i="12"/>
  <c r="D226" i="12" s="1"/>
  <c r="C226" i="12"/>
  <c r="B226" i="12"/>
  <c r="AG226" i="12" s="1"/>
  <c r="E225" i="12"/>
  <c r="C225" i="12"/>
  <c r="B225" i="12"/>
  <c r="AG225" i="12" s="1"/>
  <c r="E224" i="12"/>
  <c r="D224" i="12" s="1"/>
  <c r="C224" i="12"/>
  <c r="B224" i="12"/>
  <c r="AE223" i="12"/>
  <c r="AD223" i="12"/>
  <c r="AC223" i="12"/>
  <c r="AB223" i="12"/>
  <c r="AA223" i="12"/>
  <c r="Z223" i="12"/>
  <c r="Y223" i="12"/>
  <c r="X223" i="12"/>
  <c r="W223" i="12"/>
  <c r="V223" i="12"/>
  <c r="U223" i="12"/>
  <c r="T223" i="12"/>
  <c r="S223" i="12"/>
  <c r="R223" i="12"/>
  <c r="Q223" i="12"/>
  <c r="P223" i="12"/>
  <c r="O223" i="12"/>
  <c r="N223" i="12"/>
  <c r="M223" i="12"/>
  <c r="L223" i="12"/>
  <c r="K223" i="12"/>
  <c r="J223" i="12"/>
  <c r="I223" i="12"/>
  <c r="H223" i="12"/>
  <c r="AG222" i="12"/>
  <c r="AG221" i="12"/>
  <c r="E220" i="12"/>
  <c r="D220" i="12" s="1"/>
  <c r="C220" i="12"/>
  <c r="B220" i="12"/>
  <c r="E219" i="12"/>
  <c r="C219" i="12"/>
  <c r="B219" i="12"/>
  <c r="AG219" i="12" s="1"/>
  <c r="E218" i="12"/>
  <c r="D218" i="12" s="1"/>
  <c r="C218" i="12"/>
  <c r="B218" i="12"/>
  <c r="AG218" i="12" s="1"/>
  <c r="AE217" i="12"/>
  <c r="AD217" i="12"/>
  <c r="AC217" i="12"/>
  <c r="AB217" i="12"/>
  <c r="AA217" i="12"/>
  <c r="Z217" i="12"/>
  <c r="Y217" i="12"/>
  <c r="X217" i="12"/>
  <c r="W217" i="12"/>
  <c r="V217" i="12"/>
  <c r="U217" i="12"/>
  <c r="T217" i="12"/>
  <c r="S217" i="12"/>
  <c r="R217" i="12"/>
  <c r="Q217" i="12"/>
  <c r="P217" i="12"/>
  <c r="O217" i="12"/>
  <c r="N217" i="12"/>
  <c r="M217" i="12"/>
  <c r="L217" i="12"/>
  <c r="K217" i="12"/>
  <c r="J217" i="12"/>
  <c r="I217" i="12"/>
  <c r="H217" i="12"/>
  <c r="AG216" i="12"/>
  <c r="AG215" i="12"/>
  <c r="E214" i="12"/>
  <c r="D214" i="12" s="1"/>
  <c r="C214" i="12"/>
  <c r="B214" i="12"/>
  <c r="E213" i="12"/>
  <c r="C213" i="12"/>
  <c r="B213" i="12"/>
  <c r="AG213" i="12" s="1"/>
  <c r="E212" i="12"/>
  <c r="D212" i="12" s="1"/>
  <c r="C212" i="12"/>
  <c r="B212" i="12"/>
  <c r="AE211" i="12"/>
  <c r="AD211" i="12"/>
  <c r="AC211" i="12"/>
  <c r="AB211" i="12"/>
  <c r="AA211" i="12"/>
  <c r="Z211" i="12"/>
  <c r="Y211" i="12"/>
  <c r="X211" i="12"/>
  <c r="W211" i="12"/>
  <c r="V211" i="12"/>
  <c r="U211" i="12"/>
  <c r="T211" i="12"/>
  <c r="S211" i="12"/>
  <c r="R211" i="12"/>
  <c r="Q211" i="12"/>
  <c r="P211" i="12"/>
  <c r="O211" i="12"/>
  <c r="N211" i="12"/>
  <c r="M211" i="12"/>
  <c r="L211" i="12"/>
  <c r="K211" i="12"/>
  <c r="J211" i="12"/>
  <c r="I211" i="12"/>
  <c r="H211" i="12"/>
  <c r="AG210" i="12"/>
  <c r="AE209" i="12"/>
  <c r="AD209" i="12"/>
  <c r="AC209" i="12"/>
  <c r="AB209" i="12"/>
  <c r="AA209" i="12"/>
  <c r="Z209" i="12"/>
  <c r="Y209" i="12"/>
  <c r="X209" i="12"/>
  <c r="W209" i="12"/>
  <c r="V209" i="12"/>
  <c r="U209" i="12"/>
  <c r="T209" i="12"/>
  <c r="S209" i="12"/>
  <c r="R209" i="12"/>
  <c r="Q209" i="12"/>
  <c r="P209" i="12"/>
  <c r="O209" i="12"/>
  <c r="N209" i="12"/>
  <c r="M209" i="12"/>
  <c r="L209" i="12"/>
  <c r="K209" i="12"/>
  <c r="J209" i="12"/>
  <c r="I209" i="12"/>
  <c r="H209" i="12"/>
  <c r="E209" i="12"/>
  <c r="D209" i="12"/>
  <c r="C209" i="12"/>
  <c r="B209" i="12"/>
  <c r="AE208" i="12"/>
  <c r="AD208" i="12"/>
  <c r="AC208" i="12"/>
  <c r="AB208" i="12"/>
  <c r="AA208" i="12"/>
  <c r="Z208" i="12"/>
  <c r="Y208" i="12"/>
  <c r="X208" i="12"/>
  <c r="W208" i="12"/>
  <c r="V208" i="12"/>
  <c r="U208" i="12"/>
  <c r="T208" i="12"/>
  <c r="S208" i="12"/>
  <c r="R208" i="12"/>
  <c r="Q208" i="12"/>
  <c r="P208" i="12"/>
  <c r="O208" i="12"/>
  <c r="N208" i="12"/>
  <c r="M208" i="12"/>
  <c r="L208" i="12"/>
  <c r="K208" i="12"/>
  <c r="J208" i="12"/>
  <c r="I208" i="12"/>
  <c r="H208" i="12"/>
  <c r="AE207" i="12"/>
  <c r="AD207" i="12"/>
  <c r="AC207" i="12"/>
  <c r="AB207" i="12"/>
  <c r="AA207" i="12"/>
  <c r="Z207" i="12"/>
  <c r="Y207" i="12"/>
  <c r="X207" i="12"/>
  <c r="W207" i="12"/>
  <c r="V207" i="12"/>
  <c r="U207" i="12"/>
  <c r="T207" i="12"/>
  <c r="S207" i="12"/>
  <c r="R207" i="12"/>
  <c r="Q207" i="12"/>
  <c r="P207" i="12"/>
  <c r="O207" i="12"/>
  <c r="N207" i="12"/>
  <c r="M207" i="12"/>
  <c r="L207" i="12"/>
  <c r="K207" i="12"/>
  <c r="J207" i="12"/>
  <c r="I207" i="12"/>
  <c r="H207" i="12"/>
  <c r="AE206" i="12"/>
  <c r="AD206" i="12"/>
  <c r="AC206" i="12"/>
  <c r="AB206" i="12"/>
  <c r="AA206" i="12"/>
  <c r="Z206" i="12"/>
  <c r="Y206" i="12"/>
  <c r="X206" i="12"/>
  <c r="W206" i="12"/>
  <c r="V206" i="12"/>
  <c r="U206" i="12"/>
  <c r="T206" i="12"/>
  <c r="S206" i="12"/>
  <c r="R206" i="12"/>
  <c r="Q206" i="12"/>
  <c r="P206" i="12"/>
  <c r="O206" i="12"/>
  <c r="O205" i="12" s="1"/>
  <c r="N206" i="12"/>
  <c r="M206" i="12"/>
  <c r="L206" i="12"/>
  <c r="K206" i="12"/>
  <c r="J206" i="12"/>
  <c r="I206" i="12"/>
  <c r="H206" i="12"/>
  <c r="AE205" i="12"/>
  <c r="AG204" i="12"/>
  <c r="AG203" i="12"/>
  <c r="E202" i="12"/>
  <c r="D202" i="12" s="1"/>
  <c r="C202" i="12"/>
  <c r="B202" i="12"/>
  <c r="E201" i="12"/>
  <c r="C201" i="12"/>
  <c r="B201" i="12"/>
  <c r="AG201" i="12" s="1"/>
  <c r="E200" i="12"/>
  <c r="D200" i="12" s="1"/>
  <c r="C200" i="12"/>
  <c r="B200" i="12"/>
  <c r="AG200" i="12" s="1"/>
  <c r="AE199" i="12"/>
  <c r="AD199" i="12"/>
  <c r="AC199" i="12"/>
  <c r="AB199" i="12"/>
  <c r="AA199" i="12"/>
  <c r="Z199" i="12"/>
  <c r="Y199" i="12"/>
  <c r="X199" i="12"/>
  <c r="W199" i="12"/>
  <c r="V199" i="12"/>
  <c r="U199" i="12"/>
  <c r="T199" i="12"/>
  <c r="S199" i="12"/>
  <c r="R199" i="12"/>
  <c r="Q199" i="12"/>
  <c r="P199" i="12"/>
  <c r="O199" i="12"/>
  <c r="N199" i="12"/>
  <c r="M199" i="12"/>
  <c r="L199" i="12"/>
  <c r="K199" i="12"/>
  <c r="J199" i="12"/>
  <c r="I199" i="12"/>
  <c r="H199" i="12"/>
  <c r="AG198" i="12"/>
  <c r="AG197" i="12"/>
  <c r="E196" i="12"/>
  <c r="D196" i="12" s="1"/>
  <c r="C196" i="12"/>
  <c r="AG196" i="12"/>
  <c r="E195" i="12"/>
  <c r="C195" i="12"/>
  <c r="B195" i="12"/>
  <c r="AG195" i="12" s="1"/>
  <c r="E194" i="12"/>
  <c r="D194" i="12" s="1"/>
  <c r="C194" i="12"/>
  <c r="B194" i="12"/>
  <c r="AE193" i="12"/>
  <c r="AD193" i="12"/>
  <c r="AC193" i="12"/>
  <c r="AB193" i="12"/>
  <c r="AA193" i="12"/>
  <c r="Z193" i="12"/>
  <c r="Y193" i="12"/>
  <c r="X193" i="12"/>
  <c r="W193" i="12"/>
  <c r="V193" i="12"/>
  <c r="U193" i="12"/>
  <c r="T193" i="12"/>
  <c r="S193" i="12"/>
  <c r="R193" i="12"/>
  <c r="Q193" i="12"/>
  <c r="P193" i="12"/>
  <c r="O193" i="12"/>
  <c r="N193" i="12"/>
  <c r="M193" i="12"/>
  <c r="L193" i="12"/>
  <c r="K193" i="12"/>
  <c r="J193" i="12"/>
  <c r="I193" i="12"/>
  <c r="H193" i="12"/>
  <c r="AG192" i="12"/>
  <c r="AE191" i="12"/>
  <c r="AE187" i="12" s="1"/>
  <c r="AD191" i="12"/>
  <c r="AC191" i="12"/>
  <c r="AB191" i="12"/>
  <c r="AA191" i="12"/>
  <c r="Z191" i="12"/>
  <c r="Y191" i="12"/>
  <c r="X191" i="12"/>
  <c r="W191" i="12"/>
  <c r="V191" i="12"/>
  <c r="U191" i="12"/>
  <c r="T191" i="12"/>
  <c r="S191" i="12"/>
  <c r="R191" i="12"/>
  <c r="Q191" i="12"/>
  <c r="P191" i="12"/>
  <c r="O191" i="12"/>
  <c r="N191" i="12"/>
  <c r="M191" i="12"/>
  <c r="L191" i="12"/>
  <c r="K191" i="12"/>
  <c r="J191" i="12"/>
  <c r="I191" i="12"/>
  <c r="H191" i="12"/>
  <c r="E191" i="12"/>
  <c r="D191" i="12"/>
  <c r="C191" i="12"/>
  <c r="B191" i="12"/>
  <c r="AE190" i="12"/>
  <c r="AD190" i="12"/>
  <c r="AC190" i="12"/>
  <c r="AB190" i="12"/>
  <c r="AA190" i="12"/>
  <c r="Z190" i="12"/>
  <c r="Y190" i="12"/>
  <c r="X190" i="12"/>
  <c r="W190" i="12"/>
  <c r="V190" i="12"/>
  <c r="U190" i="12"/>
  <c r="T190" i="12"/>
  <c r="S190" i="12"/>
  <c r="R190" i="12"/>
  <c r="Q190" i="12"/>
  <c r="P190" i="12"/>
  <c r="O190" i="12"/>
  <c r="N190" i="12"/>
  <c r="M190" i="12"/>
  <c r="L190" i="12"/>
  <c r="K190" i="12"/>
  <c r="J190" i="12"/>
  <c r="I190" i="12"/>
  <c r="H190" i="12"/>
  <c r="AE189" i="12"/>
  <c r="AD189" i="12"/>
  <c r="AC189" i="12"/>
  <c r="AB189" i="12"/>
  <c r="AA189" i="12"/>
  <c r="Z189" i="12"/>
  <c r="Y189" i="12"/>
  <c r="X189" i="12"/>
  <c r="W189" i="12"/>
  <c r="V189" i="12"/>
  <c r="U189" i="12"/>
  <c r="T189" i="12"/>
  <c r="S189" i="12"/>
  <c r="R189" i="12"/>
  <c r="Q189" i="12"/>
  <c r="P189" i="12"/>
  <c r="O189" i="12"/>
  <c r="N189" i="12"/>
  <c r="M189" i="12"/>
  <c r="L189" i="12"/>
  <c r="K189" i="12"/>
  <c r="J189" i="12"/>
  <c r="I189" i="12"/>
  <c r="H189" i="12"/>
  <c r="AE188" i="12"/>
  <c r="AD188" i="12"/>
  <c r="AC188" i="12"/>
  <c r="AB188" i="12"/>
  <c r="AA188" i="12"/>
  <c r="Z188" i="12"/>
  <c r="Y188" i="12"/>
  <c r="X188" i="12"/>
  <c r="W188" i="12"/>
  <c r="V188" i="12"/>
  <c r="U188" i="12"/>
  <c r="T188" i="12"/>
  <c r="S188" i="12"/>
  <c r="R188" i="12"/>
  <c r="Q188" i="12"/>
  <c r="P188" i="12"/>
  <c r="O188" i="12"/>
  <c r="N188" i="12"/>
  <c r="M188" i="12"/>
  <c r="L188" i="12"/>
  <c r="K188" i="12"/>
  <c r="J188" i="12"/>
  <c r="I188" i="12"/>
  <c r="H188" i="12"/>
  <c r="AG186" i="12"/>
  <c r="AG185" i="12"/>
  <c r="AG184" i="12"/>
  <c r="E183" i="12"/>
  <c r="E177" i="12" s="1"/>
  <c r="B183" i="12"/>
  <c r="AG183" i="12" s="1"/>
  <c r="D176" i="12"/>
  <c r="B176" i="12"/>
  <c r="E181" i="12"/>
  <c r="E175" i="12" s="1"/>
  <c r="C175" i="12"/>
  <c r="B181" i="12"/>
  <c r="AG181" i="12" s="1"/>
  <c r="AE180" i="12"/>
  <c r="AD180" i="12"/>
  <c r="AC180" i="12"/>
  <c r="AB180" i="12"/>
  <c r="AA180" i="12"/>
  <c r="Z180" i="12"/>
  <c r="Y180" i="12"/>
  <c r="X180" i="12"/>
  <c r="W180" i="12"/>
  <c r="V180" i="12"/>
  <c r="U180" i="12"/>
  <c r="T180" i="12"/>
  <c r="S180" i="12"/>
  <c r="R180" i="12"/>
  <c r="Q180" i="12"/>
  <c r="P180" i="12"/>
  <c r="O180" i="12"/>
  <c r="N180" i="12"/>
  <c r="M180" i="12"/>
  <c r="L180" i="12"/>
  <c r="K180" i="12"/>
  <c r="J180" i="12"/>
  <c r="I180" i="12"/>
  <c r="H180" i="12"/>
  <c r="AG179" i="12"/>
  <c r="AE178" i="12"/>
  <c r="AD178" i="12"/>
  <c r="AC178" i="12"/>
  <c r="AB178" i="12"/>
  <c r="AA178" i="12"/>
  <c r="Z178" i="12"/>
  <c r="Y178" i="12"/>
  <c r="X178" i="12"/>
  <c r="W178" i="12"/>
  <c r="V178" i="12"/>
  <c r="U178" i="12"/>
  <c r="T178" i="12"/>
  <c r="S178" i="12"/>
  <c r="R178" i="12"/>
  <c r="Q178" i="12"/>
  <c r="P178" i="12"/>
  <c r="O178" i="12"/>
  <c r="N178" i="12"/>
  <c r="M178" i="12"/>
  <c r="L178" i="12"/>
  <c r="K178" i="12"/>
  <c r="J178" i="12"/>
  <c r="I178" i="12"/>
  <c r="H178" i="12"/>
  <c r="E178" i="12"/>
  <c r="D178" i="12"/>
  <c r="C178" i="12"/>
  <c r="B178" i="12"/>
  <c r="AE177" i="12"/>
  <c r="AD177" i="12"/>
  <c r="AC177" i="12"/>
  <c r="AB177" i="12"/>
  <c r="AA177" i="12"/>
  <c r="Z177" i="12"/>
  <c r="Y177" i="12"/>
  <c r="X177" i="12"/>
  <c r="W177" i="12"/>
  <c r="V177" i="12"/>
  <c r="U177" i="12"/>
  <c r="T177" i="12"/>
  <c r="S177" i="12"/>
  <c r="R177" i="12"/>
  <c r="Q177" i="12"/>
  <c r="P177" i="12"/>
  <c r="O177" i="12"/>
  <c r="N177" i="12"/>
  <c r="M177" i="12"/>
  <c r="L177" i="12"/>
  <c r="K177" i="12"/>
  <c r="J177" i="12"/>
  <c r="I177" i="12"/>
  <c r="H177" i="12"/>
  <c r="AE176" i="12"/>
  <c r="AD176" i="12"/>
  <c r="AC176" i="12"/>
  <c r="AB176" i="12"/>
  <c r="AA176" i="12"/>
  <c r="Z176" i="12"/>
  <c r="Y176" i="12"/>
  <c r="X176" i="12"/>
  <c r="W176" i="12"/>
  <c r="V176" i="12"/>
  <c r="U176" i="12"/>
  <c r="T176" i="12"/>
  <c r="S176" i="12"/>
  <c r="R176" i="12"/>
  <c r="Q176" i="12"/>
  <c r="P176" i="12"/>
  <c r="O176" i="12"/>
  <c r="N176" i="12"/>
  <c r="M176" i="12"/>
  <c r="L176" i="12"/>
  <c r="K176" i="12"/>
  <c r="J176" i="12"/>
  <c r="I176" i="12"/>
  <c r="H176" i="12"/>
  <c r="C176" i="12"/>
  <c r="AE175" i="12"/>
  <c r="AD175" i="12"/>
  <c r="AC175" i="12"/>
  <c r="AB175" i="12"/>
  <c r="AA175" i="12"/>
  <c r="Z175" i="12"/>
  <c r="Y175" i="12"/>
  <c r="X175" i="12"/>
  <c r="W175" i="12"/>
  <c r="V175" i="12"/>
  <c r="U175" i="12"/>
  <c r="T175" i="12"/>
  <c r="S175" i="12"/>
  <c r="R175" i="12"/>
  <c r="Q175" i="12"/>
  <c r="P175" i="12"/>
  <c r="O175" i="12"/>
  <c r="N175" i="12"/>
  <c r="M175" i="12"/>
  <c r="L175" i="12"/>
  <c r="K175" i="12"/>
  <c r="J175" i="12"/>
  <c r="I175" i="12"/>
  <c r="H175" i="12"/>
  <c r="AG173" i="12"/>
  <c r="AG172" i="12"/>
  <c r="B171" i="12"/>
  <c r="AG171" i="12" s="1"/>
  <c r="E170" i="12"/>
  <c r="E164" i="12" s="1"/>
  <c r="C170" i="12"/>
  <c r="C164" i="12" s="1"/>
  <c r="B170" i="12"/>
  <c r="AG170" i="12" s="1"/>
  <c r="E169" i="12"/>
  <c r="C169" i="12"/>
  <c r="C163" i="12" s="1"/>
  <c r="B169" i="12"/>
  <c r="AG169" i="12" s="1"/>
  <c r="AE168" i="12"/>
  <c r="AD168" i="12"/>
  <c r="AC168" i="12"/>
  <c r="AB168" i="12"/>
  <c r="AA168" i="12"/>
  <c r="Z168" i="12"/>
  <c r="Y168" i="12"/>
  <c r="X168" i="12"/>
  <c r="W168" i="12"/>
  <c r="V168" i="12"/>
  <c r="U168" i="12"/>
  <c r="T168" i="12"/>
  <c r="S168" i="12"/>
  <c r="R168" i="12"/>
  <c r="Q168" i="12"/>
  <c r="P168" i="12"/>
  <c r="O168" i="12"/>
  <c r="N168" i="12"/>
  <c r="M168" i="12"/>
  <c r="L168" i="12"/>
  <c r="J168" i="12"/>
  <c r="I168" i="12"/>
  <c r="H168" i="12"/>
  <c r="AG167" i="12"/>
  <c r="AE166" i="12"/>
  <c r="AD166" i="12"/>
  <c r="AC166" i="12"/>
  <c r="AB166" i="12"/>
  <c r="AA166" i="12"/>
  <c r="Z166" i="12"/>
  <c r="Y166" i="12"/>
  <c r="X166" i="12"/>
  <c r="W166" i="12"/>
  <c r="V166" i="12"/>
  <c r="U166" i="12"/>
  <c r="T166" i="12"/>
  <c r="S166" i="12"/>
  <c r="R166" i="12"/>
  <c r="Q166" i="12"/>
  <c r="P166" i="12"/>
  <c r="O166" i="12"/>
  <c r="N166" i="12"/>
  <c r="M166" i="12"/>
  <c r="L166" i="12"/>
  <c r="K166" i="12"/>
  <c r="J166" i="12"/>
  <c r="I166" i="12"/>
  <c r="H166" i="12"/>
  <c r="E166" i="12"/>
  <c r="D166" i="12"/>
  <c r="C166" i="12"/>
  <c r="B166" i="12"/>
  <c r="AE165" i="12"/>
  <c r="AD165" i="12"/>
  <c r="AC165" i="12"/>
  <c r="AB165" i="12"/>
  <c r="AA165" i="12"/>
  <c r="Z165" i="12"/>
  <c r="Y165" i="12"/>
  <c r="X165" i="12"/>
  <c r="W165" i="12"/>
  <c r="V165" i="12"/>
  <c r="U165" i="12"/>
  <c r="T165" i="12"/>
  <c r="S165" i="12"/>
  <c r="R165" i="12"/>
  <c r="Q165" i="12"/>
  <c r="P165" i="12"/>
  <c r="O165" i="12"/>
  <c r="N165" i="12"/>
  <c r="M165" i="12"/>
  <c r="L165" i="12"/>
  <c r="K165" i="12"/>
  <c r="J165" i="12"/>
  <c r="I165" i="12"/>
  <c r="H165" i="12"/>
  <c r="C165" i="12"/>
  <c r="AE164" i="12"/>
  <c r="AD164" i="12"/>
  <c r="AC164" i="12"/>
  <c r="AB164" i="12"/>
  <c r="AA164" i="12"/>
  <c r="Z164" i="12"/>
  <c r="Y164" i="12"/>
  <c r="X164" i="12"/>
  <c r="W164" i="12"/>
  <c r="V164" i="12"/>
  <c r="U164" i="12"/>
  <c r="T164" i="12"/>
  <c r="S164" i="12"/>
  <c r="R164" i="12"/>
  <c r="Q164" i="12"/>
  <c r="P164" i="12"/>
  <c r="O164" i="12"/>
  <c r="N164" i="12"/>
  <c r="M164" i="12"/>
  <c r="L164" i="12"/>
  <c r="K164" i="12"/>
  <c r="J164" i="12"/>
  <c r="I164" i="12"/>
  <c r="H164" i="12"/>
  <c r="AE163" i="12"/>
  <c r="AD163" i="12"/>
  <c r="AC163" i="12"/>
  <c r="AB163" i="12"/>
  <c r="AA163" i="12"/>
  <c r="Z163" i="12"/>
  <c r="Y163" i="12"/>
  <c r="X163" i="12"/>
  <c r="W163" i="12"/>
  <c r="V163" i="12"/>
  <c r="U163" i="12"/>
  <c r="T163" i="12"/>
  <c r="S163" i="12"/>
  <c r="R163" i="12"/>
  <c r="Q163" i="12"/>
  <c r="P163" i="12"/>
  <c r="O163" i="12"/>
  <c r="N163" i="12"/>
  <c r="M163" i="12"/>
  <c r="L163" i="12"/>
  <c r="K163" i="12"/>
  <c r="J163" i="12"/>
  <c r="I163" i="12"/>
  <c r="H163" i="12"/>
  <c r="AG161" i="12"/>
  <c r="AG159" i="12"/>
  <c r="AG158" i="12"/>
  <c r="E157" i="12"/>
  <c r="E154" i="12" s="1"/>
  <c r="C157" i="12"/>
  <c r="C151" i="12" s="1"/>
  <c r="B157" i="12"/>
  <c r="B154" i="12" s="1"/>
  <c r="AG156" i="12"/>
  <c r="AG155" i="12"/>
  <c r="AE154" i="12"/>
  <c r="AD154" i="12"/>
  <c r="AC154" i="12"/>
  <c r="AB154" i="12"/>
  <c r="AA154" i="12"/>
  <c r="Z154" i="12"/>
  <c r="Y154" i="12"/>
  <c r="X154" i="12"/>
  <c r="W154" i="12"/>
  <c r="V154" i="12"/>
  <c r="U154" i="12"/>
  <c r="T154" i="12"/>
  <c r="S154" i="12"/>
  <c r="R154" i="12"/>
  <c r="Q154" i="12"/>
  <c r="P154" i="12"/>
  <c r="O154" i="12"/>
  <c r="N154" i="12"/>
  <c r="M154" i="12"/>
  <c r="L154" i="12"/>
  <c r="K154" i="12"/>
  <c r="J154" i="12"/>
  <c r="I154" i="12"/>
  <c r="H154" i="12"/>
  <c r="C154" i="12"/>
  <c r="AG153" i="12"/>
  <c r="AE152" i="12"/>
  <c r="AD152" i="12"/>
  <c r="AC152" i="12"/>
  <c r="AB152" i="12"/>
  <c r="AA152" i="12"/>
  <c r="Z152" i="12"/>
  <c r="Y152" i="12"/>
  <c r="X152" i="12"/>
  <c r="W152" i="12"/>
  <c r="V152" i="12"/>
  <c r="U152" i="12"/>
  <c r="T152" i="12"/>
  <c r="S152" i="12"/>
  <c r="R152" i="12"/>
  <c r="Q152" i="12"/>
  <c r="P152" i="12"/>
  <c r="O152" i="12"/>
  <c r="N152" i="12"/>
  <c r="M152" i="12"/>
  <c r="L152" i="12"/>
  <c r="K152" i="12"/>
  <c r="J152" i="12"/>
  <c r="I152" i="12"/>
  <c r="H152" i="12"/>
  <c r="E152" i="12"/>
  <c r="D152" i="12"/>
  <c r="C152" i="12"/>
  <c r="B152" i="12"/>
  <c r="AE151" i="12"/>
  <c r="AD151" i="12"/>
  <c r="AC151" i="12"/>
  <c r="AB151" i="12"/>
  <c r="AA151" i="12"/>
  <c r="Z151" i="12"/>
  <c r="Y151" i="12"/>
  <c r="X151" i="12"/>
  <c r="W151" i="12"/>
  <c r="V151" i="12"/>
  <c r="U151" i="12"/>
  <c r="T151" i="12"/>
  <c r="S151" i="12"/>
  <c r="R151" i="12"/>
  <c r="Q151" i="12"/>
  <c r="P151" i="12"/>
  <c r="O151" i="12"/>
  <c r="N151" i="12"/>
  <c r="M151" i="12"/>
  <c r="L151" i="12"/>
  <c r="K151" i="12"/>
  <c r="J151" i="12"/>
  <c r="I151" i="12"/>
  <c r="H151" i="12"/>
  <c r="AE150" i="12"/>
  <c r="AD150" i="12"/>
  <c r="AC150" i="12"/>
  <c r="AB150" i="12"/>
  <c r="AA150" i="12"/>
  <c r="Z150" i="12"/>
  <c r="Y150" i="12"/>
  <c r="X150" i="12"/>
  <c r="W150" i="12"/>
  <c r="V150" i="12"/>
  <c r="U150" i="12"/>
  <c r="T150" i="12"/>
  <c r="S150" i="12"/>
  <c r="R150" i="12"/>
  <c r="Q150" i="12"/>
  <c r="P150" i="12"/>
  <c r="O150" i="12"/>
  <c r="N150" i="12"/>
  <c r="M150" i="12"/>
  <c r="L150" i="12"/>
  <c r="K150" i="12"/>
  <c r="J150" i="12"/>
  <c r="I150" i="12"/>
  <c r="H150" i="12"/>
  <c r="E150" i="12"/>
  <c r="D150" i="12"/>
  <c r="C150" i="12"/>
  <c r="B150" i="12"/>
  <c r="AE149" i="12"/>
  <c r="AD149" i="12"/>
  <c r="AC149" i="12"/>
  <c r="AB149" i="12"/>
  <c r="AA149" i="12"/>
  <c r="Z149" i="12"/>
  <c r="Y149" i="12"/>
  <c r="X149" i="12"/>
  <c r="W149" i="12"/>
  <c r="V149" i="12"/>
  <c r="U149" i="12"/>
  <c r="T149" i="12"/>
  <c r="S149" i="12"/>
  <c r="R149" i="12"/>
  <c r="Q149" i="12"/>
  <c r="P149" i="12"/>
  <c r="O149" i="12"/>
  <c r="N149" i="12"/>
  <c r="M149" i="12"/>
  <c r="L149" i="12"/>
  <c r="K149" i="12"/>
  <c r="J149" i="12"/>
  <c r="I149" i="12"/>
  <c r="H149" i="12"/>
  <c r="E149" i="12"/>
  <c r="D149" i="12"/>
  <c r="C149" i="12"/>
  <c r="B149" i="12"/>
  <c r="AG147" i="12"/>
  <c r="AG146" i="12"/>
  <c r="AG145" i="12"/>
  <c r="AG144" i="12"/>
  <c r="E143" i="12"/>
  <c r="D143" i="12" s="1"/>
  <c r="D140" i="12" s="1"/>
  <c r="C143" i="12"/>
  <c r="C140" i="12" s="1"/>
  <c r="B143" i="12"/>
  <c r="B140" i="12" s="1"/>
  <c r="AG142" i="12"/>
  <c r="AG141" i="12"/>
  <c r="AE140" i="12"/>
  <c r="AD140" i="12"/>
  <c r="AC140" i="12"/>
  <c r="AB140" i="12"/>
  <c r="AA140" i="12"/>
  <c r="Z140" i="12"/>
  <c r="Y140" i="12"/>
  <c r="X140" i="12"/>
  <c r="W140" i="12"/>
  <c r="V140" i="12"/>
  <c r="U140" i="12"/>
  <c r="T140" i="12"/>
  <c r="S140" i="12"/>
  <c r="R140" i="12"/>
  <c r="Q140" i="12"/>
  <c r="P140" i="12"/>
  <c r="O140" i="12"/>
  <c r="N140" i="12"/>
  <c r="M140" i="12"/>
  <c r="L140" i="12"/>
  <c r="K140" i="12"/>
  <c r="J140" i="12"/>
  <c r="I140" i="12"/>
  <c r="H140" i="12"/>
  <c r="AG139" i="12"/>
  <c r="AG138" i="12"/>
  <c r="E136" i="12"/>
  <c r="D136" i="12" s="1"/>
  <c r="D133" i="12" s="1"/>
  <c r="B136" i="12"/>
  <c r="B135" i="12"/>
  <c r="B129" i="12" s="1"/>
  <c r="AG134" i="12"/>
  <c r="AE133" i="12"/>
  <c r="AD133" i="12"/>
  <c r="AC133" i="12"/>
  <c r="AB133" i="12"/>
  <c r="AA133" i="12"/>
  <c r="Z133" i="12"/>
  <c r="Y133" i="12"/>
  <c r="X133" i="12"/>
  <c r="W133" i="12"/>
  <c r="V133" i="12"/>
  <c r="U133" i="12"/>
  <c r="T133" i="12"/>
  <c r="S133" i="12"/>
  <c r="R133" i="12"/>
  <c r="Q133" i="12"/>
  <c r="P133" i="12"/>
  <c r="O133" i="12"/>
  <c r="N133" i="12"/>
  <c r="M133" i="12"/>
  <c r="L133" i="12"/>
  <c r="K133" i="12"/>
  <c r="J133" i="12"/>
  <c r="I133" i="12"/>
  <c r="H133" i="12"/>
  <c r="AG132" i="12"/>
  <c r="AE131" i="12"/>
  <c r="AD131" i="12"/>
  <c r="AC131" i="12"/>
  <c r="AB131" i="12"/>
  <c r="AA131" i="12"/>
  <c r="Z131" i="12"/>
  <c r="Y131" i="12"/>
  <c r="X131" i="12"/>
  <c r="W131" i="12"/>
  <c r="V131" i="12"/>
  <c r="U131" i="12"/>
  <c r="T131" i="12"/>
  <c r="S131" i="12"/>
  <c r="R131" i="12"/>
  <c r="Q131" i="12"/>
  <c r="P131" i="12"/>
  <c r="O131" i="12"/>
  <c r="N131" i="12"/>
  <c r="M131" i="12"/>
  <c r="L131" i="12"/>
  <c r="K131" i="12"/>
  <c r="J131" i="12"/>
  <c r="I131" i="12"/>
  <c r="H131" i="12"/>
  <c r="E131" i="12"/>
  <c r="D131" i="12"/>
  <c r="C131" i="12"/>
  <c r="B131" i="12"/>
  <c r="AE130" i="12"/>
  <c r="AD130" i="12"/>
  <c r="AC130" i="12"/>
  <c r="AB130" i="12"/>
  <c r="AA130" i="12"/>
  <c r="Z130" i="12"/>
  <c r="Y130" i="12"/>
  <c r="X130" i="12"/>
  <c r="W130" i="12"/>
  <c r="V130" i="12"/>
  <c r="U130" i="12"/>
  <c r="T130" i="12"/>
  <c r="S130" i="12"/>
  <c r="R130" i="12"/>
  <c r="Q130" i="12"/>
  <c r="P130" i="12"/>
  <c r="O130" i="12"/>
  <c r="N130" i="12"/>
  <c r="M130" i="12"/>
  <c r="L130" i="12"/>
  <c r="K130" i="12"/>
  <c r="J130" i="12"/>
  <c r="I130" i="12"/>
  <c r="H130" i="12"/>
  <c r="AE129" i="12"/>
  <c r="AD129" i="12"/>
  <c r="AC129" i="12"/>
  <c r="AB129" i="12"/>
  <c r="AA129" i="12"/>
  <c r="Z129" i="12"/>
  <c r="Y129" i="12"/>
  <c r="X129" i="12"/>
  <c r="W129" i="12"/>
  <c r="V129" i="12"/>
  <c r="U129" i="12"/>
  <c r="T129" i="12"/>
  <c r="S129" i="12"/>
  <c r="R129" i="12"/>
  <c r="Q129" i="12"/>
  <c r="P129" i="12"/>
  <c r="O129" i="12"/>
  <c r="N129" i="12"/>
  <c r="M129" i="12"/>
  <c r="L129" i="12"/>
  <c r="K129" i="12"/>
  <c r="J129" i="12"/>
  <c r="I129" i="12"/>
  <c r="H129" i="12"/>
  <c r="E129" i="12"/>
  <c r="D129" i="12"/>
  <c r="AE128" i="12"/>
  <c r="AD128" i="12"/>
  <c r="AC128" i="12"/>
  <c r="AB128" i="12"/>
  <c r="AA128" i="12"/>
  <c r="Z128" i="12"/>
  <c r="Y128" i="12"/>
  <c r="X128" i="12"/>
  <c r="W128" i="12"/>
  <c r="V128" i="12"/>
  <c r="U128" i="12"/>
  <c r="T128" i="12"/>
  <c r="S128" i="12"/>
  <c r="R128" i="12"/>
  <c r="Q128" i="12"/>
  <c r="P128" i="12"/>
  <c r="O128" i="12"/>
  <c r="N128" i="12"/>
  <c r="M128" i="12"/>
  <c r="L128" i="12"/>
  <c r="K128" i="12"/>
  <c r="J128" i="12"/>
  <c r="I128" i="12"/>
  <c r="H128" i="12"/>
  <c r="E128" i="12"/>
  <c r="D128" i="12"/>
  <c r="C128" i="12"/>
  <c r="B128" i="12"/>
  <c r="AG126" i="12"/>
  <c r="AG125" i="12"/>
  <c r="E124" i="12"/>
  <c r="C124" i="12"/>
  <c r="B124" i="12"/>
  <c r="AG123" i="12"/>
  <c r="AG122" i="12"/>
  <c r="AE121" i="12"/>
  <c r="AD121" i="12"/>
  <c r="AC121" i="12"/>
  <c r="AB121" i="12"/>
  <c r="AA121" i="12"/>
  <c r="Z121" i="12"/>
  <c r="Y121" i="12"/>
  <c r="X121" i="12"/>
  <c r="W121" i="12"/>
  <c r="V121" i="12"/>
  <c r="U121" i="12"/>
  <c r="T121" i="12"/>
  <c r="S121" i="12"/>
  <c r="R121" i="12"/>
  <c r="Q121" i="12"/>
  <c r="P121" i="12"/>
  <c r="O121" i="12"/>
  <c r="N121" i="12"/>
  <c r="M121" i="12"/>
  <c r="L121" i="12"/>
  <c r="K121" i="12"/>
  <c r="J121" i="12"/>
  <c r="I121" i="12"/>
  <c r="H121" i="12"/>
  <c r="AG120" i="12"/>
  <c r="AG119" i="12"/>
  <c r="E118" i="12"/>
  <c r="D118" i="12" s="1"/>
  <c r="C118" i="12"/>
  <c r="B118" i="12"/>
  <c r="B117" i="12"/>
  <c r="AG117" i="12" s="1"/>
  <c r="AG116"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115" i="12"/>
  <c r="AG114" i="12"/>
  <c r="AG113" i="12"/>
  <c r="E112" i="12"/>
  <c r="D112" i="12" s="1"/>
  <c r="C112" i="12"/>
  <c r="B112" i="12"/>
  <c r="B111" i="12"/>
  <c r="AG111" i="12" s="1"/>
  <c r="AG110" i="12"/>
  <c r="AE109" i="12"/>
  <c r="AD109" i="12"/>
  <c r="AC109" i="12"/>
  <c r="AB109" i="12"/>
  <c r="AA109" i="12"/>
  <c r="Z109" i="12"/>
  <c r="Y109" i="12"/>
  <c r="X109" i="12"/>
  <c r="W109" i="12"/>
  <c r="V109" i="12"/>
  <c r="U109" i="12"/>
  <c r="T109" i="12"/>
  <c r="S109" i="12"/>
  <c r="R109" i="12"/>
  <c r="Q109" i="12"/>
  <c r="P109" i="12"/>
  <c r="O109" i="12"/>
  <c r="N109" i="12"/>
  <c r="M109" i="12"/>
  <c r="L109" i="12"/>
  <c r="K109" i="12"/>
  <c r="J109" i="12"/>
  <c r="I109" i="12"/>
  <c r="H109" i="12"/>
  <c r="AG108" i="12"/>
  <c r="AG107" i="12"/>
  <c r="E106" i="12"/>
  <c r="D106" i="12" s="1"/>
  <c r="C106" i="12"/>
  <c r="C103" i="12" s="1"/>
  <c r="B106" i="12"/>
  <c r="E105" i="12"/>
  <c r="B105" i="12"/>
  <c r="AG104" i="12"/>
  <c r="AE103" i="12"/>
  <c r="AD103" i="12"/>
  <c r="AC103" i="12"/>
  <c r="AB103" i="12"/>
  <c r="AA103" i="12"/>
  <c r="Z103" i="12"/>
  <c r="Y103" i="12"/>
  <c r="X103" i="12"/>
  <c r="W103" i="12"/>
  <c r="V103" i="12"/>
  <c r="U103" i="12"/>
  <c r="T103" i="12"/>
  <c r="S103" i="12"/>
  <c r="R103" i="12"/>
  <c r="Q103" i="12"/>
  <c r="P103" i="12"/>
  <c r="O103" i="12"/>
  <c r="N103" i="12"/>
  <c r="M103" i="12"/>
  <c r="L103" i="12"/>
  <c r="K103" i="12"/>
  <c r="J103" i="12"/>
  <c r="I103" i="12"/>
  <c r="H103" i="12"/>
  <c r="AG102" i="12"/>
  <c r="AG101" i="12"/>
  <c r="E100" i="12"/>
  <c r="C97" i="12"/>
  <c r="B100" i="12"/>
  <c r="AG99" i="12"/>
  <c r="AG98" i="12"/>
  <c r="AE97" i="12"/>
  <c r="AD97" i="12"/>
  <c r="AC97" i="12"/>
  <c r="AB97" i="12"/>
  <c r="AA97" i="12"/>
  <c r="Z97" i="12"/>
  <c r="Y97" i="12"/>
  <c r="X97" i="12"/>
  <c r="W97" i="12"/>
  <c r="V97" i="12"/>
  <c r="U97" i="12"/>
  <c r="T97" i="12"/>
  <c r="S97" i="12"/>
  <c r="R97" i="12"/>
  <c r="Q97" i="12"/>
  <c r="P97" i="12"/>
  <c r="O97" i="12"/>
  <c r="N97" i="12"/>
  <c r="M97" i="12"/>
  <c r="L97" i="12"/>
  <c r="K97" i="12"/>
  <c r="J97" i="12"/>
  <c r="I97" i="12"/>
  <c r="H97" i="12"/>
  <c r="AG96" i="12"/>
  <c r="AG95" i="12"/>
  <c r="E94" i="12"/>
  <c r="D94" i="12" s="1"/>
  <c r="C94" i="12"/>
  <c r="B94" i="12"/>
  <c r="AG93" i="12"/>
  <c r="E92" i="12"/>
  <c r="D92" i="12" s="1"/>
  <c r="D86" i="12" s="1"/>
  <c r="B92" i="12"/>
  <c r="B86" i="12" s="1"/>
  <c r="AE91" i="12"/>
  <c r="AD91" i="12"/>
  <c r="AC91" i="12"/>
  <c r="AB91" i="12"/>
  <c r="AA91" i="12"/>
  <c r="Z91" i="12"/>
  <c r="Y91" i="12"/>
  <c r="X91" i="12"/>
  <c r="W91" i="12"/>
  <c r="V91" i="12"/>
  <c r="U91" i="12"/>
  <c r="T91" i="12"/>
  <c r="S91" i="12"/>
  <c r="R91" i="12"/>
  <c r="Q91" i="12"/>
  <c r="P91" i="12"/>
  <c r="O91" i="12"/>
  <c r="N91" i="12"/>
  <c r="M91" i="12"/>
  <c r="L91" i="12"/>
  <c r="K91" i="12"/>
  <c r="J91" i="12"/>
  <c r="I91" i="12"/>
  <c r="H91" i="12"/>
  <c r="AG90" i="12"/>
  <c r="AE89" i="12"/>
  <c r="AD89" i="12"/>
  <c r="AD83" i="12" s="1"/>
  <c r="AC89" i="12"/>
  <c r="AC83" i="12" s="1"/>
  <c r="AB89" i="12"/>
  <c r="AB83" i="12" s="1"/>
  <c r="AA89" i="12"/>
  <c r="Z89" i="12"/>
  <c r="Z83" i="12" s="1"/>
  <c r="Y89" i="12"/>
  <c r="Y83" i="12" s="1"/>
  <c r="X89" i="12"/>
  <c r="X83" i="12" s="1"/>
  <c r="W89" i="12"/>
  <c r="V89" i="12"/>
  <c r="V83" i="12" s="1"/>
  <c r="U89" i="12"/>
  <c r="U83" i="12" s="1"/>
  <c r="T89" i="12"/>
  <c r="T83" i="12" s="1"/>
  <c r="S89" i="12"/>
  <c r="R89" i="12"/>
  <c r="R83" i="12" s="1"/>
  <c r="Q89" i="12"/>
  <c r="Q83" i="12" s="1"/>
  <c r="P89" i="12"/>
  <c r="P83" i="12" s="1"/>
  <c r="O89" i="12"/>
  <c r="N89" i="12"/>
  <c r="N83" i="12" s="1"/>
  <c r="M89" i="12"/>
  <c r="M83" i="12" s="1"/>
  <c r="L89" i="12"/>
  <c r="L83" i="12" s="1"/>
  <c r="K89" i="12"/>
  <c r="J89" i="12"/>
  <c r="J83" i="12" s="1"/>
  <c r="I89" i="12"/>
  <c r="I83" i="12" s="1"/>
  <c r="H89" i="12"/>
  <c r="H83" i="12" s="1"/>
  <c r="C83" i="12" s="1"/>
  <c r="E89" i="12"/>
  <c r="D89" i="12"/>
  <c r="B89" i="12"/>
  <c r="AE88" i="12"/>
  <c r="AE82" i="12" s="1"/>
  <c r="AD88" i="12"/>
  <c r="AD82" i="12" s="1"/>
  <c r="AC88" i="12"/>
  <c r="AC82" i="12" s="1"/>
  <c r="AB88" i="12"/>
  <c r="AB82" i="12" s="1"/>
  <c r="AA88" i="12"/>
  <c r="AA82" i="12" s="1"/>
  <c r="Z88" i="12"/>
  <c r="Z82" i="12" s="1"/>
  <c r="Y88" i="12"/>
  <c r="Y82" i="12" s="1"/>
  <c r="X88" i="12"/>
  <c r="X82" i="12" s="1"/>
  <c r="W88" i="12"/>
  <c r="W82" i="12" s="1"/>
  <c r="V88" i="12"/>
  <c r="V82" i="12" s="1"/>
  <c r="U88" i="12"/>
  <c r="T88" i="12"/>
  <c r="T82" i="12" s="1"/>
  <c r="S88" i="12"/>
  <c r="S82" i="12" s="1"/>
  <c r="R88" i="12"/>
  <c r="R82" i="12" s="1"/>
  <c r="Q88" i="12"/>
  <c r="Q82" i="12" s="1"/>
  <c r="P88" i="12"/>
  <c r="P82" i="12" s="1"/>
  <c r="O88" i="12"/>
  <c r="O82" i="12" s="1"/>
  <c r="N88" i="12"/>
  <c r="N82" i="12" s="1"/>
  <c r="M88" i="12"/>
  <c r="M82" i="12" s="1"/>
  <c r="L88" i="12"/>
  <c r="L82" i="12" s="1"/>
  <c r="K88" i="12"/>
  <c r="K82" i="12" s="1"/>
  <c r="J88" i="12"/>
  <c r="J82" i="12" s="1"/>
  <c r="I88" i="12"/>
  <c r="I82" i="12" s="1"/>
  <c r="H88" i="12"/>
  <c r="H82" i="12" s="1"/>
  <c r="AE87" i="12"/>
  <c r="AE81" i="12" s="1"/>
  <c r="AD87" i="12"/>
  <c r="AD81" i="12" s="1"/>
  <c r="AC87" i="12"/>
  <c r="AC81" i="12" s="1"/>
  <c r="AB87" i="12"/>
  <c r="AB81" i="12" s="1"/>
  <c r="AA87" i="12"/>
  <c r="AA81" i="12" s="1"/>
  <c r="Z87" i="12"/>
  <c r="Z81" i="12" s="1"/>
  <c r="Y87" i="12"/>
  <c r="Y81" i="12" s="1"/>
  <c r="X87" i="12"/>
  <c r="X81" i="12" s="1"/>
  <c r="W87" i="12"/>
  <c r="W81" i="12" s="1"/>
  <c r="V87" i="12"/>
  <c r="V81" i="12" s="1"/>
  <c r="U87" i="12"/>
  <c r="U81" i="12" s="1"/>
  <c r="T87" i="12"/>
  <c r="T81" i="12" s="1"/>
  <c r="S87" i="12"/>
  <c r="S81" i="12" s="1"/>
  <c r="R87" i="12"/>
  <c r="R81" i="12" s="1"/>
  <c r="Q87" i="12"/>
  <c r="Q81" i="12" s="1"/>
  <c r="P87" i="12"/>
  <c r="P81" i="12" s="1"/>
  <c r="O87" i="12"/>
  <c r="O81" i="12" s="1"/>
  <c r="N87" i="12"/>
  <c r="N81" i="12" s="1"/>
  <c r="M87" i="12"/>
  <c r="M81" i="12" s="1"/>
  <c r="L87" i="12"/>
  <c r="L81" i="12" s="1"/>
  <c r="K87" i="12"/>
  <c r="K81" i="12" s="1"/>
  <c r="J87" i="12"/>
  <c r="J81" i="12" s="1"/>
  <c r="I87" i="12"/>
  <c r="I81" i="12" s="1"/>
  <c r="AE86" i="12"/>
  <c r="AE80" i="12" s="1"/>
  <c r="AD86" i="12"/>
  <c r="AD80" i="12" s="1"/>
  <c r="AC86" i="12"/>
  <c r="AC80" i="12" s="1"/>
  <c r="AB86" i="12"/>
  <c r="AB80" i="12" s="1"/>
  <c r="AA86" i="12"/>
  <c r="AA80" i="12" s="1"/>
  <c r="Z86" i="12"/>
  <c r="Z80" i="12" s="1"/>
  <c r="Y86" i="12"/>
  <c r="Y80" i="12" s="1"/>
  <c r="X86" i="12"/>
  <c r="X80" i="12" s="1"/>
  <c r="W86" i="12"/>
  <c r="W80" i="12" s="1"/>
  <c r="V86" i="12"/>
  <c r="V80" i="12" s="1"/>
  <c r="U86" i="12"/>
  <c r="U80" i="12" s="1"/>
  <c r="T86" i="12"/>
  <c r="T80" i="12" s="1"/>
  <c r="S86" i="12"/>
  <c r="S80" i="12" s="1"/>
  <c r="R86" i="12"/>
  <c r="R80" i="12" s="1"/>
  <c r="Q86" i="12"/>
  <c r="Q80" i="12" s="1"/>
  <c r="P86" i="12"/>
  <c r="P80" i="12" s="1"/>
  <c r="O86" i="12"/>
  <c r="O80" i="12" s="1"/>
  <c r="N86" i="12"/>
  <c r="N80" i="12" s="1"/>
  <c r="M86" i="12"/>
  <c r="M80" i="12" s="1"/>
  <c r="L86" i="12"/>
  <c r="L80" i="12" s="1"/>
  <c r="K86" i="12"/>
  <c r="K80" i="12" s="1"/>
  <c r="J86" i="12"/>
  <c r="J80" i="12" s="1"/>
  <c r="I86" i="12"/>
  <c r="I80" i="12" s="1"/>
  <c r="H86" i="12"/>
  <c r="H80" i="12" s="1"/>
  <c r="AG84" i="12"/>
  <c r="AG78" i="12"/>
  <c r="AG77" i="12"/>
  <c r="E76" i="12"/>
  <c r="D76" i="12" s="1"/>
  <c r="D73" i="12" s="1"/>
  <c r="C73" i="12"/>
  <c r="B76" i="12"/>
  <c r="AG75" i="12"/>
  <c r="AG74" i="12"/>
  <c r="AE73" i="12"/>
  <c r="AD73" i="12"/>
  <c r="AC73" i="12"/>
  <c r="AB73" i="12"/>
  <c r="AA73" i="12"/>
  <c r="Z73" i="12"/>
  <c r="Y73" i="12"/>
  <c r="X73" i="12"/>
  <c r="W73" i="12"/>
  <c r="V73" i="12"/>
  <c r="U73" i="12"/>
  <c r="T73" i="12"/>
  <c r="S73" i="12"/>
  <c r="R73" i="12"/>
  <c r="Q73" i="12"/>
  <c r="P73" i="12"/>
  <c r="O73" i="12"/>
  <c r="N73" i="12"/>
  <c r="L73" i="12"/>
  <c r="K73" i="12"/>
  <c r="J73" i="12"/>
  <c r="I73" i="12"/>
  <c r="H73" i="12"/>
  <c r="AG72" i="12"/>
  <c r="AG71" i="12"/>
  <c r="D67" i="12"/>
  <c r="B70" i="12"/>
  <c r="B67" i="12" s="1"/>
  <c r="AG69" i="12"/>
  <c r="AG68" i="12"/>
  <c r="AE67" i="12"/>
  <c r="AD67" i="12"/>
  <c r="AC67" i="12"/>
  <c r="AB67" i="12"/>
  <c r="AA67" i="12"/>
  <c r="Z67" i="12"/>
  <c r="Y67" i="12"/>
  <c r="X67" i="12"/>
  <c r="W67" i="12"/>
  <c r="V67" i="12"/>
  <c r="U67" i="12"/>
  <c r="T67" i="12"/>
  <c r="S67" i="12"/>
  <c r="R67" i="12"/>
  <c r="Q67" i="12"/>
  <c r="P67" i="12"/>
  <c r="N67" i="12"/>
  <c r="M67" i="12"/>
  <c r="L67" i="12"/>
  <c r="K67" i="12"/>
  <c r="J67" i="12"/>
  <c r="I67" i="12"/>
  <c r="H67" i="12"/>
  <c r="AG66" i="12"/>
  <c r="AE65" i="12"/>
  <c r="AD65" i="12"/>
  <c r="AC65" i="12"/>
  <c r="AB65" i="12"/>
  <c r="AA65" i="12"/>
  <c r="Z65" i="12"/>
  <c r="Y65" i="12"/>
  <c r="X65" i="12"/>
  <c r="W65" i="12"/>
  <c r="V65" i="12"/>
  <c r="U65" i="12"/>
  <c r="T65" i="12"/>
  <c r="S65" i="12"/>
  <c r="R65" i="12"/>
  <c r="Q65" i="12"/>
  <c r="P65" i="12"/>
  <c r="O65" i="12"/>
  <c r="N65" i="12"/>
  <c r="M65" i="12"/>
  <c r="L65" i="12"/>
  <c r="K65" i="12"/>
  <c r="J65" i="12"/>
  <c r="I65" i="12"/>
  <c r="H65" i="12"/>
  <c r="E65" i="12"/>
  <c r="D65" i="12"/>
  <c r="C65" i="12"/>
  <c r="B65" i="12"/>
  <c r="AE64" i="12"/>
  <c r="AD64" i="12"/>
  <c r="AC64" i="12"/>
  <c r="AB64" i="12"/>
  <c r="AA64" i="12"/>
  <c r="Z64" i="12"/>
  <c r="Y64" i="12"/>
  <c r="X64" i="12"/>
  <c r="W64" i="12"/>
  <c r="V64" i="12"/>
  <c r="U64" i="12"/>
  <c r="T64" i="12"/>
  <c r="S64" i="12"/>
  <c r="R64" i="12"/>
  <c r="Q64" i="12"/>
  <c r="P64" i="12"/>
  <c r="O64" i="12"/>
  <c r="N64" i="12"/>
  <c r="M64" i="12"/>
  <c r="L64" i="12"/>
  <c r="K64" i="12"/>
  <c r="J64" i="12"/>
  <c r="I64" i="12"/>
  <c r="H64" i="12"/>
  <c r="AE63" i="12"/>
  <c r="AD63" i="12"/>
  <c r="AC63" i="12"/>
  <c r="AB63" i="12"/>
  <c r="AA63" i="12"/>
  <c r="Z63" i="12"/>
  <c r="Y63" i="12"/>
  <c r="X63" i="12"/>
  <c r="W63" i="12"/>
  <c r="V63" i="12"/>
  <c r="U63" i="12"/>
  <c r="T63" i="12"/>
  <c r="S63" i="12"/>
  <c r="R63" i="12"/>
  <c r="Q63" i="12"/>
  <c r="P63" i="12"/>
  <c r="O63" i="12"/>
  <c r="N63" i="12"/>
  <c r="M63" i="12"/>
  <c r="L63" i="12"/>
  <c r="K63" i="12"/>
  <c r="J63" i="12"/>
  <c r="I63" i="12"/>
  <c r="H63" i="12"/>
  <c r="E63" i="12"/>
  <c r="D63" i="12"/>
  <c r="C63" i="12"/>
  <c r="B63" i="12"/>
  <c r="AE62" i="12"/>
  <c r="AD62" i="12"/>
  <c r="AC62" i="12"/>
  <c r="AC61" i="12" s="1"/>
  <c r="AB62" i="12"/>
  <c r="AA62" i="12"/>
  <c r="Z62" i="12"/>
  <c r="Y62" i="12"/>
  <c r="Y61" i="12" s="1"/>
  <c r="X62" i="12"/>
  <c r="W62" i="12"/>
  <c r="V62" i="12"/>
  <c r="U62" i="12"/>
  <c r="T62" i="12"/>
  <c r="S62" i="12"/>
  <c r="R62" i="12"/>
  <c r="Q62" i="12"/>
  <c r="Q61" i="12" s="1"/>
  <c r="P62" i="12"/>
  <c r="O62" i="12"/>
  <c r="N62" i="12"/>
  <c r="M62" i="12"/>
  <c r="M61" i="12" s="1"/>
  <c r="L62" i="12"/>
  <c r="K62" i="12"/>
  <c r="J62" i="12"/>
  <c r="I62" i="12"/>
  <c r="H62" i="12"/>
  <c r="E62" i="12"/>
  <c r="D62" i="12"/>
  <c r="C62" i="12"/>
  <c r="B62" i="12"/>
  <c r="AG60" i="12"/>
  <c r="AG53" i="12"/>
  <c r="E52" i="12"/>
  <c r="D52" i="12" s="1"/>
  <c r="D49" i="12" s="1"/>
  <c r="C52" i="12"/>
  <c r="C49" i="12" s="1"/>
  <c r="B52" i="12"/>
  <c r="AG51" i="12"/>
  <c r="AG50" i="12"/>
  <c r="AE49" i="12"/>
  <c r="AD49" i="12"/>
  <c r="AC49" i="12"/>
  <c r="AB49" i="12"/>
  <c r="AA49" i="12"/>
  <c r="Z49" i="12"/>
  <c r="Y49" i="12"/>
  <c r="X49" i="12"/>
  <c r="W49" i="12"/>
  <c r="V49" i="12"/>
  <c r="U49" i="12"/>
  <c r="T49" i="12"/>
  <c r="S49" i="12"/>
  <c r="R49" i="12"/>
  <c r="Q49" i="12"/>
  <c r="P49" i="12"/>
  <c r="O49" i="12"/>
  <c r="N49" i="12"/>
  <c r="M49" i="12"/>
  <c r="L49" i="12"/>
  <c r="K49" i="12"/>
  <c r="J49" i="12"/>
  <c r="I49" i="12"/>
  <c r="H49" i="12"/>
  <c r="AG48" i="12"/>
  <c r="AG47" i="12"/>
  <c r="E43" i="12"/>
  <c r="B46" i="12"/>
  <c r="B43" i="12" s="1"/>
  <c r="AG45" i="12"/>
  <c r="AG44" i="12"/>
  <c r="AE43" i="12"/>
  <c r="AD43" i="12"/>
  <c r="AC43" i="12"/>
  <c r="AB43" i="12"/>
  <c r="AA43" i="12"/>
  <c r="Z43" i="12"/>
  <c r="Y43" i="12"/>
  <c r="X43" i="12"/>
  <c r="W43" i="12"/>
  <c r="V43" i="12"/>
  <c r="U43" i="12"/>
  <c r="T43" i="12"/>
  <c r="S43" i="12"/>
  <c r="R43" i="12"/>
  <c r="Q43" i="12"/>
  <c r="P43" i="12"/>
  <c r="O43" i="12"/>
  <c r="M43" i="12"/>
  <c r="L43" i="12"/>
  <c r="K43" i="12"/>
  <c r="J43" i="12"/>
  <c r="I43" i="12"/>
  <c r="H43" i="12"/>
  <c r="C43" i="12"/>
  <c r="AG42" i="12"/>
  <c r="AG41" i="12"/>
  <c r="B40" i="12"/>
  <c r="AG40" i="12" s="1"/>
  <c r="E39" i="12"/>
  <c r="C39" i="12"/>
  <c r="B39" i="12"/>
  <c r="AG39" i="12" s="1"/>
  <c r="E38" i="12"/>
  <c r="D38" i="12" s="1"/>
  <c r="C38" i="12"/>
  <c r="B38" i="12"/>
  <c r="AE37" i="12"/>
  <c r="AD37" i="12"/>
  <c r="AC37" i="12"/>
  <c r="AB37" i="12"/>
  <c r="AA37" i="12"/>
  <c r="Z37" i="12"/>
  <c r="Y37" i="12"/>
  <c r="X37" i="12"/>
  <c r="W37" i="12"/>
  <c r="V37" i="12"/>
  <c r="U37" i="12"/>
  <c r="T37" i="12"/>
  <c r="S37" i="12"/>
  <c r="R37" i="12"/>
  <c r="Q37" i="12"/>
  <c r="P37" i="12"/>
  <c r="O37" i="12"/>
  <c r="N37" i="12"/>
  <c r="M37" i="12"/>
  <c r="L37" i="12"/>
  <c r="K37" i="12"/>
  <c r="J37" i="12"/>
  <c r="I37" i="12"/>
  <c r="H37" i="12"/>
  <c r="AG36" i="12"/>
  <c r="AE35" i="12"/>
  <c r="AD35" i="12"/>
  <c r="AC35" i="12"/>
  <c r="AB35" i="12"/>
  <c r="AA35" i="12"/>
  <c r="Z35" i="12"/>
  <c r="Y35" i="12"/>
  <c r="X35" i="12"/>
  <c r="W35" i="12"/>
  <c r="V35" i="12"/>
  <c r="U35" i="12"/>
  <c r="T35" i="12"/>
  <c r="S35" i="12"/>
  <c r="R35" i="12"/>
  <c r="Q35" i="12"/>
  <c r="P35" i="12"/>
  <c r="O35" i="12"/>
  <c r="N35" i="12"/>
  <c r="M35" i="12"/>
  <c r="L35" i="12"/>
  <c r="K35" i="12"/>
  <c r="J35" i="12"/>
  <c r="I35" i="12"/>
  <c r="H35" i="12"/>
  <c r="C35" i="12" s="1"/>
  <c r="AE33" i="12"/>
  <c r="AD33" i="12"/>
  <c r="AC33" i="12"/>
  <c r="AB33" i="12"/>
  <c r="AA33" i="12"/>
  <c r="Z33" i="12"/>
  <c r="Y33" i="12"/>
  <c r="X33" i="12"/>
  <c r="W33" i="12"/>
  <c r="V33" i="12"/>
  <c r="U33" i="12"/>
  <c r="T33" i="12"/>
  <c r="S33" i="12"/>
  <c r="R33" i="12"/>
  <c r="Q33" i="12"/>
  <c r="P33" i="12"/>
  <c r="O33" i="12"/>
  <c r="N33" i="12"/>
  <c r="M33" i="12"/>
  <c r="L33" i="12"/>
  <c r="K33" i="12"/>
  <c r="J33" i="12"/>
  <c r="I33" i="12"/>
  <c r="H33" i="12"/>
  <c r="C33" i="12" s="1"/>
  <c r="AE32" i="12"/>
  <c r="AD32" i="12"/>
  <c r="AC32" i="12"/>
  <c r="AB32" i="12"/>
  <c r="AA32" i="12"/>
  <c r="Z32" i="12"/>
  <c r="Y32" i="12"/>
  <c r="X32" i="12"/>
  <c r="W32" i="12"/>
  <c r="V32" i="12"/>
  <c r="U32" i="12"/>
  <c r="T32" i="12"/>
  <c r="S32" i="12"/>
  <c r="R32" i="12"/>
  <c r="Q32" i="12"/>
  <c r="P32" i="12"/>
  <c r="O32" i="12"/>
  <c r="N32" i="12"/>
  <c r="M32" i="12"/>
  <c r="L32" i="12"/>
  <c r="K32" i="12"/>
  <c r="J32" i="12"/>
  <c r="I32" i="12"/>
  <c r="H32" i="12"/>
  <c r="AG30" i="12"/>
  <c r="AG29" i="12"/>
  <c r="E28" i="12"/>
  <c r="C28" i="12"/>
  <c r="B28" i="12"/>
  <c r="E27" i="12"/>
  <c r="C27" i="12"/>
  <c r="B27" i="12"/>
  <c r="AG27" i="12" s="1"/>
  <c r="E26" i="12"/>
  <c r="D26" i="12" s="1"/>
  <c r="C26" i="12"/>
  <c r="B26" i="12"/>
  <c r="AG26" i="12" s="1"/>
  <c r="E25" i="12"/>
  <c r="C25" i="12"/>
  <c r="B25" i="12"/>
  <c r="AG25" i="12" s="1"/>
  <c r="AE24" i="12"/>
  <c r="AD24" i="12"/>
  <c r="AC24" i="12"/>
  <c r="AB24" i="12"/>
  <c r="AA24" i="12"/>
  <c r="Z24" i="12"/>
  <c r="Y24" i="12"/>
  <c r="X24" i="12"/>
  <c r="W24" i="12"/>
  <c r="V24" i="12"/>
  <c r="U24" i="12"/>
  <c r="T24" i="12"/>
  <c r="S24" i="12"/>
  <c r="R24" i="12"/>
  <c r="Q24" i="12"/>
  <c r="P24" i="12"/>
  <c r="O24" i="12"/>
  <c r="N24" i="12"/>
  <c r="M24" i="12"/>
  <c r="L24" i="12"/>
  <c r="K24" i="12"/>
  <c r="J24" i="12"/>
  <c r="I24" i="12"/>
  <c r="H24" i="12"/>
  <c r="AG23" i="12"/>
  <c r="AG22" i="12"/>
  <c r="E21" i="12"/>
  <c r="B21" i="12"/>
  <c r="E20" i="12"/>
  <c r="C20" i="12"/>
  <c r="B20" i="12"/>
  <c r="E19" i="12"/>
  <c r="C19" i="12"/>
  <c r="B19" i="12"/>
  <c r="AE18" i="12"/>
  <c r="AD18" i="12"/>
  <c r="AC18" i="12"/>
  <c r="AB18" i="12"/>
  <c r="AA18" i="12"/>
  <c r="Z18" i="12"/>
  <c r="Y18" i="12"/>
  <c r="X18" i="12"/>
  <c r="W18" i="12"/>
  <c r="V18" i="12"/>
  <c r="U18" i="12"/>
  <c r="T18" i="12"/>
  <c r="S18" i="12"/>
  <c r="R18" i="12"/>
  <c r="Q18" i="12"/>
  <c r="P18" i="12"/>
  <c r="O18" i="12"/>
  <c r="N18" i="12"/>
  <c r="M18" i="12"/>
  <c r="L18" i="12"/>
  <c r="K18" i="12"/>
  <c r="J18" i="12"/>
  <c r="I18" i="12"/>
  <c r="H18" i="12"/>
  <c r="AG17" i="12"/>
  <c r="AE16" i="12"/>
  <c r="AD16" i="12"/>
  <c r="AC16" i="12"/>
  <c r="AB16" i="12"/>
  <c r="AA16" i="12"/>
  <c r="Z16" i="12"/>
  <c r="Y16" i="12"/>
  <c r="X16" i="12"/>
  <c r="W16" i="12"/>
  <c r="V16" i="12"/>
  <c r="U16" i="12"/>
  <c r="T16" i="12"/>
  <c r="S16" i="12"/>
  <c r="R16" i="12"/>
  <c r="Q16" i="12"/>
  <c r="P16" i="12"/>
  <c r="O16" i="12"/>
  <c r="N16" i="12"/>
  <c r="M16" i="12"/>
  <c r="L16" i="12"/>
  <c r="K16" i="12"/>
  <c r="J16" i="12"/>
  <c r="I16" i="12"/>
  <c r="H16" i="12"/>
  <c r="E16" i="12"/>
  <c r="D16" i="12"/>
  <c r="C16" i="12"/>
  <c r="B16" i="12"/>
  <c r="AE15" i="12"/>
  <c r="AD15" i="12"/>
  <c r="AC15" i="12"/>
  <c r="AB15" i="12"/>
  <c r="AA15" i="12"/>
  <c r="Z15" i="12"/>
  <c r="Y15" i="12"/>
  <c r="X15" i="12"/>
  <c r="W15" i="12"/>
  <c r="V15" i="12"/>
  <c r="U15" i="12"/>
  <c r="T15" i="12"/>
  <c r="S15" i="12"/>
  <c r="R15" i="12"/>
  <c r="Q15" i="12"/>
  <c r="P15" i="12"/>
  <c r="O15" i="12"/>
  <c r="N15" i="12"/>
  <c r="M15" i="12"/>
  <c r="L15" i="12"/>
  <c r="K15" i="12"/>
  <c r="J15" i="12"/>
  <c r="I15" i="12"/>
  <c r="H15" i="12"/>
  <c r="AE14" i="12"/>
  <c r="AD14" i="12"/>
  <c r="AC14" i="12"/>
  <c r="AB14" i="12"/>
  <c r="AA14" i="12"/>
  <c r="Z14" i="12"/>
  <c r="Y14" i="12"/>
  <c r="X14" i="12"/>
  <c r="W14" i="12"/>
  <c r="V14" i="12"/>
  <c r="U14" i="12"/>
  <c r="T14" i="12"/>
  <c r="S14" i="12"/>
  <c r="R14" i="12"/>
  <c r="Q14" i="12"/>
  <c r="P14" i="12"/>
  <c r="O14" i="12"/>
  <c r="N14" i="12"/>
  <c r="M14" i="12"/>
  <c r="L14" i="12"/>
  <c r="K14" i="12"/>
  <c r="J14" i="12"/>
  <c r="I14" i="12"/>
  <c r="H14" i="12"/>
  <c r="AE13" i="12"/>
  <c r="AD13" i="12"/>
  <c r="AC13" i="12"/>
  <c r="AB13" i="12"/>
  <c r="AA13" i="12"/>
  <c r="Z13" i="12"/>
  <c r="Y13" i="12"/>
  <c r="X13" i="12"/>
  <c r="W13" i="12"/>
  <c r="V13" i="12"/>
  <c r="U13" i="12"/>
  <c r="T13" i="12"/>
  <c r="S13" i="12"/>
  <c r="R13" i="12"/>
  <c r="Q13" i="12"/>
  <c r="P13" i="12"/>
  <c r="O13" i="12"/>
  <c r="N13" i="12"/>
  <c r="M13" i="12"/>
  <c r="L13" i="12"/>
  <c r="K13" i="12"/>
  <c r="J13" i="12"/>
  <c r="I13" i="12"/>
  <c r="H13" i="12"/>
  <c r="AG11" i="12"/>
  <c r="AE141" i="11"/>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H139" i="11"/>
  <c r="AE138" i="11"/>
  <c r="AE137" i="11" s="1"/>
  <c r="AD138" i="11"/>
  <c r="AD137" i="11" s="1"/>
  <c r="AC138" i="11"/>
  <c r="AC137" i="11" s="1"/>
  <c r="AB138" i="11"/>
  <c r="AA138" i="11"/>
  <c r="AA137" i="11" s="1"/>
  <c r="Z138" i="11"/>
  <c r="Y138" i="11"/>
  <c r="Y137" i="11" s="1"/>
  <c r="X138" i="11"/>
  <c r="W138" i="11"/>
  <c r="W137" i="11" s="1"/>
  <c r="V138" i="11"/>
  <c r="V137" i="11" s="1"/>
  <c r="U138" i="11"/>
  <c r="U137" i="11" s="1"/>
  <c r="T138" i="11"/>
  <c r="S138" i="11"/>
  <c r="S137" i="11" s="1"/>
  <c r="R138" i="11"/>
  <c r="R137" i="11" s="1"/>
  <c r="Q138" i="11"/>
  <c r="P138" i="11"/>
  <c r="O138" i="11"/>
  <c r="O137" i="11" s="1"/>
  <c r="N138" i="11"/>
  <c r="N137" i="11" s="1"/>
  <c r="M138" i="11"/>
  <c r="M137" i="11" s="1"/>
  <c r="L138" i="11"/>
  <c r="K138" i="11"/>
  <c r="K137" i="11" s="1"/>
  <c r="J138" i="11"/>
  <c r="J137" i="11" s="1"/>
  <c r="I138" i="11"/>
  <c r="I137" i="11" s="1"/>
  <c r="H138" i="11"/>
  <c r="E131" i="11"/>
  <c r="D131" i="11" s="1"/>
  <c r="C131" i="11"/>
  <c r="B131" i="11"/>
  <c r="AG131" i="11" s="1"/>
  <c r="E130" i="11"/>
  <c r="C130" i="11"/>
  <c r="AH130" i="11" s="1"/>
  <c r="B130" i="11"/>
  <c r="AG130" i="11" s="1"/>
  <c r="E129" i="11"/>
  <c r="D129" i="11" s="1"/>
  <c r="C129" i="11"/>
  <c r="B129" i="11"/>
  <c r="AG129" i="11" s="1"/>
  <c r="E128" i="11"/>
  <c r="C128" i="11"/>
  <c r="B128"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AG126" i="11"/>
  <c r="E125" i="11"/>
  <c r="D125" i="11" s="1"/>
  <c r="C125" i="11"/>
  <c r="B125" i="11"/>
  <c r="AG125" i="11" s="1"/>
  <c r="E124" i="11"/>
  <c r="C124" i="11"/>
  <c r="B124" i="11"/>
  <c r="AG124" i="11" s="1"/>
  <c r="E123" i="11"/>
  <c r="D123" i="11" s="1"/>
  <c r="C123" i="11"/>
  <c r="AH123" i="11" s="1"/>
  <c r="B123" i="11"/>
  <c r="AG123" i="11" s="1"/>
  <c r="E122" i="11"/>
  <c r="C122" i="11"/>
  <c r="B122" i="11"/>
  <c r="AG122" i="11" s="1"/>
  <c r="AE121" i="11"/>
  <c r="AD121" i="11"/>
  <c r="AC121" i="11"/>
  <c r="AB121" i="11"/>
  <c r="AA121" i="11"/>
  <c r="Z121" i="11"/>
  <c r="Y121" i="11"/>
  <c r="X121" i="11"/>
  <c r="W121" i="11"/>
  <c r="V121" i="11"/>
  <c r="U121" i="11"/>
  <c r="T121" i="11"/>
  <c r="S121" i="11"/>
  <c r="R121" i="11"/>
  <c r="Q121" i="11"/>
  <c r="P121" i="11"/>
  <c r="O121" i="11"/>
  <c r="N121" i="11"/>
  <c r="M121" i="11"/>
  <c r="L121" i="11"/>
  <c r="K121" i="11"/>
  <c r="J121" i="11"/>
  <c r="I121" i="11"/>
  <c r="H121" i="11"/>
  <c r="AG120" i="11"/>
  <c r="E119" i="11"/>
  <c r="D119" i="11" s="1"/>
  <c r="B119" i="11"/>
  <c r="AG119" i="11" s="1"/>
  <c r="E118" i="11"/>
  <c r="B118" i="11"/>
  <c r="AG118" i="11" s="1"/>
  <c r="E117" i="11"/>
  <c r="D117" i="11" s="1"/>
  <c r="B117" i="11"/>
  <c r="AG117" i="11" s="1"/>
  <c r="E116" i="11"/>
  <c r="AH116" i="11"/>
  <c r="B116"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AG114" i="11"/>
  <c r="AG113" i="11"/>
  <c r="AG112" i="11"/>
  <c r="E111" i="11"/>
  <c r="D111" i="11" s="1"/>
  <c r="B111" i="11"/>
  <c r="AG111" i="11" s="1"/>
  <c r="E110" i="11"/>
  <c r="B110" i="11"/>
  <c r="AG110" i="11" s="1"/>
  <c r="E109" i="11"/>
  <c r="D109" i="11" s="1"/>
  <c r="B109" i="11"/>
  <c r="AG109" i="11" s="1"/>
  <c r="E108" i="11"/>
  <c r="AH108" i="11" s="1"/>
  <c r="B108" i="11"/>
  <c r="AG108" i="11" s="1"/>
  <c r="AE107" i="11"/>
  <c r="AD107" i="11"/>
  <c r="AC107" i="11"/>
  <c r="AB107" i="11"/>
  <c r="AA107" i="11"/>
  <c r="Z107" i="11"/>
  <c r="Y107" i="11"/>
  <c r="X107" i="11"/>
  <c r="W107" i="11"/>
  <c r="V107" i="11"/>
  <c r="U107" i="11"/>
  <c r="T107" i="11"/>
  <c r="S107" i="11"/>
  <c r="R107" i="11"/>
  <c r="Q107" i="11"/>
  <c r="P107" i="11"/>
  <c r="O107" i="11"/>
  <c r="N107" i="11"/>
  <c r="M107" i="11"/>
  <c r="L107" i="11"/>
  <c r="J107" i="11"/>
  <c r="I107" i="11"/>
  <c r="H107" i="11"/>
  <c r="AG106" i="11"/>
  <c r="AG105" i="11"/>
  <c r="AG104" i="11"/>
  <c r="E103" i="11"/>
  <c r="D103" i="11" s="1"/>
  <c r="B103" i="11"/>
  <c r="E102" i="11"/>
  <c r="AH102" i="11" s="1"/>
  <c r="B102" i="11"/>
  <c r="AG102" i="11" s="1"/>
  <c r="E101" i="11"/>
  <c r="D101" i="11" s="1"/>
  <c r="B101" i="11"/>
  <c r="AG101" i="11" s="1"/>
  <c r="E100" i="11"/>
  <c r="B100" i="11"/>
  <c r="AG100" i="11" s="1"/>
  <c r="AE99" i="11"/>
  <c r="AD99" i="11"/>
  <c r="AC99" i="11"/>
  <c r="AB99" i="11"/>
  <c r="AA99" i="11"/>
  <c r="Z99" i="11"/>
  <c r="Y99" i="11"/>
  <c r="X99" i="11"/>
  <c r="W99" i="11"/>
  <c r="V99" i="11"/>
  <c r="U99" i="11"/>
  <c r="T99" i="11"/>
  <c r="S99" i="11"/>
  <c r="R99" i="11"/>
  <c r="Q99" i="11"/>
  <c r="P99" i="11"/>
  <c r="O99" i="11"/>
  <c r="N99" i="11"/>
  <c r="M99" i="11"/>
  <c r="L99" i="11"/>
  <c r="K99" i="11"/>
  <c r="J99" i="11"/>
  <c r="I99" i="11"/>
  <c r="H99" i="11"/>
  <c r="AG98" i="11"/>
  <c r="E97" i="11"/>
  <c r="D97" i="11" s="1"/>
  <c r="C97" i="11"/>
  <c r="B97" i="11"/>
  <c r="AG97" i="11" s="1"/>
  <c r="E96" i="11"/>
  <c r="B96" i="11"/>
  <c r="AG96" i="11" s="1"/>
  <c r="E95" i="11"/>
  <c r="D95" i="11" s="1"/>
  <c r="C95" i="11"/>
  <c r="AH95" i="11" s="1"/>
  <c r="B95" i="11"/>
  <c r="AG95" i="11" s="1"/>
  <c r="E94" i="11"/>
  <c r="C94" i="11"/>
  <c r="B94" i="11"/>
  <c r="AE93" i="11"/>
  <c r="AD93" i="11"/>
  <c r="AC93" i="11"/>
  <c r="AB93" i="11"/>
  <c r="AA93" i="11"/>
  <c r="Z93" i="11"/>
  <c r="Y93" i="11"/>
  <c r="X93" i="11"/>
  <c r="W93" i="11"/>
  <c r="V93" i="11"/>
  <c r="U93" i="11"/>
  <c r="T93" i="11"/>
  <c r="S93" i="11"/>
  <c r="R93" i="11"/>
  <c r="Q93" i="11"/>
  <c r="P93" i="11"/>
  <c r="O93" i="11"/>
  <c r="N93" i="11"/>
  <c r="M93" i="11"/>
  <c r="L93" i="11"/>
  <c r="K93" i="11"/>
  <c r="J93" i="11"/>
  <c r="I93" i="11"/>
  <c r="H93" i="11"/>
  <c r="AG92" i="11"/>
  <c r="AG91" i="11"/>
  <c r="AG90" i="11"/>
  <c r="AG89" i="11"/>
  <c r="E88" i="11"/>
  <c r="AH88" i="11" s="1"/>
  <c r="C85" i="11"/>
  <c r="B88" i="11"/>
  <c r="AG88" i="11" s="1"/>
  <c r="AG87" i="11"/>
  <c r="AG86" i="11"/>
  <c r="AE85" i="11"/>
  <c r="AD85" i="11"/>
  <c r="AC85" i="11"/>
  <c r="AB85" i="11"/>
  <c r="AA85" i="11"/>
  <c r="Z85" i="11"/>
  <c r="Y85" i="11"/>
  <c r="X85" i="11"/>
  <c r="W85" i="11"/>
  <c r="V85" i="11"/>
  <c r="U85" i="11"/>
  <c r="T85" i="11"/>
  <c r="S85" i="11"/>
  <c r="R85" i="11"/>
  <c r="Q85" i="11"/>
  <c r="P85" i="11"/>
  <c r="O85" i="11"/>
  <c r="N85" i="11"/>
  <c r="M85" i="11"/>
  <c r="L85" i="11"/>
  <c r="K85" i="11"/>
  <c r="J85" i="11"/>
  <c r="I85" i="11"/>
  <c r="H85" i="11"/>
  <c r="AG83" i="11"/>
  <c r="E82" i="11"/>
  <c r="AH82" i="11" s="1"/>
  <c r="C79" i="11"/>
  <c r="B82" i="11"/>
  <c r="AG81" i="11"/>
  <c r="AG80" i="11"/>
  <c r="AE79" i="11"/>
  <c r="AD79" i="11"/>
  <c r="AC79" i="11"/>
  <c r="AB79" i="11"/>
  <c r="AA79" i="11"/>
  <c r="Z79" i="11"/>
  <c r="Y79" i="11"/>
  <c r="X79" i="11"/>
  <c r="W79" i="11"/>
  <c r="V79" i="11"/>
  <c r="U79" i="11"/>
  <c r="T79" i="11"/>
  <c r="S79" i="11"/>
  <c r="R79" i="11"/>
  <c r="Q79" i="11"/>
  <c r="P79" i="11"/>
  <c r="O79" i="11"/>
  <c r="N79" i="11"/>
  <c r="M79" i="11"/>
  <c r="L79" i="11"/>
  <c r="K79" i="11"/>
  <c r="J79" i="11"/>
  <c r="I79" i="11"/>
  <c r="H79" i="11"/>
  <c r="AG78" i="11"/>
  <c r="AE77" i="11"/>
  <c r="AD77" i="11"/>
  <c r="AC77" i="11"/>
  <c r="AB77" i="11"/>
  <c r="AA77" i="11"/>
  <c r="Z77" i="11"/>
  <c r="Y77" i="11"/>
  <c r="X77" i="11"/>
  <c r="W77" i="11"/>
  <c r="V77" i="11"/>
  <c r="U77" i="11"/>
  <c r="T77" i="11"/>
  <c r="S77" i="11"/>
  <c r="R77" i="11"/>
  <c r="Q77" i="11"/>
  <c r="P77" i="11"/>
  <c r="O77" i="11"/>
  <c r="N77" i="11"/>
  <c r="M77" i="11"/>
  <c r="L77" i="11"/>
  <c r="K77" i="11"/>
  <c r="J77" i="11"/>
  <c r="I77" i="11"/>
  <c r="H77" i="11"/>
  <c r="E77" i="11"/>
  <c r="D77" i="11"/>
  <c r="C77" i="11"/>
  <c r="B77" i="11"/>
  <c r="AE76" i="11"/>
  <c r="AD76" i="11"/>
  <c r="AC76" i="11"/>
  <c r="AB76" i="11"/>
  <c r="AA76" i="11"/>
  <c r="Z76" i="11"/>
  <c r="Y76" i="11"/>
  <c r="X76" i="11"/>
  <c r="W76" i="11"/>
  <c r="V76" i="11"/>
  <c r="U76" i="11"/>
  <c r="T76" i="11"/>
  <c r="S76" i="11"/>
  <c r="R76" i="11"/>
  <c r="Q76" i="11"/>
  <c r="P76" i="11"/>
  <c r="O76" i="11"/>
  <c r="N76" i="11"/>
  <c r="M76" i="11"/>
  <c r="L76" i="11"/>
  <c r="K76" i="11"/>
  <c r="J76" i="11"/>
  <c r="I76" i="11"/>
  <c r="H76" i="11"/>
  <c r="AE75" i="11"/>
  <c r="AD75" i="11"/>
  <c r="AC75" i="11"/>
  <c r="AB75" i="11"/>
  <c r="AA75" i="11"/>
  <c r="Z75" i="11"/>
  <c r="Y75" i="11"/>
  <c r="X75" i="11"/>
  <c r="W75" i="11"/>
  <c r="V75" i="11"/>
  <c r="U75" i="11"/>
  <c r="T75" i="11"/>
  <c r="S75" i="11"/>
  <c r="R75" i="11"/>
  <c r="Q75" i="11"/>
  <c r="P75" i="11"/>
  <c r="O75" i="11"/>
  <c r="N75" i="11"/>
  <c r="M75" i="11"/>
  <c r="L75" i="11"/>
  <c r="K75" i="11"/>
  <c r="J75" i="11"/>
  <c r="I75" i="11"/>
  <c r="H75" i="11"/>
  <c r="E75" i="11"/>
  <c r="D75" i="11"/>
  <c r="C75" i="11"/>
  <c r="B75" i="11"/>
  <c r="AE74" i="11"/>
  <c r="AD74" i="11"/>
  <c r="AC74" i="11"/>
  <c r="AB74" i="11"/>
  <c r="AA74" i="11"/>
  <c r="AA73" i="11" s="1"/>
  <c r="Z74" i="11"/>
  <c r="Y74" i="11"/>
  <c r="X74" i="11"/>
  <c r="W74" i="11"/>
  <c r="V74" i="11"/>
  <c r="U74" i="11"/>
  <c r="T74" i="11"/>
  <c r="S74" i="11"/>
  <c r="S73" i="11" s="1"/>
  <c r="R74" i="11"/>
  <c r="Q74" i="11"/>
  <c r="P74" i="11"/>
  <c r="O74" i="11"/>
  <c r="N74" i="11"/>
  <c r="M74" i="11"/>
  <c r="L74" i="11"/>
  <c r="K74" i="11"/>
  <c r="K73" i="11" s="1"/>
  <c r="J74" i="11"/>
  <c r="I74" i="11"/>
  <c r="H74" i="11"/>
  <c r="E74" i="11"/>
  <c r="D74" i="11"/>
  <c r="C74" i="11"/>
  <c r="B74" i="11"/>
  <c r="AG72" i="11"/>
  <c r="E71" i="11"/>
  <c r="D71" i="11" s="1"/>
  <c r="B71" i="11"/>
  <c r="AG71" i="11" s="1"/>
  <c r="J70" i="11"/>
  <c r="E69" i="11"/>
  <c r="AH69" i="11" s="1"/>
  <c r="B69" i="11"/>
  <c r="AG69" i="11" s="1"/>
  <c r="E68" i="11"/>
  <c r="D68" i="11" s="1"/>
  <c r="B68" i="11"/>
  <c r="AE67" i="11"/>
  <c r="AD67" i="11"/>
  <c r="AC67" i="11"/>
  <c r="AB67" i="11"/>
  <c r="AA67" i="11"/>
  <c r="Z67" i="11"/>
  <c r="Y67" i="11"/>
  <c r="X67" i="11"/>
  <c r="W67" i="11"/>
  <c r="V67" i="11"/>
  <c r="U67" i="11"/>
  <c r="T67" i="11"/>
  <c r="S67" i="11"/>
  <c r="R67" i="11"/>
  <c r="Q67" i="11"/>
  <c r="P67" i="11"/>
  <c r="O67" i="11"/>
  <c r="N67" i="11"/>
  <c r="I67" i="11"/>
  <c r="H67" i="11"/>
  <c r="AG66" i="11"/>
  <c r="AG65" i="11"/>
  <c r="E64" i="11"/>
  <c r="B61" i="11"/>
  <c r="AG63" i="11"/>
  <c r="AG62" i="11"/>
  <c r="AE61" i="11"/>
  <c r="AD61" i="11"/>
  <c r="AC61" i="11"/>
  <c r="AB61" i="11"/>
  <c r="AA61" i="11"/>
  <c r="Z61" i="11"/>
  <c r="Y61" i="11"/>
  <c r="X61" i="11"/>
  <c r="W61" i="11"/>
  <c r="V61" i="11"/>
  <c r="U61" i="11"/>
  <c r="T61" i="11"/>
  <c r="S61" i="11"/>
  <c r="R61" i="11"/>
  <c r="Q61" i="11"/>
  <c r="P61" i="11"/>
  <c r="O61" i="11"/>
  <c r="N61" i="11"/>
  <c r="M61" i="11"/>
  <c r="L61" i="11"/>
  <c r="K61" i="11"/>
  <c r="J61" i="11"/>
  <c r="I61" i="11"/>
  <c r="H61" i="11"/>
  <c r="C61" i="11"/>
  <c r="AG60" i="11"/>
  <c r="AE59" i="11"/>
  <c r="AD59" i="11"/>
  <c r="AC59" i="11"/>
  <c r="AB59" i="11"/>
  <c r="AA59" i="11"/>
  <c r="Z59" i="11"/>
  <c r="Y59" i="11"/>
  <c r="X59" i="11"/>
  <c r="W59" i="11"/>
  <c r="V59" i="11"/>
  <c r="U59" i="11"/>
  <c r="T59" i="11"/>
  <c r="S59" i="11"/>
  <c r="R59" i="11"/>
  <c r="Q59" i="11"/>
  <c r="P59" i="11"/>
  <c r="O59" i="11"/>
  <c r="N59" i="11"/>
  <c r="M59" i="11"/>
  <c r="L59" i="11"/>
  <c r="K59" i="11"/>
  <c r="J59" i="11"/>
  <c r="I59" i="11"/>
  <c r="H59" i="11"/>
  <c r="E59" i="11"/>
  <c r="D59" i="11"/>
  <c r="B59" i="11"/>
  <c r="AE58" i="11"/>
  <c r="AD58" i="11"/>
  <c r="AC58" i="11"/>
  <c r="AB58" i="11"/>
  <c r="AA58" i="11"/>
  <c r="Z58" i="11"/>
  <c r="Y58" i="11"/>
  <c r="X58" i="11"/>
  <c r="W58" i="11"/>
  <c r="V58" i="11"/>
  <c r="U58" i="11"/>
  <c r="T58" i="11"/>
  <c r="S58" i="11"/>
  <c r="R58" i="11"/>
  <c r="Q58" i="11"/>
  <c r="P58" i="11"/>
  <c r="O58" i="11"/>
  <c r="N58" i="11"/>
  <c r="M58" i="11"/>
  <c r="L58" i="11"/>
  <c r="K58" i="11"/>
  <c r="J58" i="11"/>
  <c r="I58" i="11"/>
  <c r="H58" i="11"/>
  <c r="AE57" i="11"/>
  <c r="AD57" i="11"/>
  <c r="AC57" i="11"/>
  <c r="AB57" i="11"/>
  <c r="AA57" i="11"/>
  <c r="Z57" i="11"/>
  <c r="Y57" i="11"/>
  <c r="X57" i="11"/>
  <c r="W57" i="11"/>
  <c r="V57" i="11"/>
  <c r="U57" i="11"/>
  <c r="T57" i="11"/>
  <c r="S57" i="11"/>
  <c r="R57" i="11"/>
  <c r="Q57" i="11"/>
  <c r="P57" i="11"/>
  <c r="O57" i="11"/>
  <c r="N57" i="11"/>
  <c r="M57" i="11"/>
  <c r="L57" i="11"/>
  <c r="K57" i="11"/>
  <c r="J57" i="11"/>
  <c r="I57" i="11"/>
  <c r="H57" i="11"/>
  <c r="E57" i="11"/>
  <c r="D57" i="11"/>
  <c r="B57" i="11"/>
  <c r="AE56" i="11"/>
  <c r="AD56" i="11"/>
  <c r="AC56" i="11"/>
  <c r="AB56" i="11"/>
  <c r="AA56" i="11"/>
  <c r="Z56" i="11"/>
  <c r="Y56" i="11"/>
  <c r="X56" i="11"/>
  <c r="W56" i="11"/>
  <c r="V56" i="11"/>
  <c r="U56" i="11"/>
  <c r="T56" i="11"/>
  <c r="S56" i="11"/>
  <c r="R56" i="11"/>
  <c r="Q56" i="11"/>
  <c r="P56" i="11"/>
  <c r="O56" i="11"/>
  <c r="N56" i="11"/>
  <c r="M56" i="11"/>
  <c r="L56" i="11"/>
  <c r="K56" i="11"/>
  <c r="J56" i="11"/>
  <c r="I56" i="11"/>
  <c r="H56" i="11"/>
  <c r="E56" i="11"/>
  <c r="D56" i="11"/>
  <c r="B56" i="11"/>
  <c r="AG54" i="11"/>
  <c r="AG53" i="11"/>
  <c r="L52" i="11"/>
  <c r="E52" i="11"/>
  <c r="E51" i="11"/>
  <c r="B51" i="11"/>
  <c r="AG51" i="11" s="1"/>
  <c r="AG50" i="11"/>
  <c r="AE49" i="11"/>
  <c r="AD49" i="11"/>
  <c r="AC49" i="11"/>
  <c r="AB49" i="11"/>
  <c r="AA49" i="11"/>
  <c r="Z49" i="11"/>
  <c r="Y49" i="11"/>
  <c r="X49" i="11"/>
  <c r="W49" i="11"/>
  <c r="V49" i="11"/>
  <c r="U49" i="11"/>
  <c r="T49" i="11"/>
  <c r="S49" i="11"/>
  <c r="R49" i="11"/>
  <c r="Q49" i="11"/>
  <c r="P49" i="11"/>
  <c r="O49" i="11"/>
  <c r="N49" i="11"/>
  <c r="M49" i="11"/>
  <c r="K49" i="11"/>
  <c r="J49" i="11"/>
  <c r="I49" i="11"/>
  <c r="H49" i="11"/>
  <c r="AG48" i="11"/>
  <c r="AG47" i="11"/>
  <c r="E46" i="11"/>
  <c r="C46" i="11"/>
  <c r="B46" i="11"/>
  <c r="AG46" i="11" s="1"/>
  <c r="E45" i="11"/>
  <c r="D45" i="11" s="1"/>
  <c r="C45" i="11"/>
  <c r="B45" i="11"/>
  <c r="AG44" i="11"/>
  <c r="AE43" i="11"/>
  <c r="AD43" i="11"/>
  <c r="AC43" i="11"/>
  <c r="AB43" i="11"/>
  <c r="AA43" i="11"/>
  <c r="Z43" i="11"/>
  <c r="Y43" i="11"/>
  <c r="X43" i="11"/>
  <c r="W43" i="11"/>
  <c r="V43" i="11"/>
  <c r="U43" i="11"/>
  <c r="T43" i="11"/>
  <c r="S43" i="11"/>
  <c r="R43" i="11"/>
  <c r="Q43" i="11"/>
  <c r="P43" i="11"/>
  <c r="O43" i="11"/>
  <c r="N43" i="11"/>
  <c r="M43" i="11"/>
  <c r="L43" i="11"/>
  <c r="K43" i="11"/>
  <c r="J43" i="11"/>
  <c r="I43" i="11"/>
  <c r="H43" i="11"/>
  <c r="AG42" i="11"/>
  <c r="AG41" i="11"/>
  <c r="E40" i="11"/>
  <c r="AH40" i="11" s="1"/>
  <c r="C37" i="11"/>
  <c r="B40" i="11"/>
  <c r="AG39" i="11"/>
  <c r="AG38" i="11"/>
  <c r="AE37" i="11"/>
  <c r="AD37" i="11"/>
  <c r="AC37" i="11"/>
  <c r="AB37" i="11"/>
  <c r="AA37" i="11"/>
  <c r="Z37" i="11"/>
  <c r="Y37" i="11"/>
  <c r="X37" i="11"/>
  <c r="W37" i="11"/>
  <c r="V37" i="11"/>
  <c r="U37" i="11"/>
  <c r="T37" i="11"/>
  <c r="S37" i="11"/>
  <c r="R37" i="11"/>
  <c r="Q37" i="11"/>
  <c r="P37" i="11"/>
  <c r="O37" i="11"/>
  <c r="N37" i="11"/>
  <c r="M37" i="11"/>
  <c r="L37" i="11"/>
  <c r="K37" i="11"/>
  <c r="J37" i="11"/>
  <c r="I37" i="11"/>
  <c r="H37" i="11"/>
  <c r="AG36" i="11"/>
  <c r="AG35" i="11"/>
  <c r="E34" i="11"/>
  <c r="AH34" i="11" s="1"/>
  <c r="C31" i="11"/>
  <c r="B34" i="11"/>
  <c r="AG33" i="11"/>
  <c r="AG32" i="11"/>
  <c r="AE31" i="11"/>
  <c r="AD31" i="11"/>
  <c r="AC31" i="11"/>
  <c r="AB31" i="11"/>
  <c r="AA31" i="11"/>
  <c r="Z31" i="11"/>
  <c r="Y31" i="11"/>
  <c r="X31" i="11"/>
  <c r="W31" i="11"/>
  <c r="V31" i="11"/>
  <c r="U31" i="11"/>
  <c r="T31" i="11"/>
  <c r="S31" i="11"/>
  <c r="R31" i="11"/>
  <c r="Q31" i="11"/>
  <c r="P31" i="11"/>
  <c r="O31" i="11"/>
  <c r="N31" i="11"/>
  <c r="M31" i="11"/>
  <c r="L31" i="11"/>
  <c r="K31" i="11"/>
  <c r="J31" i="11"/>
  <c r="I31" i="11"/>
  <c r="H31" i="11"/>
  <c r="AG30" i="11"/>
  <c r="E28" i="11"/>
  <c r="E27" i="11"/>
  <c r="D27" i="11" s="1"/>
  <c r="E26" i="11"/>
  <c r="E20" i="11" s="1"/>
  <c r="AG26" i="11"/>
  <c r="AE25" i="11"/>
  <c r="AD25" i="11"/>
  <c r="AC25" i="11"/>
  <c r="AB25" i="11"/>
  <c r="AA25" i="11"/>
  <c r="Z25" i="11"/>
  <c r="Y25" i="11"/>
  <c r="X25" i="11"/>
  <c r="W25" i="11"/>
  <c r="V25" i="11"/>
  <c r="U25" i="11"/>
  <c r="T25" i="11"/>
  <c r="S25" i="11"/>
  <c r="R25" i="11"/>
  <c r="Q25" i="11"/>
  <c r="P25" i="11"/>
  <c r="O25" i="11"/>
  <c r="N25" i="11"/>
  <c r="M25" i="11"/>
  <c r="L25" i="11"/>
  <c r="K25" i="11"/>
  <c r="J25" i="11"/>
  <c r="I25" i="11"/>
  <c r="H25" i="11"/>
  <c r="AG24" i="11"/>
  <c r="AE23" i="11"/>
  <c r="AD23" i="11"/>
  <c r="AC23" i="11"/>
  <c r="AB23" i="11"/>
  <c r="AA23" i="11"/>
  <c r="Z23" i="11"/>
  <c r="Y23" i="11"/>
  <c r="X23" i="11"/>
  <c r="W23" i="11"/>
  <c r="V23" i="11"/>
  <c r="U23" i="11"/>
  <c r="T23" i="11"/>
  <c r="S23" i="11"/>
  <c r="R23" i="11"/>
  <c r="Q23" i="11"/>
  <c r="P23" i="11"/>
  <c r="O23" i="11"/>
  <c r="N23" i="11"/>
  <c r="M23" i="11"/>
  <c r="L23" i="11"/>
  <c r="K23" i="11"/>
  <c r="J23" i="11"/>
  <c r="I23" i="11"/>
  <c r="H23" i="11"/>
  <c r="E23" i="11"/>
  <c r="D23" i="11"/>
  <c r="B23" i="11"/>
  <c r="AE22" i="11"/>
  <c r="AD22" i="11"/>
  <c r="AC22" i="11"/>
  <c r="AB22" i="11"/>
  <c r="AA22" i="11"/>
  <c r="Z22" i="11"/>
  <c r="Y22" i="11"/>
  <c r="X22" i="11"/>
  <c r="W22" i="11"/>
  <c r="V22" i="11"/>
  <c r="U22" i="11"/>
  <c r="T22" i="11"/>
  <c r="S22" i="11"/>
  <c r="R22" i="11"/>
  <c r="Q22" i="11"/>
  <c r="P22" i="11"/>
  <c r="O22" i="11"/>
  <c r="N22" i="11"/>
  <c r="M22" i="11"/>
  <c r="K22" i="11"/>
  <c r="J22" i="11"/>
  <c r="I22" i="11"/>
  <c r="H22" i="11"/>
  <c r="AE21" i="11"/>
  <c r="AD21" i="11"/>
  <c r="AC21" i="11"/>
  <c r="AB21" i="11"/>
  <c r="AA21" i="11"/>
  <c r="Z21" i="11"/>
  <c r="Y21" i="11"/>
  <c r="X21" i="11"/>
  <c r="W21" i="11"/>
  <c r="V21" i="11"/>
  <c r="U21" i="11"/>
  <c r="T21" i="11"/>
  <c r="S21" i="11"/>
  <c r="R21" i="11"/>
  <c r="Q21" i="11"/>
  <c r="P21" i="11"/>
  <c r="O21" i="11"/>
  <c r="N21" i="11"/>
  <c r="M21" i="11"/>
  <c r="L21" i="11"/>
  <c r="K21" i="11"/>
  <c r="J21" i="11"/>
  <c r="I21" i="11"/>
  <c r="H21" i="11"/>
  <c r="AE20" i="11"/>
  <c r="AD20" i="11"/>
  <c r="AC20" i="11"/>
  <c r="AB20" i="11"/>
  <c r="AA20" i="11"/>
  <c r="Z20" i="11"/>
  <c r="Y20" i="11"/>
  <c r="X20" i="11"/>
  <c r="W20" i="11"/>
  <c r="V20" i="11"/>
  <c r="U20" i="11"/>
  <c r="T20" i="11"/>
  <c r="S20" i="11"/>
  <c r="R20" i="11"/>
  <c r="Q20" i="11"/>
  <c r="P20" i="11"/>
  <c r="O20" i="11"/>
  <c r="N20" i="11"/>
  <c r="M20" i="11"/>
  <c r="L20" i="11"/>
  <c r="K20" i="11"/>
  <c r="J20" i="11"/>
  <c r="I20" i="11"/>
  <c r="H20" i="11"/>
  <c r="AG18" i="11"/>
  <c r="AG17" i="11"/>
  <c r="E16" i="11"/>
  <c r="E141" i="11" s="1"/>
  <c r="C16" i="11"/>
  <c r="B16" i="11"/>
  <c r="E15" i="11"/>
  <c r="C15" i="11"/>
  <c r="B15" i="11"/>
  <c r="E14" i="11"/>
  <c r="E139" i="11" s="1"/>
  <c r="C14" i="11"/>
  <c r="B14" i="11"/>
  <c r="E13" i="11"/>
  <c r="C13" i="11"/>
  <c r="B13" i="11"/>
  <c r="AE12" i="11"/>
  <c r="AD12" i="11"/>
  <c r="AC12" i="11"/>
  <c r="AB12" i="11"/>
  <c r="AA12" i="11"/>
  <c r="Z12" i="11"/>
  <c r="Y12" i="11"/>
  <c r="X12" i="11"/>
  <c r="W12" i="11"/>
  <c r="V12" i="11"/>
  <c r="U12" i="11"/>
  <c r="T12" i="11"/>
  <c r="S12" i="11"/>
  <c r="R12" i="11"/>
  <c r="Q12" i="11"/>
  <c r="P12" i="11"/>
  <c r="O12" i="11"/>
  <c r="N12" i="11"/>
  <c r="M12" i="11"/>
  <c r="L12" i="11"/>
  <c r="K12" i="11"/>
  <c r="J12" i="11"/>
  <c r="I12" i="11"/>
  <c r="H12" i="11"/>
  <c r="AG11" i="11"/>
  <c r="G153" i="10"/>
  <c r="E98" i="10"/>
  <c r="E96" i="10"/>
  <c r="E95" i="10"/>
  <c r="E93" i="10"/>
  <c r="E91" i="10"/>
  <c r="D88" i="10"/>
  <c r="C88" i="10"/>
  <c r="AH88" i="10" s="1"/>
  <c r="B88" i="10"/>
  <c r="E84" i="10"/>
  <c r="B87" i="10"/>
  <c r="D86" i="10"/>
  <c r="C86" i="10"/>
  <c r="AH86" i="10" s="1"/>
  <c r="B86" i="10"/>
  <c r="D85" i="10"/>
  <c r="C85" i="10"/>
  <c r="AH85" i="10" s="1"/>
  <c r="B85" i="10"/>
  <c r="AD84" i="10"/>
  <c r="AB84" i="10"/>
  <c r="Z84" i="10"/>
  <c r="X84" i="10"/>
  <c r="V84" i="10"/>
  <c r="T84" i="10"/>
  <c r="R84" i="10"/>
  <c r="P84" i="10"/>
  <c r="N84" i="10"/>
  <c r="L84" i="10"/>
  <c r="J84" i="10"/>
  <c r="I84" i="10"/>
  <c r="H84" i="10"/>
  <c r="D82" i="10"/>
  <c r="C82" i="10"/>
  <c r="AH82" i="10" s="1"/>
  <c r="B82" i="10"/>
  <c r="E78" i="10"/>
  <c r="B81" i="10"/>
  <c r="D80" i="10"/>
  <c r="C80" i="10"/>
  <c r="AH80" i="10" s="1"/>
  <c r="B80" i="10"/>
  <c r="D79" i="10"/>
  <c r="C79" i="10"/>
  <c r="AH79" i="10" s="1"/>
  <c r="B79" i="10"/>
  <c r="AD78" i="10"/>
  <c r="AB78" i="10"/>
  <c r="Z78" i="10"/>
  <c r="X78" i="10"/>
  <c r="V78" i="10"/>
  <c r="T78" i="10"/>
  <c r="R78" i="10"/>
  <c r="P78" i="10"/>
  <c r="N78" i="10"/>
  <c r="L78" i="10"/>
  <c r="J78" i="10"/>
  <c r="I78" i="10"/>
  <c r="H78" i="10"/>
  <c r="D76" i="10"/>
  <c r="C76" i="10"/>
  <c r="AH76" i="10" s="1"/>
  <c r="B76" i="10"/>
  <c r="B75" i="10"/>
  <c r="D74" i="10"/>
  <c r="C74" i="10"/>
  <c r="AH74" i="10" s="1"/>
  <c r="B74" i="10"/>
  <c r="D73" i="10"/>
  <c r="C73" i="10"/>
  <c r="AH73" i="10" s="1"/>
  <c r="B73" i="10"/>
  <c r="AE72" i="10"/>
  <c r="AD72" i="10"/>
  <c r="AD71" i="10" s="1"/>
  <c r="AC72" i="10"/>
  <c r="AB72" i="10"/>
  <c r="AB71" i="10" s="1"/>
  <c r="AA72" i="10"/>
  <c r="Z72" i="10"/>
  <c r="Z71" i="10" s="1"/>
  <c r="Y72" i="10"/>
  <c r="X72" i="10"/>
  <c r="X71" i="10" s="1"/>
  <c r="W72" i="10"/>
  <c r="V72" i="10"/>
  <c r="V71" i="10" s="1"/>
  <c r="U72" i="10"/>
  <c r="T72" i="10"/>
  <c r="T71" i="10" s="1"/>
  <c r="S72" i="10"/>
  <c r="R72" i="10"/>
  <c r="R71" i="10" s="1"/>
  <c r="Q72" i="10"/>
  <c r="P72" i="10"/>
  <c r="P71" i="10" s="1"/>
  <c r="O72" i="10"/>
  <c r="N72" i="10"/>
  <c r="N71" i="10" s="1"/>
  <c r="L72" i="10"/>
  <c r="L71" i="10" s="1"/>
  <c r="J72" i="10"/>
  <c r="J71" i="10" s="1"/>
  <c r="I72" i="10"/>
  <c r="I71" i="10" s="1"/>
  <c r="H72" i="10"/>
  <c r="H71" i="10" s="1"/>
  <c r="AE70" i="10"/>
  <c r="AD70" i="10"/>
  <c r="AC70" i="10"/>
  <c r="AB70" i="10"/>
  <c r="AA70" i="10"/>
  <c r="Z70" i="10"/>
  <c r="Y70" i="10"/>
  <c r="X70" i="10"/>
  <c r="W70" i="10"/>
  <c r="V70" i="10"/>
  <c r="U70" i="10"/>
  <c r="T70" i="10"/>
  <c r="S70" i="10"/>
  <c r="R70" i="10"/>
  <c r="Q70" i="10"/>
  <c r="P70" i="10"/>
  <c r="O70" i="10"/>
  <c r="N70" i="10"/>
  <c r="M70" i="10"/>
  <c r="L70" i="10"/>
  <c r="K70" i="10"/>
  <c r="J70" i="10"/>
  <c r="I70" i="10"/>
  <c r="H70" i="10"/>
  <c r="D70" i="10"/>
  <c r="AE69" i="10"/>
  <c r="AD69" i="10"/>
  <c r="AC69" i="10"/>
  <c r="AB69" i="10"/>
  <c r="AA69" i="10"/>
  <c r="Z69" i="10"/>
  <c r="Y69" i="10"/>
  <c r="X69" i="10"/>
  <c r="W69" i="10"/>
  <c r="V69" i="10"/>
  <c r="U69" i="10"/>
  <c r="T69" i="10"/>
  <c r="S69" i="10"/>
  <c r="R69" i="10"/>
  <c r="Q69" i="10"/>
  <c r="P69" i="10"/>
  <c r="O69" i="10"/>
  <c r="N69" i="10"/>
  <c r="M69" i="10"/>
  <c r="L69" i="10"/>
  <c r="K69" i="10"/>
  <c r="J69" i="10"/>
  <c r="C69" i="10" s="1"/>
  <c r="AE68" i="10"/>
  <c r="AD68" i="10"/>
  <c r="AC68" i="10"/>
  <c r="AB68" i="10"/>
  <c r="AA68" i="10"/>
  <c r="Z68" i="10"/>
  <c r="Y68" i="10"/>
  <c r="X68" i="10"/>
  <c r="W68" i="10"/>
  <c r="V68" i="10"/>
  <c r="U68" i="10"/>
  <c r="T68" i="10"/>
  <c r="S68" i="10"/>
  <c r="R68" i="10"/>
  <c r="Q68" i="10"/>
  <c r="P68" i="10"/>
  <c r="O68" i="10"/>
  <c r="N68" i="10"/>
  <c r="M68" i="10"/>
  <c r="L68" i="10"/>
  <c r="K68" i="10"/>
  <c r="J68" i="10"/>
  <c r="I68" i="10"/>
  <c r="H68" i="10"/>
  <c r="D68" i="10"/>
  <c r="AE67" i="10"/>
  <c r="AD67" i="10"/>
  <c r="AC67" i="10"/>
  <c r="AB67" i="10"/>
  <c r="AA67" i="10"/>
  <c r="Z67" i="10"/>
  <c r="Y67" i="10"/>
  <c r="X67" i="10"/>
  <c r="W67" i="10"/>
  <c r="V67" i="10"/>
  <c r="U67" i="10"/>
  <c r="T67" i="10"/>
  <c r="S67" i="10"/>
  <c r="R67" i="10"/>
  <c r="Q67" i="10"/>
  <c r="P67" i="10"/>
  <c r="O67" i="10"/>
  <c r="N67" i="10"/>
  <c r="M67" i="10"/>
  <c r="L67" i="10"/>
  <c r="K67" i="10"/>
  <c r="J67" i="10"/>
  <c r="I67" i="10"/>
  <c r="H67" i="10"/>
  <c r="D67" i="10"/>
  <c r="D62" i="10"/>
  <c r="C62" i="10"/>
  <c r="AH62" i="10" s="1"/>
  <c r="B62" i="10"/>
  <c r="G61" i="10"/>
  <c r="B61" i="10"/>
  <c r="D60" i="10"/>
  <c r="C60" i="10"/>
  <c r="AH60" i="10" s="1"/>
  <c r="B60" i="10"/>
  <c r="D59" i="10"/>
  <c r="C59" i="10"/>
  <c r="AH59" i="10" s="1"/>
  <c r="B59" i="10"/>
  <c r="AD58" i="10"/>
  <c r="AB58" i="10"/>
  <c r="Z58" i="10"/>
  <c r="X58" i="10"/>
  <c r="V58" i="10"/>
  <c r="T58" i="10"/>
  <c r="R58" i="10"/>
  <c r="P58" i="10"/>
  <c r="N58" i="10"/>
  <c r="L58" i="10"/>
  <c r="L57" i="10" s="1"/>
  <c r="J58" i="10"/>
  <c r="J57" i="10" s="1"/>
  <c r="I58" i="10"/>
  <c r="I57" i="10" s="1"/>
  <c r="H58" i="10"/>
  <c r="H57" i="10" s="1"/>
  <c r="D56" i="10"/>
  <c r="C56" i="10"/>
  <c r="AH56" i="10" s="1"/>
  <c r="B56" i="10"/>
  <c r="D55" i="10"/>
  <c r="B55" i="10"/>
  <c r="D54" i="10"/>
  <c r="C54" i="10"/>
  <c r="AH54" i="10" s="1"/>
  <c r="B54" i="10"/>
  <c r="D53" i="10"/>
  <c r="C53" i="10"/>
  <c r="AH53" i="10" s="1"/>
  <c r="B53" i="10"/>
  <c r="AD52" i="10"/>
  <c r="AD51" i="10" s="1"/>
  <c r="AB52" i="10"/>
  <c r="AB51" i="10" s="1"/>
  <c r="Z52" i="10"/>
  <c r="Z51" i="10" s="1"/>
  <c r="X52" i="10"/>
  <c r="X51" i="10" s="1"/>
  <c r="V52" i="10"/>
  <c r="V51" i="10" s="1"/>
  <c r="T52" i="10"/>
  <c r="T51" i="10" s="1"/>
  <c r="R52" i="10"/>
  <c r="R51" i="10" s="1"/>
  <c r="P52" i="10"/>
  <c r="P51" i="10" s="1"/>
  <c r="N52" i="10"/>
  <c r="N51" i="10" s="1"/>
  <c r="L52" i="10"/>
  <c r="L51" i="10" s="1"/>
  <c r="J52" i="10"/>
  <c r="J51" i="10" s="1"/>
  <c r="H52" i="10"/>
  <c r="H51" i="10" s="1"/>
  <c r="I51" i="10"/>
  <c r="AE50" i="10"/>
  <c r="AD50" i="10"/>
  <c r="AC50" i="10"/>
  <c r="AB50" i="10"/>
  <c r="AA50" i="10"/>
  <c r="Z50" i="10"/>
  <c r="Y50" i="10"/>
  <c r="X50" i="10"/>
  <c r="W50" i="10"/>
  <c r="V50" i="10"/>
  <c r="U50" i="10"/>
  <c r="T50" i="10"/>
  <c r="S50" i="10"/>
  <c r="R50" i="10"/>
  <c r="Q50" i="10"/>
  <c r="P50" i="10"/>
  <c r="O50" i="10"/>
  <c r="N50" i="10"/>
  <c r="M50" i="10"/>
  <c r="L50" i="10"/>
  <c r="K50" i="10"/>
  <c r="J50" i="10"/>
  <c r="I50" i="10"/>
  <c r="H50" i="10"/>
  <c r="D50" i="10"/>
  <c r="AE49" i="10"/>
  <c r="AD49" i="10"/>
  <c r="AC49" i="10"/>
  <c r="AB49" i="10"/>
  <c r="AA49" i="10"/>
  <c r="Z49" i="10"/>
  <c r="Y49" i="10"/>
  <c r="X49" i="10"/>
  <c r="W49" i="10"/>
  <c r="V49" i="10"/>
  <c r="U49" i="10"/>
  <c r="T49" i="10"/>
  <c r="S49" i="10"/>
  <c r="R49" i="10"/>
  <c r="Q49" i="10"/>
  <c r="P49" i="10"/>
  <c r="O49" i="10"/>
  <c r="N49" i="10"/>
  <c r="M49" i="10"/>
  <c r="L49" i="10"/>
  <c r="J49" i="10"/>
  <c r="I49" i="10"/>
  <c r="H49" i="10"/>
  <c r="AE48" i="10"/>
  <c r="AD48" i="10"/>
  <c r="AC48" i="10"/>
  <c r="AB48" i="10"/>
  <c r="AA48" i="10"/>
  <c r="Z48" i="10"/>
  <c r="Y48" i="10"/>
  <c r="X48" i="10"/>
  <c r="W48" i="10"/>
  <c r="V48" i="10"/>
  <c r="U48" i="10"/>
  <c r="T48" i="10"/>
  <c r="S48" i="10"/>
  <c r="R48" i="10"/>
  <c r="Q48" i="10"/>
  <c r="P48" i="10"/>
  <c r="O48" i="10"/>
  <c r="N48" i="10"/>
  <c r="M48" i="10"/>
  <c r="L48" i="10"/>
  <c r="K48" i="10"/>
  <c r="J48" i="10"/>
  <c r="I48" i="10"/>
  <c r="H48" i="10"/>
  <c r="D48" i="10"/>
  <c r="AE47" i="10"/>
  <c r="AD47" i="10"/>
  <c r="AC47" i="10"/>
  <c r="AB47" i="10"/>
  <c r="AA47" i="10"/>
  <c r="Z47" i="10"/>
  <c r="Y47" i="10"/>
  <c r="X47" i="10"/>
  <c r="W47" i="10"/>
  <c r="V47" i="10"/>
  <c r="U47" i="10"/>
  <c r="T47" i="10"/>
  <c r="S47" i="10"/>
  <c r="R47" i="10"/>
  <c r="Q47" i="10"/>
  <c r="P47" i="10"/>
  <c r="O47" i="10"/>
  <c r="N47" i="10"/>
  <c r="M47" i="10"/>
  <c r="L47" i="10"/>
  <c r="K47" i="10"/>
  <c r="J47" i="10"/>
  <c r="I47" i="10"/>
  <c r="H47" i="10"/>
  <c r="D47" i="10"/>
  <c r="D42" i="10"/>
  <c r="C42" i="10"/>
  <c r="AH42" i="10" s="1"/>
  <c r="B42" i="10"/>
  <c r="AG42" i="10" s="1"/>
  <c r="E41" i="10"/>
  <c r="E38" i="10" s="1"/>
  <c r="E37" i="10" s="1"/>
  <c r="D41" i="10"/>
  <c r="C41" i="10"/>
  <c r="B41" i="10"/>
  <c r="AG41" i="10" s="1"/>
  <c r="D40" i="10"/>
  <c r="C40" i="10"/>
  <c r="AH40" i="10" s="1"/>
  <c r="B40" i="10"/>
  <c r="AG40" i="10" s="1"/>
  <c r="D39" i="10"/>
  <c r="C39" i="10"/>
  <c r="AH39" i="10" s="1"/>
  <c r="B39" i="10"/>
  <c r="AG39" i="10" s="1"/>
  <c r="AD38" i="10"/>
  <c r="AD37" i="10" s="1"/>
  <c r="AB38" i="10"/>
  <c r="AB37" i="10" s="1"/>
  <c r="Z38" i="10"/>
  <c r="Z37" i="10" s="1"/>
  <c r="X38" i="10"/>
  <c r="X37" i="10" s="1"/>
  <c r="V38" i="10"/>
  <c r="V37" i="10" s="1"/>
  <c r="T38" i="10"/>
  <c r="T37" i="10" s="1"/>
  <c r="R38" i="10"/>
  <c r="R37" i="10" s="1"/>
  <c r="P38" i="10"/>
  <c r="P37" i="10" s="1"/>
  <c r="N38" i="10"/>
  <c r="N37" i="10" s="1"/>
  <c r="L38" i="10"/>
  <c r="L37" i="10" s="1"/>
  <c r="J38" i="10"/>
  <c r="J37" i="10" s="1"/>
  <c r="I38" i="10"/>
  <c r="I37" i="10" s="1"/>
  <c r="H38" i="10"/>
  <c r="H37" i="10" s="1"/>
  <c r="G38" i="10"/>
  <c r="F38" i="10"/>
  <c r="F37" i="10" s="1"/>
  <c r="D36" i="10"/>
  <c r="C36" i="10"/>
  <c r="AH36" i="10" s="1"/>
  <c r="B36" i="10"/>
  <c r="E35" i="10"/>
  <c r="D35" i="10"/>
  <c r="C35" i="10"/>
  <c r="B35" i="10"/>
  <c r="AG35" i="10" s="1"/>
  <c r="D34" i="10"/>
  <c r="C34" i="10"/>
  <c r="AH34" i="10" s="1"/>
  <c r="B34" i="10"/>
  <c r="AG34" i="10" s="1"/>
  <c r="D33" i="10"/>
  <c r="C33" i="10"/>
  <c r="AH33" i="10" s="1"/>
  <c r="B33" i="10"/>
  <c r="AG33" i="10" s="1"/>
  <c r="AD32" i="10"/>
  <c r="AD31" i="10" s="1"/>
  <c r="AB32" i="10"/>
  <c r="AB31" i="10" s="1"/>
  <c r="Z32" i="10"/>
  <c r="Z31" i="10" s="1"/>
  <c r="X32" i="10"/>
  <c r="X31" i="10" s="1"/>
  <c r="V32" i="10"/>
  <c r="V31" i="10" s="1"/>
  <c r="T32" i="10"/>
  <c r="T31" i="10" s="1"/>
  <c r="R32" i="10"/>
  <c r="R31" i="10" s="1"/>
  <c r="P32" i="10"/>
  <c r="P31" i="10" s="1"/>
  <c r="N32" i="10"/>
  <c r="N31" i="10" s="1"/>
  <c r="L32" i="10"/>
  <c r="L31" i="10" s="1"/>
  <c r="J32" i="10"/>
  <c r="J31" i="10" s="1"/>
  <c r="I32" i="10"/>
  <c r="I31" i="10" s="1"/>
  <c r="H32" i="10"/>
  <c r="H31" i="10" s="1"/>
  <c r="F32" i="10"/>
  <c r="F31" i="10" s="1"/>
  <c r="E32" i="10"/>
  <c r="E31" i="10" s="1"/>
  <c r="AG30" i="10"/>
  <c r="AG29" i="10"/>
  <c r="D28" i="10"/>
  <c r="C28" i="10"/>
  <c r="AH28" i="10" s="1"/>
  <c r="B28" i="10"/>
  <c r="AG28" i="10" s="1"/>
  <c r="B27" i="10"/>
  <c r="AG27" i="10" s="1"/>
  <c r="D26" i="10"/>
  <c r="C26" i="10"/>
  <c r="AH26" i="10" s="1"/>
  <c r="B26" i="10"/>
  <c r="AG26" i="10" s="1"/>
  <c r="D25" i="10"/>
  <c r="C25" i="10"/>
  <c r="AH25" i="10" s="1"/>
  <c r="B25" i="10"/>
  <c r="AG25" i="10" s="1"/>
  <c r="AD24" i="10"/>
  <c r="AB24" i="10"/>
  <c r="Z24" i="10"/>
  <c r="X24" i="10"/>
  <c r="V24" i="10"/>
  <c r="T24" i="10"/>
  <c r="R24" i="10"/>
  <c r="P24" i="10"/>
  <c r="N24" i="10"/>
  <c r="L24" i="10"/>
  <c r="J24" i="10"/>
  <c r="I24" i="10"/>
  <c r="H24" i="10"/>
  <c r="AG23" i="10"/>
  <c r="D22" i="10"/>
  <c r="D20" i="10"/>
  <c r="D19" i="10"/>
  <c r="AD18" i="10"/>
  <c r="AB18" i="10"/>
  <c r="Z18" i="10"/>
  <c r="X18" i="10"/>
  <c r="V18" i="10"/>
  <c r="T18" i="10"/>
  <c r="R18" i="10"/>
  <c r="P18" i="10"/>
  <c r="N18" i="10"/>
  <c r="L18" i="10"/>
  <c r="J18" i="10"/>
  <c r="AG17" i="10"/>
  <c r="AE16" i="10"/>
  <c r="AD16" i="10"/>
  <c r="AC16" i="10"/>
  <c r="AB16" i="10"/>
  <c r="AA16" i="10"/>
  <c r="Z16" i="10"/>
  <c r="Y16" i="10"/>
  <c r="X16" i="10"/>
  <c r="W16" i="10"/>
  <c r="V16" i="10"/>
  <c r="U16" i="10"/>
  <c r="T16" i="10"/>
  <c r="S16" i="10"/>
  <c r="R16" i="10"/>
  <c r="Q16" i="10"/>
  <c r="P16" i="10"/>
  <c r="O16" i="10"/>
  <c r="N16" i="10"/>
  <c r="M16" i="10"/>
  <c r="L16" i="10"/>
  <c r="K16" i="10"/>
  <c r="J16" i="10"/>
  <c r="AE15" i="10"/>
  <c r="AD15" i="10"/>
  <c r="AC15" i="10"/>
  <c r="AB15" i="10"/>
  <c r="AA15" i="10"/>
  <c r="Z15" i="10"/>
  <c r="Y15" i="10"/>
  <c r="X15" i="10"/>
  <c r="W15" i="10"/>
  <c r="V15" i="10"/>
  <c r="U15" i="10"/>
  <c r="T15" i="10"/>
  <c r="S15" i="10"/>
  <c r="R15" i="10"/>
  <c r="Q15" i="10"/>
  <c r="P15" i="10"/>
  <c r="O15" i="10"/>
  <c r="N15" i="10"/>
  <c r="M15" i="10"/>
  <c r="L15" i="10"/>
  <c r="K15" i="10"/>
  <c r="J15" i="10"/>
  <c r="E15" i="10"/>
  <c r="AE14" i="10"/>
  <c r="AD14" i="10"/>
  <c r="AC14" i="10"/>
  <c r="AB14" i="10"/>
  <c r="AA14" i="10"/>
  <c r="Z14" i="10"/>
  <c r="Y14" i="10"/>
  <c r="X14" i="10"/>
  <c r="W14" i="10"/>
  <c r="V14" i="10"/>
  <c r="U14" i="10"/>
  <c r="T14" i="10"/>
  <c r="S14" i="10"/>
  <c r="R14" i="10"/>
  <c r="Q14" i="10"/>
  <c r="P14" i="10"/>
  <c r="O14" i="10"/>
  <c r="N14" i="10"/>
  <c r="M14" i="10"/>
  <c r="L14" i="10"/>
  <c r="K14" i="10"/>
  <c r="J14" i="10"/>
  <c r="AE13" i="10"/>
  <c r="AD13" i="10"/>
  <c r="AC13" i="10"/>
  <c r="AB13" i="10"/>
  <c r="AA13" i="10"/>
  <c r="Z13" i="10"/>
  <c r="Z90" i="10" s="1"/>
  <c r="Y13" i="10"/>
  <c r="X13" i="10"/>
  <c r="X90" i="10" s="1"/>
  <c r="W13" i="10"/>
  <c r="W90" i="10" s="1"/>
  <c r="V13" i="10"/>
  <c r="U13" i="10"/>
  <c r="T13" i="10"/>
  <c r="S13" i="10"/>
  <c r="R13" i="10"/>
  <c r="R90" i="10" s="1"/>
  <c r="Q13" i="10"/>
  <c r="P13" i="10"/>
  <c r="P90" i="10" s="1"/>
  <c r="O13" i="10"/>
  <c r="O90" i="10" s="1"/>
  <c r="N13" i="10"/>
  <c r="M13" i="10"/>
  <c r="L13" i="10"/>
  <c r="K13" i="10"/>
  <c r="J13" i="10"/>
  <c r="J90" i="10" s="1"/>
  <c r="G143" i="9"/>
  <c r="G94" i="9"/>
  <c r="F94" i="9"/>
  <c r="C78" i="9"/>
  <c r="B78" i="9"/>
  <c r="C77" i="9"/>
  <c r="B77" i="9"/>
  <c r="AG77" i="9" s="1"/>
  <c r="E76" i="9"/>
  <c r="D76" i="9" s="1"/>
  <c r="D81" i="9" s="1"/>
  <c r="C76" i="9"/>
  <c r="C81" i="9" s="1"/>
  <c r="B76" i="9"/>
  <c r="AG76" i="9" s="1"/>
  <c r="E75" i="9"/>
  <c r="C75" i="9"/>
  <c r="C80" i="9" s="1"/>
  <c r="B75" i="9"/>
  <c r="AG75" i="9" s="1"/>
  <c r="AD74" i="9"/>
  <c r="AD73" i="9" s="1"/>
  <c r="AB74" i="9"/>
  <c r="AB73" i="9" s="1"/>
  <c r="Z74" i="9"/>
  <c r="Z73" i="9" s="1"/>
  <c r="X74" i="9"/>
  <c r="X73" i="9" s="1"/>
  <c r="V74" i="9"/>
  <c r="V73" i="9" s="1"/>
  <c r="T74" i="9"/>
  <c r="T73" i="9" s="1"/>
  <c r="R74" i="9"/>
  <c r="R73" i="9" s="1"/>
  <c r="P74" i="9"/>
  <c r="P73" i="9" s="1"/>
  <c r="N74" i="9"/>
  <c r="N73" i="9" s="1"/>
  <c r="L74" i="9"/>
  <c r="L73" i="9" s="1"/>
  <c r="J74" i="9"/>
  <c r="J73" i="9" s="1"/>
  <c r="I74" i="9"/>
  <c r="I73" i="9" s="1"/>
  <c r="H74" i="9"/>
  <c r="H73" i="9" s="1"/>
  <c r="D72" i="9"/>
  <c r="C72" i="9"/>
  <c r="B72" i="9"/>
  <c r="AG72" i="9" s="1"/>
  <c r="E71" i="9"/>
  <c r="D71" i="9" s="1"/>
  <c r="C71" i="9"/>
  <c r="B71" i="9"/>
  <c r="D70" i="9"/>
  <c r="C70" i="9"/>
  <c r="B70" i="9"/>
  <c r="AG70" i="9" s="1"/>
  <c r="D69" i="9"/>
  <c r="C69" i="9"/>
  <c r="B69" i="9"/>
  <c r="AG69" i="9" s="1"/>
  <c r="AD68" i="9"/>
  <c r="AB68" i="9"/>
  <c r="AB67" i="9" s="1"/>
  <c r="Z68" i="9"/>
  <c r="Z67" i="9" s="1"/>
  <c r="X68" i="9"/>
  <c r="X67" i="9" s="1"/>
  <c r="V68" i="9"/>
  <c r="V67" i="9" s="1"/>
  <c r="T68" i="9"/>
  <c r="T67" i="9" s="1"/>
  <c r="R68" i="9"/>
  <c r="R67" i="9" s="1"/>
  <c r="P68" i="9"/>
  <c r="P67" i="9" s="1"/>
  <c r="N68" i="9"/>
  <c r="N67" i="9" s="1"/>
  <c r="L68" i="9"/>
  <c r="L67" i="9" s="1"/>
  <c r="J68" i="9"/>
  <c r="J67" i="9" s="1"/>
  <c r="I68" i="9"/>
  <c r="I67" i="9" s="1"/>
  <c r="H68" i="9"/>
  <c r="H67" i="9" s="1"/>
  <c r="D66" i="9"/>
  <c r="C66" i="9"/>
  <c r="B66" i="9"/>
  <c r="AG66" i="9" s="1"/>
  <c r="E65" i="9"/>
  <c r="E62" i="9" s="1"/>
  <c r="E61" i="9" s="1"/>
  <c r="C65" i="9"/>
  <c r="B65" i="9"/>
  <c r="AG65" i="9" s="1"/>
  <c r="D64" i="9"/>
  <c r="C64" i="9"/>
  <c r="B64" i="9"/>
  <c r="AG64" i="9" s="1"/>
  <c r="D63" i="9"/>
  <c r="C63" i="9"/>
  <c r="B63" i="9"/>
  <c r="AG63" i="9" s="1"/>
  <c r="AD62" i="9"/>
  <c r="AB62" i="9"/>
  <c r="AB61" i="9" s="1"/>
  <c r="Z62" i="9"/>
  <c r="Z61" i="9" s="1"/>
  <c r="X62" i="9"/>
  <c r="X61" i="9" s="1"/>
  <c r="V62" i="9"/>
  <c r="V61" i="9" s="1"/>
  <c r="T62" i="9"/>
  <c r="T61" i="9" s="1"/>
  <c r="R62" i="9"/>
  <c r="R61" i="9" s="1"/>
  <c r="P62" i="9"/>
  <c r="P61" i="9" s="1"/>
  <c r="N62" i="9"/>
  <c r="N61" i="9" s="1"/>
  <c r="L62" i="9"/>
  <c r="J62" i="9"/>
  <c r="J61" i="9" s="1"/>
  <c r="I62" i="9"/>
  <c r="I61" i="9" s="1"/>
  <c r="H62" i="9"/>
  <c r="H61" i="9" s="1"/>
  <c r="L61" i="9"/>
  <c r="D60" i="9"/>
  <c r="C60" i="9"/>
  <c r="B60" i="9"/>
  <c r="H59" i="9"/>
  <c r="B59" i="9" s="1"/>
  <c r="E59" i="9"/>
  <c r="E56" i="9" s="1"/>
  <c r="E55" i="9" s="1"/>
  <c r="D58" i="9"/>
  <c r="C58" i="9"/>
  <c r="B58" i="9"/>
  <c r="AG58" i="9" s="1"/>
  <c r="D57" i="9"/>
  <c r="C57" i="9"/>
  <c r="B57" i="9"/>
  <c r="AG57" i="9" s="1"/>
  <c r="AD56" i="9"/>
  <c r="AB56" i="9"/>
  <c r="Z56" i="9"/>
  <c r="X56" i="9"/>
  <c r="V56" i="9"/>
  <c r="T56" i="9"/>
  <c r="R56" i="9"/>
  <c r="P56" i="9"/>
  <c r="N56" i="9"/>
  <c r="L56" i="9"/>
  <c r="J56" i="9"/>
  <c r="J55" i="9" s="1"/>
  <c r="I56" i="9"/>
  <c r="I55" i="9" s="1"/>
  <c r="H56" i="9"/>
  <c r="H55" i="9" s="1"/>
  <c r="D54" i="9"/>
  <c r="C54" i="9"/>
  <c r="B54" i="9"/>
  <c r="AG54" i="9" s="1"/>
  <c r="Z53" i="9"/>
  <c r="Z50" i="9" s="1"/>
  <c r="R53" i="9"/>
  <c r="R35" i="9" s="1"/>
  <c r="J53" i="9"/>
  <c r="J35" i="9" s="1"/>
  <c r="H53" i="9"/>
  <c r="E53" i="9"/>
  <c r="D53" i="9" s="1"/>
  <c r="D52" i="9"/>
  <c r="C52" i="9"/>
  <c r="B52" i="9"/>
  <c r="AG52" i="9" s="1"/>
  <c r="D51" i="9"/>
  <c r="C51" i="9"/>
  <c r="B51" i="9"/>
  <c r="AD50" i="9"/>
  <c r="AB50" i="9"/>
  <c r="X50" i="9"/>
  <c r="V50" i="9"/>
  <c r="T50" i="9"/>
  <c r="P50" i="9"/>
  <c r="N50" i="9"/>
  <c r="L50" i="9"/>
  <c r="I50" i="9"/>
  <c r="I49" i="9" s="1"/>
  <c r="D48" i="9"/>
  <c r="C48" i="9"/>
  <c r="B48" i="9"/>
  <c r="AG48" i="9" s="1"/>
  <c r="E47" i="9"/>
  <c r="E44" i="9" s="1"/>
  <c r="E43" i="9" s="1"/>
  <c r="C47" i="9"/>
  <c r="B47" i="9"/>
  <c r="AG47" i="9" s="1"/>
  <c r="D46" i="9"/>
  <c r="C46" i="9"/>
  <c r="B46" i="9"/>
  <c r="AG46" i="9" s="1"/>
  <c r="D45" i="9"/>
  <c r="C45" i="9"/>
  <c r="B45" i="9"/>
  <c r="AD44" i="9"/>
  <c r="AB44" i="9"/>
  <c r="Z44" i="9"/>
  <c r="X44" i="9"/>
  <c r="V44" i="9"/>
  <c r="T44" i="9"/>
  <c r="R44" i="9"/>
  <c r="P44" i="9"/>
  <c r="N44" i="9"/>
  <c r="L44" i="9"/>
  <c r="J44" i="9"/>
  <c r="J43" i="9" s="1"/>
  <c r="I44" i="9"/>
  <c r="I43" i="9" s="1"/>
  <c r="H44" i="9"/>
  <c r="H43" i="9" s="1"/>
  <c r="D42" i="9"/>
  <c r="C42" i="9"/>
  <c r="B42" i="9"/>
  <c r="AG42" i="9" s="1"/>
  <c r="E41" i="9"/>
  <c r="D41" i="9" s="1"/>
  <c r="C41" i="9"/>
  <c r="B41" i="9"/>
  <c r="AG41" i="9" s="1"/>
  <c r="D40" i="9"/>
  <c r="C40" i="9"/>
  <c r="B40" i="9"/>
  <c r="D39" i="9"/>
  <c r="C39" i="9"/>
  <c r="B39" i="9"/>
  <c r="AG39" i="9" s="1"/>
  <c r="AD38" i="9"/>
  <c r="AD37" i="9" s="1"/>
  <c r="AB38" i="9"/>
  <c r="AB37" i="9" s="1"/>
  <c r="Z38" i="9"/>
  <c r="Z37" i="9" s="1"/>
  <c r="X38" i="9"/>
  <c r="X37" i="9" s="1"/>
  <c r="V38" i="9"/>
  <c r="V37" i="9" s="1"/>
  <c r="T38" i="9"/>
  <c r="T37" i="9" s="1"/>
  <c r="R38" i="9"/>
  <c r="R37" i="9" s="1"/>
  <c r="P38" i="9"/>
  <c r="P37" i="9" s="1"/>
  <c r="N38" i="9"/>
  <c r="N37" i="9" s="1"/>
  <c r="L38" i="9"/>
  <c r="L37" i="9" s="1"/>
  <c r="J38" i="9"/>
  <c r="J37" i="9" s="1"/>
  <c r="I38" i="9"/>
  <c r="I37" i="9" s="1"/>
  <c r="H38" i="9"/>
  <c r="H37" i="9" s="1"/>
  <c r="AE36" i="9"/>
  <c r="AD36" i="9"/>
  <c r="AC36" i="9"/>
  <c r="AB36" i="9"/>
  <c r="AA36" i="9"/>
  <c r="Z36" i="9"/>
  <c r="Y36" i="9"/>
  <c r="X36" i="9"/>
  <c r="W36" i="9"/>
  <c r="V36" i="9"/>
  <c r="U36" i="9"/>
  <c r="T36" i="9"/>
  <c r="S36" i="9"/>
  <c r="R36" i="9"/>
  <c r="Q36" i="9"/>
  <c r="P36" i="9"/>
  <c r="O36" i="9"/>
  <c r="N36" i="9"/>
  <c r="M36" i="9"/>
  <c r="L36" i="9"/>
  <c r="K36" i="9"/>
  <c r="J36" i="9"/>
  <c r="I36" i="9"/>
  <c r="H36" i="9"/>
  <c r="E36" i="9"/>
  <c r="AE35" i="9"/>
  <c r="AD35" i="9"/>
  <c r="AC35" i="9"/>
  <c r="AB35" i="9"/>
  <c r="AA35" i="9"/>
  <c r="Z35" i="9"/>
  <c r="Y35" i="9"/>
  <c r="X35" i="9"/>
  <c r="W35" i="9"/>
  <c r="V35" i="9"/>
  <c r="U35" i="9"/>
  <c r="T35" i="9"/>
  <c r="S35" i="9"/>
  <c r="Q35" i="9"/>
  <c r="P35" i="9"/>
  <c r="O35" i="9"/>
  <c r="N35" i="9"/>
  <c r="M35" i="9"/>
  <c r="L35" i="9"/>
  <c r="K35" i="9"/>
  <c r="I35" i="9"/>
  <c r="AE34" i="9"/>
  <c r="AD34" i="9"/>
  <c r="AC34" i="9"/>
  <c r="AB34" i="9"/>
  <c r="AA34" i="9"/>
  <c r="Z34" i="9"/>
  <c r="Y34" i="9"/>
  <c r="X34" i="9"/>
  <c r="W34" i="9"/>
  <c r="V34" i="9"/>
  <c r="U34" i="9"/>
  <c r="T34" i="9"/>
  <c r="S34" i="9"/>
  <c r="R34" i="9"/>
  <c r="Q34" i="9"/>
  <c r="P34" i="9"/>
  <c r="O34" i="9"/>
  <c r="N34" i="9"/>
  <c r="M34" i="9"/>
  <c r="L34" i="9"/>
  <c r="K34" i="9"/>
  <c r="J34" i="9"/>
  <c r="I34" i="9"/>
  <c r="H34" i="9"/>
  <c r="E34" i="9"/>
  <c r="AE33" i="9"/>
  <c r="AD33" i="9"/>
  <c r="AC33" i="9"/>
  <c r="AB33" i="9"/>
  <c r="AA33" i="9"/>
  <c r="Z33" i="9"/>
  <c r="Y33" i="9"/>
  <c r="X33" i="9"/>
  <c r="W33" i="9"/>
  <c r="V33" i="9"/>
  <c r="U33" i="9"/>
  <c r="T33" i="9"/>
  <c r="S33" i="9"/>
  <c r="R33" i="9"/>
  <c r="Q33" i="9"/>
  <c r="P33" i="9"/>
  <c r="O33" i="9"/>
  <c r="N33" i="9"/>
  <c r="M33" i="9"/>
  <c r="L33" i="9"/>
  <c r="K33" i="9"/>
  <c r="J33" i="9"/>
  <c r="I33" i="9"/>
  <c r="H33" i="9"/>
  <c r="E33" i="9"/>
  <c r="D30" i="9"/>
  <c r="C30" i="9"/>
  <c r="B30" i="9"/>
  <c r="E29" i="9"/>
  <c r="E26" i="9" s="1"/>
  <c r="E25" i="9" s="1"/>
  <c r="D29" i="9"/>
  <c r="C29" i="9"/>
  <c r="B29" i="9"/>
  <c r="AG29" i="9" s="1"/>
  <c r="D28" i="9"/>
  <c r="C28" i="9"/>
  <c r="B28" i="9"/>
  <c r="AG28" i="9" s="1"/>
  <c r="D27" i="9"/>
  <c r="C27" i="9"/>
  <c r="B27" i="9"/>
  <c r="AG27" i="9" s="1"/>
  <c r="AD26" i="9"/>
  <c r="AD25" i="9" s="1"/>
  <c r="AB26" i="9"/>
  <c r="AB25" i="9" s="1"/>
  <c r="Z26" i="9"/>
  <c r="Z25" i="9" s="1"/>
  <c r="X26" i="9"/>
  <c r="X25" i="9" s="1"/>
  <c r="V26" i="9"/>
  <c r="V25" i="9" s="1"/>
  <c r="T26" i="9"/>
  <c r="T25" i="9" s="1"/>
  <c r="R26" i="9"/>
  <c r="R25" i="9" s="1"/>
  <c r="P26" i="9"/>
  <c r="P25" i="9" s="1"/>
  <c r="N26" i="9"/>
  <c r="N25" i="9" s="1"/>
  <c r="L26" i="9"/>
  <c r="L25" i="9" s="1"/>
  <c r="J26" i="9"/>
  <c r="J25" i="9" s="1"/>
  <c r="I26" i="9"/>
  <c r="I25" i="9" s="1"/>
  <c r="H26" i="9"/>
  <c r="H25" i="9" s="1"/>
  <c r="G26" i="9"/>
  <c r="F26" i="9"/>
  <c r="F25" i="9" s="1"/>
  <c r="D24" i="9"/>
  <c r="C24" i="9"/>
  <c r="B24" i="9"/>
  <c r="E23" i="9"/>
  <c r="E20" i="9" s="1"/>
  <c r="E19" i="9" s="1"/>
  <c r="D23" i="9"/>
  <c r="C23" i="9"/>
  <c r="B23" i="9"/>
  <c r="AG23" i="9" s="1"/>
  <c r="D22" i="9"/>
  <c r="C22" i="9"/>
  <c r="B22" i="9"/>
  <c r="AG22" i="9" s="1"/>
  <c r="D21" i="9"/>
  <c r="C21" i="9"/>
  <c r="B21" i="9"/>
  <c r="AG21" i="9" s="1"/>
  <c r="AD20" i="9"/>
  <c r="AD19" i="9" s="1"/>
  <c r="AB20" i="9"/>
  <c r="AB19" i="9" s="1"/>
  <c r="Z20" i="9"/>
  <c r="Z19" i="9" s="1"/>
  <c r="X20" i="9"/>
  <c r="X19" i="9" s="1"/>
  <c r="V20" i="9"/>
  <c r="V19" i="9" s="1"/>
  <c r="T20" i="9"/>
  <c r="T19" i="9" s="1"/>
  <c r="R20" i="9"/>
  <c r="R19" i="9" s="1"/>
  <c r="P20" i="9"/>
  <c r="P19" i="9" s="1"/>
  <c r="N20" i="9"/>
  <c r="N19" i="9" s="1"/>
  <c r="L20" i="9"/>
  <c r="L19" i="9" s="1"/>
  <c r="J20" i="9"/>
  <c r="J19" i="9" s="1"/>
  <c r="I20" i="9"/>
  <c r="I19" i="9" s="1"/>
  <c r="H20" i="9"/>
  <c r="H19" i="9" s="1"/>
  <c r="G20" i="9"/>
  <c r="G19" i="9" s="1"/>
  <c r="F20" i="9"/>
  <c r="F19" i="9" s="1"/>
  <c r="AG18" i="9"/>
  <c r="AG17" i="9"/>
  <c r="D16" i="9"/>
  <c r="C16" i="9"/>
  <c r="B16" i="9"/>
  <c r="AG16" i="9" s="1"/>
  <c r="E15" i="9"/>
  <c r="E12" i="9" s="1"/>
  <c r="E11" i="9" s="1"/>
  <c r="D15" i="9"/>
  <c r="C15" i="9"/>
  <c r="B15" i="9"/>
  <c r="D14" i="9"/>
  <c r="C14" i="9"/>
  <c r="B14" i="9"/>
  <c r="D13" i="9"/>
  <c r="C13" i="9"/>
  <c r="B13" i="9"/>
  <c r="AD12" i="9"/>
  <c r="AD11" i="9" s="1"/>
  <c r="AB12" i="9"/>
  <c r="AB11" i="9" s="1"/>
  <c r="Z12" i="9"/>
  <c r="Z11" i="9" s="1"/>
  <c r="X12" i="9"/>
  <c r="X11" i="9" s="1"/>
  <c r="V12" i="9"/>
  <c r="V11" i="9" s="1"/>
  <c r="T12" i="9"/>
  <c r="T11" i="9" s="1"/>
  <c r="R12" i="9"/>
  <c r="R11" i="9" s="1"/>
  <c r="P12" i="9"/>
  <c r="P11" i="9" s="1"/>
  <c r="N12" i="9"/>
  <c r="N11" i="9" s="1"/>
  <c r="L12" i="9"/>
  <c r="L11" i="9" s="1"/>
  <c r="J12" i="9"/>
  <c r="J11" i="9" s="1"/>
  <c r="I12" i="9"/>
  <c r="I11" i="9" s="1"/>
  <c r="H12" i="9"/>
  <c r="H11" i="9" s="1"/>
  <c r="G12" i="9"/>
  <c r="G11" i="9" s="1"/>
  <c r="F12" i="9"/>
  <c r="F11" i="9" s="1"/>
  <c r="AE302" i="8"/>
  <c r="AD302" i="8"/>
  <c r="X302" i="8" s="1"/>
  <c r="AC302" i="8"/>
  <c r="AB302" i="8"/>
  <c r="Z302" i="8"/>
  <c r="AE299" i="8"/>
  <c r="AD299" i="8"/>
  <c r="AC299" i="8"/>
  <c r="AB299" i="8"/>
  <c r="AA299" i="8"/>
  <c r="Z299" i="8"/>
  <c r="Y299" i="8"/>
  <c r="X299" i="8"/>
  <c r="W299" i="8"/>
  <c r="V299" i="8"/>
  <c r="U299" i="8"/>
  <c r="T299" i="8"/>
  <c r="S299" i="8"/>
  <c r="R299" i="8"/>
  <c r="Q299" i="8"/>
  <c r="P299" i="8"/>
  <c r="O299" i="8"/>
  <c r="N299" i="8"/>
  <c r="M299" i="8"/>
  <c r="L299" i="8"/>
  <c r="K299" i="8"/>
  <c r="J299" i="8"/>
  <c r="I299" i="8"/>
  <c r="H299" i="8"/>
  <c r="AE296" i="8"/>
  <c r="AD296" i="8"/>
  <c r="AC296" i="8"/>
  <c r="AB296" i="8"/>
  <c r="AA296" i="8"/>
  <c r="Z296" i="8"/>
  <c r="Y296" i="8"/>
  <c r="X296" i="8"/>
  <c r="W296" i="8"/>
  <c r="V296" i="8"/>
  <c r="U296" i="8"/>
  <c r="T296" i="8"/>
  <c r="S296" i="8"/>
  <c r="R296" i="8"/>
  <c r="Q296" i="8"/>
  <c r="P296" i="8"/>
  <c r="O296" i="8"/>
  <c r="N296" i="8"/>
  <c r="M296" i="8"/>
  <c r="L296" i="8"/>
  <c r="K296" i="8"/>
  <c r="J296" i="8"/>
  <c r="I296" i="8"/>
  <c r="H296" i="8"/>
  <c r="AE295" i="8"/>
  <c r="AD295" i="8"/>
  <c r="AC295" i="8"/>
  <c r="AB295" i="8"/>
  <c r="AA295" i="8"/>
  <c r="Z295" i="8"/>
  <c r="Y295" i="8"/>
  <c r="X295" i="8"/>
  <c r="W295" i="8"/>
  <c r="V295" i="8"/>
  <c r="U295" i="8"/>
  <c r="T295" i="8"/>
  <c r="S295" i="8"/>
  <c r="R295" i="8"/>
  <c r="Q295" i="8"/>
  <c r="P295" i="8"/>
  <c r="O295" i="8"/>
  <c r="N295" i="8"/>
  <c r="M295" i="8"/>
  <c r="L295" i="8"/>
  <c r="K295" i="8"/>
  <c r="J295" i="8"/>
  <c r="I295" i="8"/>
  <c r="H295" i="8"/>
  <c r="AE294" i="8"/>
  <c r="AD294" i="8"/>
  <c r="AC294" i="8"/>
  <c r="AB294" i="8"/>
  <c r="AA294" i="8"/>
  <c r="Z294" i="8"/>
  <c r="Y294" i="8"/>
  <c r="X294" i="8"/>
  <c r="W294" i="8"/>
  <c r="V294" i="8"/>
  <c r="U294" i="8"/>
  <c r="T294" i="8"/>
  <c r="S294" i="8"/>
  <c r="R294" i="8"/>
  <c r="Q294" i="8"/>
  <c r="P294" i="8"/>
  <c r="O294" i="8"/>
  <c r="N294" i="8"/>
  <c r="M294" i="8"/>
  <c r="L294" i="8"/>
  <c r="K294" i="8"/>
  <c r="J294" i="8"/>
  <c r="I294" i="8"/>
  <c r="H294" i="8"/>
  <c r="AE293" i="8"/>
  <c r="AD293" i="8"/>
  <c r="AD292" i="8" s="1"/>
  <c r="AC293" i="8"/>
  <c r="AB293" i="8"/>
  <c r="AB292" i="8" s="1"/>
  <c r="AA293" i="8"/>
  <c r="AA292" i="8" s="1"/>
  <c r="Z293" i="8"/>
  <c r="Z292" i="8" s="1"/>
  <c r="Y293" i="8"/>
  <c r="X293" i="8"/>
  <c r="W293" i="8"/>
  <c r="W292" i="8" s="1"/>
  <c r="V293" i="8"/>
  <c r="V292" i="8" s="1"/>
  <c r="U293" i="8"/>
  <c r="T293" i="8"/>
  <c r="T292" i="8" s="1"/>
  <c r="S293" i="8"/>
  <c r="S292" i="8" s="1"/>
  <c r="R293" i="8"/>
  <c r="R292" i="8" s="1"/>
  <c r="Q293" i="8"/>
  <c r="P293" i="8"/>
  <c r="P292" i="8" s="1"/>
  <c r="O293" i="8"/>
  <c r="O292" i="8" s="1"/>
  <c r="N293" i="8"/>
  <c r="N292" i="8" s="1"/>
  <c r="M293" i="8"/>
  <c r="L293" i="8"/>
  <c r="L292" i="8" s="1"/>
  <c r="K293" i="8"/>
  <c r="K292" i="8" s="1"/>
  <c r="J293" i="8"/>
  <c r="J292" i="8" s="1"/>
  <c r="I293" i="8"/>
  <c r="H293" i="8"/>
  <c r="H292" i="8" s="1"/>
  <c r="AE292" i="8"/>
  <c r="AE291" i="8"/>
  <c r="AD291" i="8"/>
  <c r="AC291" i="8"/>
  <c r="AB291" i="8"/>
  <c r="AA291" i="8"/>
  <c r="Z291" i="8"/>
  <c r="Y291" i="8"/>
  <c r="X291" i="8"/>
  <c r="W291" i="8"/>
  <c r="V291" i="8"/>
  <c r="U291" i="8"/>
  <c r="T291" i="8"/>
  <c r="S291" i="8"/>
  <c r="R291" i="8"/>
  <c r="Q291" i="8"/>
  <c r="P291" i="8"/>
  <c r="O291" i="8"/>
  <c r="N291" i="8"/>
  <c r="M291" i="8"/>
  <c r="L291" i="8"/>
  <c r="K291" i="8"/>
  <c r="J291" i="8"/>
  <c r="I291" i="8"/>
  <c r="H291" i="8"/>
  <c r="AG285" i="8"/>
  <c r="E284" i="8"/>
  <c r="C284" i="8"/>
  <c r="C281" i="8" s="1"/>
  <c r="B284" i="8"/>
  <c r="AG284" i="8" s="1"/>
  <c r="AG283" i="8"/>
  <c r="AG282" i="8"/>
  <c r="AE281" i="8"/>
  <c r="AD281" i="8"/>
  <c r="AC281" i="8"/>
  <c r="AB281" i="8"/>
  <c r="AA281" i="8"/>
  <c r="Z281" i="8"/>
  <c r="Y281" i="8"/>
  <c r="X281" i="8"/>
  <c r="W281" i="8"/>
  <c r="V281" i="8"/>
  <c r="U281" i="8"/>
  <c r="T281" i="8"/>
  <c r="S281" i="8"/>
  <c r="R281" i="8"/>
  <c r="Q281" i="8"/>
  <c r="P281" i="8"/>
  <c r="O281" i="8"/>
  <c r="N281" i="8"/>
  <c r="M281" i="8"/>
  <c r="L281" i="8"/>
  <c r="K281" i="8"/>
  <c r="J281" i="8"/>
  <c r="I281" i="8"/>
  <c r="H281" i="8"/>
  <c r="AG280" i="8"/>
  <c r="AG279" i="8"/>
  <c r="E278" i="8"/>
  <c r="C275" i="8"/>
  <c r="B278" i="8"/>
  <c r="AG278" i="8" s="1"/>
  <c r="AG277" i="8"/>
  <c r="AG276" i="8"/>
  <c r="AE275" i="8"/>
  <c r="AD275" i="8"/>
  <c r="AC275" i="8"/>
  <c r="AB275" i="8"/>
  <c r="AA275" i="8"/>
  <c r="Z275" i="8"/>
  <c r="Y275" i="8"/>
  <c r="X275" i="8"/>
  <c r="W275" i="8"/>
  <c r="V275" i="8"/>
  <c r="U275" i="8"/>
  <c r="T275" i="8"/>
  <c r="S275" i="8"/>
  <c r="R275" i="8"/>
  <c r="Q275" i="8"/>
  <c r="P275" i="8"/>
  <c r="O275" i="8"/>
  <c r="N275" i="8"/>
  <c r="M275" i="8"/>
  <c r="L275" i="8"/>
  <c r="K275" i="8"/>
  <c r="J275" i="8"/>
  <c r="I275" i="8"/>
  <c r="H275" i="8"/>
  <c r="AG274" i="8"/>
  <c r="AG273" i="8"/>
  <c r="AE272" i="8"/>
  <c r="AE269" i="8" s="1"/>
  <c r="AD272" i="8"/>
  <c r="AD269" i="8" s="1"/>
  <c r="AC272" i="8"/>
  <c r="AC269" i="8" s="1"/>
  <c r="AB272" i="8"/>
  <c r="AB269" i="8" s="1"/>
  <c r="AA272" i="8"/>
  <c r="AA269" i="8" s="1"/>
  <c r="Z272" i="8"/>
  <c r="Z269" i="8" s="1"/>
  <c r="Y272" i="8"/>
  <c r="Y269" i="8" s="1"/>
  <c r="X272" i="8"/>
  <c r="X269" i="8" s="1"/>
  <c r="W272" i="8"/>
  <c r="W269" i="8" s="1"/>
  <c r="V272" i="8"/>
  <c r="V269" i="8" s="1"/>
  <c r="U272" i="8"/>
  <c r="U269" i="8" s="1"/>
  <c r="T272" i="8"/>
  <c r="T269" i="8" s="1"/>
  <c r="S272" i="8"/>
  <c r="S269" i="8" s="1"/>
  <c r="R272" i="8"/>
  <c r="R269" i="8" s="1"/>
  <c r="Q272" i="8"/>
  <c r="Q269" i="8" s="1"/>
  <c r="P272" i="8"/>
  <c r="P269" i="8" s="1"/>
  <c r="O272" i="8"/>
  <c r="O269" i="8" s="1"/>
  <c r="N272" i="8"/>
  <c r="N269" i="8" s="1"/>
  <c r="M272" i="8"/>
  <c r="M269" i="8" s="1"/>
  <c r="L272" i="8"/>
  <c r="L269" i="8" s="1"/>
  <c r="K272" i="8"/>
  <c r="K269" i="8" s="1"/>
  <c r="J272" i="8"/>
  <c r="J269" i="8" s="1"/>
  <c r="I272" i="8"/>
  <c r="I269" i="8" s="1"/>
  <c r="H272" i="8"/>
  <c r="H269" i="8" s="1"/>
  <c r="AG271" i="8"/>
  <c r="AG270" i="8"/>
  <c r="AG268" i="8"/>
  <c r="AG267" i="8"/>
  <c r="AG266" i="8"/>
  <c r="AG265" i="8"/>
  <c r="E264" i="8"/>
  <c r="C261" i="8"/>
  <c r="B264" i="8"/>
  <c r="AG264" i="8" s="1"/>
  <c r="AG263" i="8"/>
  <c r="AG262" i="8"/>
  <c r="AE261" i="8"/>
  <c r="AD261" i="8"/>
  <c r="AC261" i="8"/>
  <c r="AB261" i="8"/>
  <c r="AA261" i="8"/>
  <c r="Z261" i="8"/>
  <c r="Y261" i="8"/>
  <c r="X261" i="8"/>
  <c r="W261" i="8"/>
  <c r="V261" i="8"/>
  <c r="U261" i="8"/>
  <c r="T261" i="8"/>
  <c r="S261" i="8"/>
  <c r="R261" i="8"/>
  <c r="Q261" i="8"/>
  <c r="P261" i="8"/>
  <c r="O261" i="8"/>
  <c r="N261" i="8"/>
  <c r="M261" i="8"/>
  <c r="L261" i="8"/>
  <c r="K261" i="8"/>
  <c r="J261" i="8"/>
  <c r="I261" i="8"/>
  <c r="H261" i="8"/>
  <c r="AG260" i="8"/>
  <c r="AG259" i="8"/>
  <c r="AG258" i="8"/>
  <c r="E257" i="8"/>
  <c r="D257" i="8" s="1"/>
  <c r="C257" i="8"/>
  <c r="C251" i="8" s="1"/>
  <c r="C249" i="8" s="1"/>
  <c r="B257" i="8"/>
  <c r="B255" i="8" s="1"/>
  <c r="AG256" i="8"/>
  <c r="AE255" i="8"/>
  <c r="AD255" i="8"/>
  <c r="AC255" i="8"/>
  <c r="AB255" i="8"/>
  <c r="AA255" i="8"/>
  <c r="Z255" i="8"/>
  <c r="Y255" i="8"/>
  <c r="X255" i="8"/>
  <c r="W255" i="8"/>
  <c r="V255" i="8"/>
  <c r="U255" i="8"/>
  <c r="T255" i="8"/>
  <c r="S255" i="8"/>
  <c r="R255" i="8"/>
  <c r="Q255" i="8"/>
  <c r="P255" i="8"/>
  <c r="O255" i="8"/>
  <c r="N255" i="8"/>
  <c r="M255" i="8"/>
  <c r="L255" i="8"/>
  <c r="K255" i="8"/>
  <c r="J255" i="8"/>
  <c r="I255" i="8"/>
  <c r="H255" i="8"/>
  <c r="AG254" i="8"/>
  <c r="AG253" i="8"/>
  <c r="AG252" i="8"/>
  <c r="AE251" i="8"/>
  <c r="AE249" i="8" s="1"/>
  <c r="AD251" i="8"/>
  <c r="AD249" i="8" s="1"/>
  <c r="AC251" i="8"/>
  <c r="AC249" i="8" s="1"/>
  <c r="AB251" i="8"/>
  <c r="AB249" i="8" s="1"/>
  <c r="AA251" i="8"/>
  <c r="AA249" i="8" s="1"/>
  <c r="Z251" i="8"/>
  <c r="Z249" i="8" s="1"/>
  <c r="Y251" i="8"/>
  <c r="Y249" i="8" s="1"/>
  <c r="X251" i="8"/>
  <c r="X249" i="8" s="1"/>
  <c r="W251" i="8"/>
  <c r="W249" i="8" s="1"/>
  <c r="V251" i="8"/>
  <c r="V249" i="8" s="1"/>
  <c r="U251" i="8"/>
  <c r="U249" i="8" s="1"/>
  <c r="T251" i="8"/>
  <c r="T249" i="8" s="1"/>
  <c r="S251" i="8"/>
  <c r="S249" i="8" s="1"/>
  <c r="R251" i="8"/>
  <c r="R249" i="8" s="1"/>
  <c r="Q251" i="8"/>
  <c r="Q249" i="8" s="1"/>
  <c r="P251" i="8"/>
  <c r="P249" i="8" s="1"/>
  <c r="O251" i="8"/>
  <c r="O249" i="8" s="1"/>
  <c r="N251" i="8"/>
  <c r="N249" i="8" s="1"/>
  <c r="M251" i="8"/>
  <c r="M249" i="8" s="1"/>
  <c r="L251" i="8"/>
  <c r="L249" i="8" s="1"/>
  <c r="K251" i="8"/>
  <c r="K249" i="8" s="1"/>
  <c r="J251" i="8"/>
  <c r="J249" i="8" s="1"/>
  <c r="I251" i="8"/>
  <c r="I249" i="8" s="1"/>
  <c r="H251" i="8"/>
  <c r="H249" i="8" s="1"/>
  <c r="AG250" i="8"/>
  <c r="AG248" i="8"/>
  <c r="AG247" i="8"/>
  <c r="E246" i="8"/>
  <c r="C243" i="8"/>
  <c r="B246" i="8"/>
  <c r="AG246" i="8" s="1"/>
  <c r="AG245" i="8"/>
  <c r="AG244" i="8"/>
  <c r="AE243" i="8"/>
  <c r="AD243" i="8"/>
  <c r="AC243" i="8"/>
  <c r="AB243" i="8"/>
  <c r="AA243" i="8"/>
  <c r="Z243" i="8"/>
  <c r="Y243" i="8"/>
  <c r="X243" i="8"/>
  <c r="W243" i="8"/>
  <c r="V243" i="8"/>
  <c r="U243" i="8"/>
  <c r="T243" i="8"/>
  <c r="S243" i="8"/>
  <c r="R243" i="8"/>
  <c r="Q243" i="8"/>
  <c r="P243" i="8"/>
  <c r="O243" i="8"/>
  <c r="N243" i="8"/>
  <c r="M243" i="8"/>
  <c r="L243" i="8"/>
  <c r="K243" i="8"/>
  <c r="J243" i="8"/>
  <c r="I243" i="8"/>
  <c r="H243" i="8"/>
  <c r="AG242" i="8"/>
  <c r="AG241" i="8"/>
  <c r="E240" i="8"/>
  <c r="C237" i="8"/>
  <c r="B240" i="8"/>
  <c r="AG240" i="8" s="1"/>
  <c r="AG239" i="8"/>
  <c r="AG238" i="8"/>
  <c r="AE237" i="8"/>
  <c r="AD237" i="8"/>
  <c r="AC237" i="8"/>
  <c r="AB237" i="8"/>
  <c r="AA237" i="8"/>
  <c r="Z237" i="8"/>
  <c r="Y237" i="8"/>
  <c r="X237" i="8"/>
  <c r="W237" i="8"/>
  <c r="V237" i="8"/>
  <c r="U237" i="8"/>
  <c r="T237" i="8"/>
  <c r="S237" i="8"/>
  <c r="R237" i="8"/>
  <c r="Q237" i="8"/>
  <c r="P237" i="8"/>
  <c r="O237" i="8"/>
  <c r="N237" i="8"/>
  <c r="M237" i="8"/>
  <c r="L237" i="8"/>
  <c r="K237" i="8"/>
  <c r="J237" i="8"/>
  <c r="I237" i="8"/>
  <c r="H237" i="8"/>
  <c r="AG236" i="8"/>
  <c r="AG235" i="8"/>
  <c r="AE234" i="8"/>
  <c r="AE231" i="8" s="1"/>
  <c r="AD234" i="8"/>
  <c r="AD231" i="8" s="1"/>
  <c r="AC234" i="8"/>
  <c r="AC231" i="8" s="1"/>
  <c r="AB234" i="8"/>
  <c r="AB231" i="8" s="1"/>
  <c r="AA234" i="8"/>
  <c r="AA231" i="8" s="1"/>
  <c r="Z234" i="8"/>
  <c r="Z231" i="8" s="1"/>
  <c r="Y234" i="8"/>
  <c r="Y231" i="8" s="1"/>
  <c r="X234" i="8"/>
  <c r="X231" i="8" s="1"/>
  <c r="W234" i="8"/>
  <c r="W231" i="8" s="1"/>
  <c r="V234" i="8"/>
  <c r="V231" i="8" s="1"/>
  <c r="U234" i="8"/>
  <c r="U231" i="8" s="1"/>
  <c r="T234" i="8"/>
  <c r="T231" i="8" s="1"/>
  <c r="S234" i="8"/>
  <c r="S231" i="8" s="1"/>
  <c r="R234" i="8"/>
  <c r="R231" i="8" s="1"/>
  <c r="Q234" i="8"/>
  <c r="Q231" i="8" s="1"/>
  <c r="P234" i="8"/>
  <c r="P231" i="8" s="1"/>
  <c r="O234" i="8"/>
  <c r="O231" i="8" s="1"/>
  <c r="N234" i="8"/>
  <c r="N231" i="8" s="1"/>
  <c r="M234" i="8"/>
  <c r="M231" i="8" s="1"/>
  <c r="L234" i="8"/>
  <c r="L231" i="8" s="1"/>
  <c r="K234" i="8"/>
  <c r="K231" i="8" s="1"/>
  <c r="J234" i="8"/>
  <c r="J231" i="8" s="1"/>
  <c r="I234" i="8"/>
  <c r="I231" i="8" s="1"/>
  <c r="H234" i="8"/>
  <c r="H231" i="8" s="1"/>
  <c r="AG233" i="8"/>
  <c r="AG232" i="8"/>
  <c r="AG230" i="8"/>
  <c r="AG229" i="8"/>
  <c r="AG228" i="8"/>
  <c r="AG227" i="8"/>
  <c r="E226" i="8"/>
  <c r="C226" i="8"/>
  <c r="C223" i="8" s="1"/>
  <c r="B226" i="8"/>
  <c r="AG226" i="8" s="1"/>
  <c r="AG225" i="8"/>
  <c r="AG224" i="8"/>
  <c r="AE223" i="8"/>
  <c r="AD223" i="8"/>
  <c r="AC223" i="8"/>
  <c r="AB223" i="8"/>
  <c r="AA223" i="8"/>
  <c r="Z223" i="8"/>
  <c r="Y223" i="8"/>
  <c r="X223" i="8"/>
  <c r="W223" i="8"/>
  <c r="V223" i="8"/>
  <c r="U223" i="8"/>
  <c r="T223" i="8"/>
  <c r="S223" i="8"/>
  <c r="R223" i="8"/>
  <c r="Q223" i="8"/>
  <c r="P223" i="8"/>
  <c r="O223" i="8"/>
  <c r="N223" i="8"/>
  <c r="M223" i="8"/>
  <c r="L223" i="8"/>
  <c r="K223" i="8"/>
  <c r="J223" i="8"/>
  <c r="I223" i="8"/>
  <c r="H223" i="8"/>
  <c r="AG222" i="8"/>
  <c r="AG221" i="8"/>
  <c r="H220" i="8"/>
  <c r="B220" i="8" s="1"/>
  <c r="E220" i="8"/>
  <c r="D220" i="8" s="1"/>
  <c r="D217" i="8" s="1"/>
  <c r="AG219" i="8"/>
  <c r="AG218" i="8"/>
  <c r="AE217" i="8"/>
  <c r="AD217" i="8"/>
  <c r="AC217" i="8"/>
  <c r="AB217" i="8"/>
  <c r="AA217" i="8"/>
  <c r="Z217" i="8"/>
  <c r="Y217" i="8"/>
  <c r="X217" i="8"/>
  <c r="W217" i="8"/>
  <c r="V217" i="8"/>
  <c r="U217" i="8"/>
  <c r="T217" i="8"/>
  <c r="S217" i="8"/>
  <c r="R217" i="8"/>
  <c r="Q217" i="8"/>
  <c r="P217" i="8"/>
  <c r="O217" i="8"/>
  <c r="N217" i="8"/>
  <c r="M217" i="8"/>
  <c r="L217" i="8"/>
  <c r="K217" i="8"/>
  <c r="J217" i="8"/>
  <c r="I217" i="8"/>
  <c r="AG216" i="8"/>
  <c r="AG215" i="8"/>
  <c r="E214" i="8"/>
  <c r="D214" i="8" s="1"/>
  <c r="D211" i="8" s="1"/>
  <c r="C211" i="8"/>
  <c r="B214" i="8"/>
  <c r="AG213" i="8"/>
  <c r="AG212" i="8"/>
  <c r="AE211" i="8"/>
  <c r="AD211" i="8"/>
  <c r="AC211" i="8"/>
  <c r="AB211" i="8"/>
  <c r="AA211" i="8"/>
  <c r="Z211" i="8"/>
  <c r="Y211" i="8"/>
  <c r="X211" i="8"/>
  <c r="W211" i="8"/>
  <c r="V211" i="8"/>
  <c r="U211" i="8"/>
  <c r="T211" i="8"/>
  <c r="S211" i="8"/>
  <c r="R211" i="8"/>
  <c r="Q211" i="8"/>
  <c r="P211" i="8"/>
  <c r="O211" i="8"/>
  <c r="N211" i="8"/>
  <c r="M211" i="8"/>
  <c r="L211" i="8"/>
  <c r="K211" i="8"/>
  <c r="J211" i="8"/>
  <c r="I211" i="8"/>
  <c r="H211" i="8"/>
  <c r="AG210" i="8"/>
  <c r="AG209" i="8"/>
  <c r="E208" i="8"/>
  <c r="D208" i="8" s="1"/>
  <c r="D205" i="8" s="1"/>
  <c r="C208" i="8"/>
  <c r="C205" i="8" s="1"/>
  <c r="B208" i="8"/>
  <c r="B205" i="8" s="1"/>
  <c r="AG207" i="8"/>
  <c r="AG206" i="8"/>
  <c r="AE205" i="8"/>
  <c r="AD205" i="8"/>
  <c r="AC205" i="8"/>
  <c r="AB205" i="8"/>
  <c r="AA205" i="8"/>
  <c r="Z205" i="8"/>
  <c r="Y205" i="8"/>
  <c r="X205" i="8"/>
  <c r="W205" i="8"/>
  <c r="V205" i="8"/>
  <c r="U205" i="8"/>
  <c r="T205" i="8"/>
  <c r="S205" i="8"/>
  <c r="R205" i="8"/>
  <c r="Q205" i="8"/>
  <c r="P205" i="8"/>
  <c r="O205" i="8"/>
  <c r="N205" i="8"/>
  <c r="M205" i="8"/>
  <c r="L205" i="8"/>
  <c r="K205" i="8"/>
  <c r="J205" i="8"/>
  <c r="I205" i="8"/>
  <c r="H205" i="8"/>
  <c r="AG204" i="8"/>
  <c r="B203" i="8"/>
  <c r="E202" i="8"/>
  <c r="B202" i="8"/>
  <c r="AG202" i="8" s="1"/>
  <c r="AG201" i="8"/>
  <c r="AG200" i="8"/>
  <c r="AE199" i="8"/>
  <c r="AD199" i="8"/>
  <c r="AC199" i="8"/>
  <c r="AB199" i="8"/>
  <c r="AA199" i="8"/>
  <c r="Z199" i="8"/>
  <c r="Y199" i="8"/>
  <c r="X199" i="8"/>
  <c r="W199" i="8"/>
  <c r="V199" i="8"/>
  <c r="U199" i="8"/>
  <c r="T199" i="8"/>
  <c r="S199" i="8"/>
  <c r="R199" i="8"/>
  <c r="Q199" i="8"/>
  <c r="P199" i="8"/>
  <c r="O199" i="8"/>
  <c r="N199" i="8"/>
  <c r="M199" i="8"/>
  <c r="L199" i="8"/>
  <c r="K199" i="8"/>
  <c r="J199" i="8"/>
  <c r="I199" i="8"/>
  <c r="H199" i="8"/>
  <c r="AG198" i="8"/>
  <c r="AE197" i="8"/>
  <c r="AD197" i="8"/>
  <c r="AC197" i="8"/>
  <c r="AB197" i="8"/>
  <c r="AA197" i="8"/>
  <c r="Z197" i="8"/>
  <c r="Y197" i="8"/>
  <c r="X197" i="8"/>
  <c r="W197" i="8"/>
  <c r="V197" i="8"/>
  <c r="U197" i="8"/>
  <c r="T197" i="8"/>
  <c r="S197" i="8"/>
  <c r="R197" i="8"/>
  <c r="Q197" i="8"/>
  <c r="P197" i="8"/>
  <c r="O197" i="8"/>
  <c r="N197" i="8"/>
  <c r="M197" i="8"/>
  <c r="L197" i="8"/>
  <c r="K197" i="8"/>
  <c r="J197" i="8"/>
  <c r="I197" i="8"/>
  <c r="H197" i="8"/>
  <c r="AE196" i="8"/>
  <c r="AE193" i="8" s="1"/>
  <c r="AD196" i="8"/>
  <c r="AD193" i="8" s="1"/>
  <c r="AC196" i="8"/>
  <c r="AB196" i="8"/>
  <c r="AB193" i="8" s="1"/>
  <c r="AA196" i="8"/>
  <c r="AA193" i="8" s="1"/>
  <c r="Z196" i="8"/>
  <c r="Z193" i="8" s="1"/>
  <c r="Y196" i="8"/>
  <c r="Y193" i="8" s="1"/>
  <c r="X196" i="8"/>
  <c r="X193" i="8" s="1"/>
  <c r="W196" i="8"/>
  <c r="W193" i="8" s="1"/>
  <c r="V196" i="8"/>
  <c r="V193" i="8" s="1"/>
  <c r="U196" i="8"/>
  <c r="U193" i="8" s="1"/>
  <c r="T196" i="8"/>
  <c r="T193" i="8" s="1"/>
  <c r="S196" i="8"/>
  <c r="S193" i="8" s="1"/>
  <c r="R196" i="8"/>
  <c r="R193" i="8" s="1"/>
  <c r="Q196" i="8"/>
  <c r="Q193" i="8" s="1"/>
  <c r="P196" i="8"/>
  <c r="P193" i="8" s="1"/>
  <c r="O196" i="8"/>
  <c r="O193" i="8" s="1"/>
  <c r="N196" i="8"/>
  <c r="N193" i="8" s="1"/>
  <c r="M196" i="8"/>
  <c r="M193" i="8" s="1"/>
  <c r="L196" i="8"/>
  <c r="L193" i="8" s="1"/>
  <c r="K196" i="8"/>
  <c r="K193" i="8" s="1"/>
  <c r="J196" i="8"/>
  <c r="J193" i="8" s="1"/>
  <c r="I196" i="8"/>
  <c r="I193" i="8" s="1"/>
  <c r="H196" i="8"/>
  <c r="H193" i="8" s="1"/>
  <c r="AG195" i="8"/>
  <c r="AG194" i="8"/>
  <c r="AC193" i="8"/>
  <c r="AG192" i="8"/>
  <c r="E191" i="8"/>
  <c r="C191" i="8"/>
  <c r="B191" i="8"/>
  <c r="AG191" i="8" s="1"/>
  <c r="E190" i="8"/>
  <c r="D190" i="8" s="1"/>
  <c r="C190" i="8"/>
  <c r="B190" i="8"/>
  <c r="AG190" i="8" s="1"/>
  <c r="E189" i="8"/>
  <c r="C189" i="8"/>
  <c r="B189" i="8"/>
  <c r="AG189" i="8" s="1"/>
  <c r="E188" i="8"/>
  <c r="D188" i="8" s="1"/>
  <c r="C188" i="8"/>
  <c r="B188" i="8"/>
  <c r="AE187" i="8"/>
  <c r="AD187" i="8"/>
  <c r="AC187" i="8"/>
  <c r="AB187" i="8"/>
  <c r="AA187" i="8"/>
  <c r="Z187" i="8"/>
  <c r="Y187" i="8"/>
  <c r="X187" i="8"/>
  <c r="W187" i="8"/>
  <c r="V187" i="8"/>
  <c r="U187" i="8"/>
  <c r="T187" i="8"/>
  <c r="S187" i="8"/>
  <c r="R187" i="8"/>
  <c r="Q187" i="8"/>
  <c r="P187" i="8"/>
  <c r="O187" i="8"/>
  <c r="N187" i="8"/>
  <c r="M187" i="8"/>
  <c r="L187" i="8"/>
  <c r="K187" i="8"/>
  <c r="J187" i="8"/>
  <c r="I187" i="8"/>
  <c r="H187" i="8"/>
  <c r="AG186" i="8"/>
  <c r="AG185" i="8"/>
  <c r="E184" i="8"/>
  <c r="E181" i="8" s="1"/>
  <c r="B184" i="8"/>
  <c r="B181" i="8" s="1"/>
  <c r="AG183" i="8"/>
  <c r="AG182" i="8"/>
  <c r="AE181" i="8"/>
  <c r="AD181" i="8"/>
  <c r="AC181" i="8"/>
  <c r="AB181" i="8"/>
  <c r="AA181" i="8"/>
  <c r="Z181" i="8"/>
  <c r="Y181" i="8"/>
  <c r="X181" i="8"/>
  <c r="W181" i="8"/>
  <c r="V181" i="8"/>
  <c r="U181" i="8"/>
  <c r="T181" i="8"/>
  <c r="S181" i="8"/>
  <c r="R181" i="8"/>
  <c r="Q181" i="8"/>
  <c r="P181" i="8"/>
  <c r="O181" i="8"/>
  <c r="N181" i="8"/>
  <c r="M181" i="8"/>
  <c r="L181" i="8"/>
  <c r="K181" i="8"/>
  <c r="J181" i="8"/>
  <c r="I181" i="8"/>
  <c r="H181" i="8"/>
  <c r="C181" i="8"/>
  <c r="AG180" i="8"/>
  <c r="AG179" i="8"/>
  <c r="E178" i="8"/>
  <c r="D178" i="8" s="1"/>
  <c r="D175" i="8" s="1"/>
  <c r="C175" i="8"/>
  <c r="B178" i="8"/>
  <c r="AG177" i="8"/>
  <c r="AG176" i="8"/>
  <c r="AE175" i="8"/>
  <c r="AD175" i="8"/>
  <c r="AC175" i="8"/>
  <c r="AB175" i="8"/>
  <c r="AA175" i="8"/>
  <c r="Z175" i="8"/>
  <c r="Y175" i="8"/>
  <c r="X175" i="8"/>
  <c r="W175" i="8"/>
  <c r="V175" i="8"/>
  <c r="U175" i="8"/>
  <c r="T175" i="8"/>
  <c r="S175" i="8"/>
  <c r="R175" i="8"/>
  <c r="Q175" i="8"/>
  <c r="P175" i="8"/>
  <c r="O175" i="8"/>
  <c r="N175" i="8"/>
  <c r="M175" i="8"/>
  <c r="L175" i="8"/>
  <c r="K175" i="8"/>
  <c r="J175" i="8"/>
  <c r="I175" i="8"/>
  <c r="H175" i="8"/>
  <c r="AG174" i="8"/>
  <c r="AG173" i="8"/>
  <c r="E172" i="8"/>
  <c r="E169" i="8" s="1"/>
  <c r="B172" i="8"/>
  <c r="AG171" i="8"/>
  <c r="AG170" i="8"/>
  <c r="AE169" i="8"/>
  <c r="AD169" i="8"/>
  <c r="AC169" i="8"/>
  <c r="AB169" i="8"/>
  <c r="AA169" i="8"/>
  <c r="Z169" i="8"/>
  <c r="Y169" i="8"/>
  <c r="X169" i="8"/>
  <c r="W169" i="8"/>
  <c r="V169" i="8"/>
  <c r="U169" i="8"/>
  <c r="T169" i="8"/>
  <c r="S169" i="8"/>
  <c r="R169" i="8"/>
  <c r="Q169" i="8"/>
  <c r="P169" i="8"/>
  <c r="O169" i="8"/>
  <c r="N169" i="8"/>
  <c r="M169" i="8"/>
  <c r="L169" i="8"/>
  <c r="K169" i="8"/>
  <c r="J169" i="8"/>
  <c r="I169" i="8"/>
  <c r="H169" i="8"/>
  <c r="C169" i="8"/>
  <c r="C157" i="8" s="1"/>
  <c r="AG168" i="8"/>
  <c r="AG167" i="8"/>
  <c r="AE166" i="8"/>
  <c r="AD166" i="8"/>
  <c r="AC166" i="8"/>
  <c r="AC160" i="8" s="1"/>
  <c r="AB166" i="8"/>
  <c r="AB160" i="8" s="1"/>
  <c r="AA166" i="8"/>
  <c r="AA160" i="8" s="1"/>
  <c r="Z166" i="8"/>
  <c r="Y166" i="8"/>
  <c r="Y160" i="8" s="1"/>
  <c r="X166" i="8"/>
  <c r="X160" i="8" s="1"/>
  <c r="W166" i="8"/>
  <c r="W160" i="8" s="1"/>
  <c r="V166" i="8"/>
  <c r="U166" i="8"/>
  <c r="U160" i="8" s="1"/>
  <c r="T166" i="8"/>
  <c r="T160" i="8" s="1"/>
  <c r="S166" i="8"/>
  <c r="S160" i="8" s="1"/>
  <c r="R166" i="8"/>
  <c r="Q166" i="8"/>
  <c r="Q160" i="8" s="1"/>
  <c r="P166" i="8"/>
  <c r="P160" i="8" s="1"/>
  <c r="O166" i="8"/>
  <c r="O160" i="8" s="1"/>
  <c r="N166" i="8"/>
  <c r="M166" i="8"/>
  <c r="M160" i="8" s="1"/>
  <c r="L166" i="8"/>
  <c r="L160" i="8" s="1"/>
  <c r="K166" i="8"/>
  <c r="K160" i="8" s="1"/>
  <c r="J166" i="8"/>
  <c r="J301" i="8" s="1"/>
  <c r="I166" i="8"/>
  <c r="I160" i="8" s="1"/>
  <c r="H166" i="8"/>
  <c r="H160" i="8" s="1"/>
  <c r="D166" i="8"/>
  <c r="B166" i="8"/>
  <c r="AE165" i="8"/>
  <c r="AE300" i="8" s="1"/>
  <c r="AD165" i="8"/>
  <c r="AC165" i="8"/>
  <c r="AC159" i="8" s="1"/>
  <c r="AB165" i="8"/>
  <c r="AB159" i="8" s="1"/>
  <c r="AA165" i="8"/>
  <c r="AA159" i="8" s="1"/>
  <c r="Z165" i="8"/>
  <c r="Y165" i="8"/>
  <c r="Y159" i="8" s="1"/>
  <c r="X165" i="8"/>
  <c r="X159" i="8" s="1"/>
  <c r="W165" i="8"/>
  <c r="W300" i="8" s="1"/>
  <c r="V165" i="8"/>
  <c r="V159" i="8" s="1"/>
  <c r="U165" i="8"/>
  <c r="U159" i="8" s="1"/>
  <c r="T165" i="8"/>
  <c r="T159" i="8" s="1"/>
  <c r="S165" i="8"/>
  <c r="S159" i="8" s="1"/>
  <c r="R165" i="8"/>
  <c r="R159" i="8" s="1"/>
  <c r="Q165" i="8"/>
  <c r="Q159" i="8" s="1"/>
  <c r="P165" i="8"/>
  <c r="P159" i="8" s="1"/>
  <c r="O165" i="8"/>
  <c r="O300" i="8" s="1"/>
  <c r="N165" i="8"/>
  <c r="M165" i="8"/>
  <c r="M159" i="8" s="1"/>
  <c r="L165" i="8"/>
  <c r="L159" i="8" s="1"/>
  <c r="K165" i="8"/>
  <c r="K159" i="8" s="1"/>
  <c r="J165" i="8"/>
  <c r="I165" i="8"/>
  <c r="I159" i="8" s="1"/>
  <c r="H165" i="8"/>
  <c r="AG164" i="8"/>
  <c r="AE163" i="8"/>
  <c r="AE157" i="8" s="1"/>
  <c r="AD163" i="8"/>
  <c r="AD298" i="8" s="1"/>
  <c r="AC163" i="8"/>
  <c r="AC298" i="8" s="1"/>
  <c r="AB163" i="8"/>
  <c r="AB157" i="8" s="1"/>
  <c r="AA163" i="8"/>
  <c r="Z163" i="8"/>
  <c r="Z298" i="8" s="1"/>
  <c r="Y163" i="8"/>
  <c r="Y157" i="8" s="1"/>
  <c r="X163" i="8"/>
  <c r="X157" i="8" s="1"/>
  <c r="W163" i="8"/>
  <c r="W157" i="8" s="1"/>
  <c r="V163" i="8"/>
  <c r="V157" i="8" s="1"/>
  <c r="U163" i="8"/>
  <c r="U298" i="8" s="1"/>
  <c r="T163" i="8"/>
  <c r="T157" i="8" s="1"/>
  <c r="S163" i="8"/>
  <c r="S157" i="8" s="1"/>
  <c r="R163" i="8"/>
  <c r="R298" i="8" s="1"/>
  <c r="Q163" i="8"/>
  <c r="Q157" i="8" s="1"/>
  <c r="P163" i="8"/>
  <c r="P157" i="8" s="1"/>
  <c r="O163" i="8"/>
  <c r="O157" i="8" s="1"/>
  <c r="N163" i="8"/>
  <c r="N298" i="8" s="1"/>
  <c r="M163" i="8"/>
  <c r="M157" i="8" s="1"/>
  <c r="L163" i="8"/>
  <c r="L157" i="8" s="1"/>
  <c r="K163" i="8"/>
  <c r="K157" i="8" s="1"/>
  <c r="K138" i="8" s="1"/>
  <c r="K135" i="8" s="1"/>
  <c r="J163" i="8"/>
  <c r="J298" i="8" s="1"/>
  <c r="I163" i="8"/>
  <c r="I157" i="8" s="1"/>
  <c r="H163" i="8"/>
  <c r="H157" i="8" s="1"/>
  <c r="E163" i="8"/>
  <c r="E157" i="8" s="1"/>
  <c r="D163" i="8"/>
  <c r="B163" i="8"/>
  <c r="AG161" i="8"/>
  <c r="AE160" i="8"/>
  <c r="H159" i="8"/>
  <c r="AG158" i="8"/>
  <c r="AA157" i="8"/>
  <c r="AA138" i="8" s="1"/>
  <c r="AA135" i="8" s="1"/>
  <c r="AG155" i="8"/>
  <c r="AG154" i="8"/>
  <c r="E153" i="8"/>
  <c r="C153" i="8"/>
  <c r="B153" i="8"/>
  <c r="AG153" i="8" s="1"/>
  <c r="E152" i="8"/>
  <c r="D152" i="8" s="1"/>
  <c r="C152" i="8"/>
  <c r="B152" i="8"/>
  <c r="AG152" i="8" s="1"/>
  <c r="E151" i="8"/>
  <c r="D151" i="8" s="1"/>
  <c r="C151" i="8"/>
  <c r="B151" i="8"/>
  <c r="AG151" i="8" s="1"/>
  <c r="E150" i="8"/>
  <c r="D150" i="8" s="1"/>
  <c r="C150" i="8"/>
  <c r="B150" i="8"/>
  <c r="AG150" i="8" s="1"/>
  <c r="AE149" i="8"/>
  <c r="AD149" i="8"/>
  <c r="AC149" i="8"/>
  <c r="AB149" i="8"/>
  <c r="AA149" i="8"/>
  <c r="Z149" i="8"/>
  <c r="Y149" i="8"/>
  <c r="X149" i="8"/>
  <c r="W149" i="8"/>
  <c r="V149" i="8"/>
  <c r="U149" i="8"/>
  <c r="T149" i="8"/>
  <c r="S149" i="8"/>
  <c r="R149" i="8"/>
  <c r="Q149" i="8"/>
  <c r="P149" i="8"/>
  <c r="O149" i="8"/>
  <c r="N149" i="8"/>
  <c r="M149" i="8"/>
  <c r="L149" i="8"/>
  <c r="K149" i="8"/>
  <c r="J149" i="8"/>
  <c r="I149" i="8"/>
  <c r="H149" i="8"/>
  <c r="AG148" i="8"/>
  <c r="AG147" i="8"/>
  <c r="AG146" i="8"/>
  <c r="AG145" i="8"/>
  <c r="AD144" i="8"/>
  <c r="AD141" i="8" s="1"/>
  <c r="AB144" i="8"/>
  <c r="Z144" i="8"/>
  <c r="V144" i="8"/>
  <c r="T144" i="8"/>
  <c r="R144" i="8"/>
  <c r="R141" i="8" s="1"/>
  <c r="P144" i="8"/>
  <c r="N144" i="8"/>
  <c r="N141" i="8" s="1"/>
  <c r="L144" i="8"/>
  <c r="J144" i="8"/>
  <c r="H144" i="8"/>
  <c r="E144" i="8"/>
  <c r="D144" i="8" s="1"/>
  <c r="AG143" i="8"/>
  <c r="AG142" i="8"/>
  <c r="AE141" i="8"/>
  <c r="AC141" i="8"/>
  <c r="AA141" i="8"/>
  <c r="Y141" i="8"/>
  <c r="W141" i="8"/>
  <c r="V141" i="8"/>
  <c r="U141" i="8"/>
  <c r="S141" i="8"/>
  <c r="Q141" i="8"/>
  <c r="O141" i="8"/>
  <c r="M141" i="8"/>
  <c r="K141" i="8"/>
  <c r="I141" i="8"/>
  <c r="AG140" i="8"/>
  <c r="B139" i="8"/>
  <c r="AG139" i="8" s="1"/>
  <c r="AG137" i="8"/>
  <c r="AG136" i="8"/>
  <c r="AG134" i="8"/>
  <c r="E133" i="8"/>
  <c r="D133" i="8" s="1"/>
  <c r="C133" i="8"/>
  <c r="B133" i="8"/>
  <c r="AG133" i="8" s="1"/>
  <c r="E132" i="8"/>
  <c r="C132" i="8"/>
  <c r="B132" i="8"/>
  <c r="AG132" i="8" s="1"/>
  <c r="E131" i="8"/>
  <c r="D131" i="8" s="1"/>
  <c r="C131" i="8"/>
  <c r="B131" i="8"/>
  <c r="AG131" i="8" s="1"/>
  <c r="E130" i="8"/>
  <c r="C130" i="8"/>
  <c r="B130" i="8"/>
  <c r="AG130" i="8" s="1"/>
  <c r="AE129" i="8"/>
  <c r="AD129" i="8"/>
  <c r="AC129" i="8"/>
  <c r="AB129" i="8"/>
  <c r="AA129" i="8"/>
  <c r="Z129" i="8"/>
  <c r="Y129" i="8"/>
  <c r="X129" i="8"/>
  <c r="W129" i="8"/>
  <c r="V129" i="8"/>
  <c r="U129" i="8"/>
  <c r="T129" i="8"/>
  <c r="S129" i="8"/>
  <c r="R129" i="8"/>
  <c r="Q129" i="8"/>
  <c r="P129" i="8"/>
  <c r="O129" i="8"/>
  <c r="N129" i="8"/>
  <c r="M129" i="8"/>
  <c r="L129" i="8"/>
  <c r="K129" i="8"/>
  <c r="J129" i="8"/>
  <c r="I129" i="8"/>
  <c r="H129" i="8"/>
  <c r="AG128" i="8"/>
  <c r="E127" i="8"/>
  <c r="D127" i="8" s="1"/>
  <c r="C127" i="8"/>
  <c r="B127" i="8"/>
  <c r="AG127" i="8" s="1"/>
  <c r="E126" i="8"/>
  <c r="B126" i="8"/>
  <c r="AG126" i="8" s="1"/>
  <c r="E125" i="8"/>
  <c r="D125" i="8" s="1"/>
  <c r="C125" i="8"/>
  <c r="B125" i="8"/>
  <c r="E124" i="8"/>
  <c r="C124" i="8"/>
  <c r="B124" i="8"/>
  <c r="AG124" i="8" s="1"/>
  <c r="AE123" i="8"/>
  <c r="AD123" i="8"/>
  <c r="AC123" i="8"/>
  <c r="AB123" i="8"/>
  <c r="AA123" i="8"/>
  <c r="Z123" i="8"/>
  <c r="Y123" i="8"/>
  <c r="X123" i="8"/>
  <c r="W123" i="8"/>
  <c r="V123" i="8"/>
  <c r="U123" i="8"/>
  <c r="T123" i="8"/>
  <c r="S123" i="8"/>
  <c r="R123" i="8"/>
  <c r="Q123" i="8"/>
  <c r="P123" i="8"/>
  <c r="O123" i="8"/>
  <c r="N123" i="8"/>
  <c r="M123" i="8"/>
  <c r="L123" i="8"/>
  <c r="K123" i="8"/>
  <c r="J123" i="8"/>
  <c r="I123" i="8"/>
  <c r="H123" i="8"/>
  <c r="AG122" i="8"/>
  <c r="AG121" i="8"/>
  <c r="E120" i="8"/>
  <c r="B120" i="8"/>
  <c r="AG120" i="8" s="1"/>
  <c r="AG119" i="8"/>
  <c r="AG118" i="8"/>
  <c r="AE117" i="8"/>
  <c r="AD117" i="8"/>
  <c r="AC117" i="8"/>
  <c r="AB117" i="8"/>
  <c r="AA117" i="8"/>
  <c r="Z117" i="8"/>
  <c r="Y117" i="8"/>
  <c r="X117" i="8"/>
  <c r="W117" i="8"/>
  <c r="V117" i="8"/>
  <c r="U117" i="8"/>
  <c r="T117" i="8"/>
  <c r="S117" i="8"/>
  <c r="R117" i="8"/>
  <c r="Q117" i="8"/>
  <c r="P117" i="8"/>
  <c r="O117" i="8"/>
  <c r="N117" i="8"/>
  <c r="M117" i="8"/>
  <c r="L117" i="8"/>
  <c r="K117" i="8"/>
  <c r="J117" i="8"/>
  <c r="I117" i="8"/>
  <c r="H117" i="8"/>
  <c r="AG116" i="8"/>
  <c r="AE115" i="8"/>
  <c r="AD115" i="8"/>
  <c r="AC115" i="8"/>
  <c r="AB115" i="8"/>
  <c r="AA115" i="8"/>
  <c r="Z115" i="8"/>
  <c r="Y115" i="8"/>
  <c r="X115" i="8"/>
  <c r="W115" i="8"/>
  <c r="V115" i="8"/>
  <c r="U115" i="8"/>
  <c r="T115" i="8"/>
  <c r="S115" i="8"/>
  <c r="R115" i="8"/>
  <c r="Q115" i="8"/>
  <c r="P115" i="8"/>
  <c r="O115" i="8"/>
  <c r="N115" i="8"/>
  <c r="M115" i="8"/>
  <c r="L115" i="8"/>
  <c r="K115" i="8"/>
  <c r="J115" i="8"/>
  <c r="I115" i="8"/>
  <c r="H115" i="8"/>
  <c r="AE114" i="8"/>
  <c r="AE111" i="8" s="1"/>
  <c r="AD114" i="8"/>
  <c r="AD111" i="8" s="1"/>
  <c r="AC114" i="8"/>
  <c r="AC111" i="8" s="1"/>
  <c r="AB114" i="8"/>
  <c r="AB111" i="8" s="1"/>
  <c r="AA114" i="8"/>
  <c r="AA111" i="8" s="1"/>
  <c r="Z114" i="8"/>
  <c r="Z111" i="8" s="1"/>
  <c r="Y114" i="8"/>
  <c r="X114" i="8"/>
  <c r="X111" i="8" s="1"/>
  <c r="W114" i="8"/>
  <c r="W111" i="8" s="1"/>
  <c r="V114" i="8"/>
  <c r="V111" i="8" s="1"/>
  <c r="U114" i="8"/>
  <c r="U111" i="8" s="1"/>
  <c r="T114" i="8"/>
  <c r="T111" i="8" s="1"/>
  <c r="S114" i="8"/>
  <c r="S111" i="8" s="1"/>
  <c r="R114" i="8"/>
  <c r="R111" i="8" s="1"/>
  <c r="Q114" i="8"/>
  <c r="Q111" i="8" s="1"/>
  <c r="P114" i="8"/>
  <c r="P111" i="8" s="1"/>
  <c r="O114" i="8"/>
  <c r="O111" i="8" s="1"/>
  <c r="N114" i="8"/>
  <c r="N111" i="8" s="1"/>
  <c r="M114" i="8"/>
  <c r="M111" i="8" s="1"/>
  <c r="L114" i="8"/>
  <c r="L111" i="8" s="1"/>
  <c r="K114" i="8"/>
  <c r="K111" i="8" s="1"/>
  <c r="J114" i="8"/>
  <c r="J111" i="8" s="1"/>
  <c r="I114" i="8"/>
  <c r="I111" i="8" s="1"/>
  <c r="H114" i="8"/>
  <c r="H111" i="8" s="1"/>
  <c r="AG113" i="8"/>
  <c r="AG112" i="8"/>
  <c r="Y111" i="8"/>
  <c r="AG110" i="8"/>
  <c r="AG109" i="8"/>
  <c r="E108" i="8"/>
  <c r="D108" i="8" s="1"/>
  <c r="D105" i="8" s="1"/>
  <c r="C108" i="8"/>
  <c r="C105" i="8" s="1"/>
  <c r="B108" i="8"/>
  <c r="B105" i="8" s="1"/>
  <c r="AG107" i="8"/>
  <c r="AG106" i="8"/>
  <c r="AE105" i="8"/>
  <c r="AD105" i="8"/>
  <c r="AC105" i="8"/>
  <c r="AB105" i="8"/>
  <c r="AA105" i="8"/>
  <c r="Z105" i="8"/>
  <c r="Y105" i="8"/>
  <c r="X105" i="8"/>
  <c r="W105" i="8"/>
  <c r="V105" i="8"/>
  <c r="U105" i="8"/>
  <c r="T105" i="8"/>
  <c r="S105" i="8"/>
  <c r="R105" i="8"/>
  <c r="Q105" i="8"/>
  <c r="P105" i="8"/>
  <c r="O105" i="8"/>
  <c r="N105" i="8"/>
  <c r="M105" i="8"/>
  <c r="L105" i="8"/>
  <c r="K105" i="8"/>
  <c r="J105" i="8"/>
  <c r="I105" i="8"/>
  <c r="H105" i="8"/>
  <c r="AG104" i="8"/>
  <c r="AG103" i="8"/>
  <c r="E102" i="8"/>
  <c r="D102" i="8" s="1"/>
  <c r="D99" i="8" s="1"/>
  <c r="C102" i="8"/>
  <c r="C99" i="8" s="1"/>
  <c r="B102" i="8"/>
  <c r="AG101" i="8"/>
  <c r="AG100" i="8"/>
  <c r="AE99" i="8"/>
  <c r="AD99" i="8"/>
  <c r="AC99" i="8"/>
  <c r="AB99" i="8"/>
  <c r="AA99" i="8"/>
  <c r="Z99" i="8"/>
  <c r="Y99" i="8"/>
  <c r="X99" i="8"/>
  <c r="W99" i="8"/>
  <c r="V99" i="8"/>
  <c r="U99" i="8"/>
  <c r="T99" i="8"/>
  <c r="S99" i="8"/>
  <c r="R99" i="8"/>
  <c r="Q99" i="8"/>
  <c r="P99" i="8"/>
  <c r="O99" i="8"/>
  <c r="N99" i="8"/>
  <c r="M99" i="8"/>
  <c r="L99" i="8"/>
  <c r="K99" i="8"/>
  <c r="J99" i="8"/>
  <c r="I99" i="8"/>
  <c r="H99" i="8"/>
  <c r="AG98" i="8"/>
  <c r="AG97" i="8"/>
  <c r="E96" i="8"/>
  <c r="D96" i="8" s="1"/>
  <c r="D93" i="8" s="1"/>
  <c r="C93" i="8"/>
  <c r="B96" i="8"/>
  <c r="B93" i="8" s="1"/>
  <c r="AG95" i="8"/>
  <c r="AG94" i="8"/>
  <c r="AE93" i="8"/>
  <c r="AD93" i="8"/>
  <c r="AC93" i="8"/>
  <c r="AB93" i="8"/>
  <c r="AA93" i="8"/>
  <c r="Z93" i="8"/>
  <c r="Y93" i="8"/>
  <c r="X93" i="8"/>
  <c r="W93" i="8"/>
  <c r="V93" i="8"/>
  <c r="U93" i="8"/>
  <c r="T93" i="8"/>
  <c r="S93" i="8"/>
  <c r="R93" i="8"/>
  <c r="Q93" i="8"/>
  <c r="P93" i="8"/>
  <c r="O93" i="8"/>
  <c r="N93" i="8"/>
  <c r="M93" i="8"/>
  <c r="L93" i="8"/>
  <c r="K93" i="8"/>
  <c r="J93" i="8"/>
  <c r="I93" i="8"/>
  <c r="H93" i="8"/>
  <c r="AG92" i="8"/>
  <c r="AG91" i="8"/>
  <c r="E90" i="8"/>
  <c r="D90" i="8" s="1"/>
  <c r="D87" i="8" s="1"/>
  <c r="C90" i="8"/>
  <c r="C87" i="8" s="1"/>
  <c r="B90" i="8"/>
  <c r="AG89" i="8"/>
  <c r="AG88" i="8"/>
  <c r="AE87" i="8"/>
  <c r="AD87" i="8"/>
  <c r="AC87" i="8"/>
  <c r="AB87" i="8"/>
  <c r="AA87" i="8"/>
  <c r="Z87" i="8"/>
  <c r="Y87" i="8"/>
  <c r="X87" i="8"/>
  <c r="W87" i="8"/>
  <c r="V87" i="8"/>
  <c r="U87" i="8"/>
  <c r="T87" i="8"/>
  <c r="S87" i="8"/>
  <c r="R87" i="8"/>
  <c r="Q87" i="8"/>
  <c r="P87" i="8"/>
  <c r="O87" i="8"/>
  <c r="N87" i="8"/>
  <c r="M87" i="8"/>
  <c r="L87" i="8"/>
  <c r="K87" i="8"/>
  <c r="J87" i="8"/>
  <c r="I87" i="8"/>
  <c r="H87" i="8"/>
  <c r="AG86" i="8"/>
  <c r="AG85" i="8"/>
  <c r="E84" i="8"/>
  <c r="D84" i="8" s="1"/>
  <c r="D81" i="8" s="1"/>
  <c r="C84" i="8"/>
  <c r="C81" i="8" s="1"/>
  <c r="B84" i="8"/>
  <c r="B81" i="8" s="1"/>
  <c r="AG83" i="8"/>
  <c r="AG82" i="8"/>
  <c r="AE81" i="8"/>
  <c r="AD81" i="8"/>
  <c r="AC81" i="8"/>
  <c r="AB81" i="8"/>
  <c r="AA81" i="8"/>
  <c r="Z81" i="8"/>
  <c r="Y81" i="8"/>
  <c r="X81" i="8"/>
  <c r="W81" i="8"/>
  <c r="V81" i="8"/>
  <c r="U81" i="8"/>
  <c r="T81" i="8"/>
  <c r="S81" i="8"/>
  <c r="R81" i="8"/>
  <c r="Q81" i="8"/>
  <c r="P81" i="8"/>
  <c r="O81" i="8"/>
  <c r="N81" i="8"/>
  <c r="M81" i="8"/>
  <c r="L81" i="8"/>
  <c r="K81" i="8"/>
  <c r="J81" i="8"/>
  <c r="I81" i="8"/>
  <c r="H81" i="8"/>
  <c r="AG80" i="8"/>
  <c r="AG79" i="8"/>
  <c r="AE78" i="8"/>
  <c r="AE75" i="8" s="1"/>
  <c r="AD78" i="8"/>
  <c r="AD75" i="8" s="1"/>
  <c r="AC78" i="8"/>
  <c r="AB78" i="8"/>
  <c r="AB75" i="8" s="1"/>
  <c r="AA78" i="8"/>
  <c r="AA75" i="8" s="1"/>
  <c r="Z78" i="8"/>
  <c r="Z75" i="8" s="1"/>
  <c r="Y78" i="8"/>
  <c r="Y75" i="8" s="1"/>
  <c r="X78" i="8"/>
  <c r="X75" i="8" s="1"/>
  <c r="W78" i="8"/>
  <c r="W75" i="8" s="1"/>
  <c r="V78" i="8"/>
  <c r="V75" i="8" s="1"/>
  <c r="U78" i="8"/>
  <c r="U75" i="8" s="1"/>
  <c r="T78" i="8"/>
  <c r="T75" i="8" s="1"/>
  <c r="S78" i="8"/>
  <c r="S75" i="8" s="1"/>
  <c r="R78" i="8"/>
  <c r="R75" i="8" s="1"/>
  <c r="Q78" i="8"/>
  <c r="Q75" i="8" s="1"/>
  <c r="P78" i="8"/>
  <c r="P75" i="8" s="1"/>
  <c r="O78" i="8"/>
  <c r="O75" i="8" s="1"/>
  <c r="N78" i="8"/>
  <c r="N75" i="8" s="1"/>
  <c r="M78" i="8"/>
  <c r="M75" i="8" s="1"/>
  <c r="L78" i="8"/>
  <c r="L75" i="8" s="1"/>
  <c r="K78" i="8"/>
  <c r="K75" i="8" s="1"/>
  <c r="J78" i="8"/>
  <c r="J75" i="8" s="1"/>
  <c r="I78" i="8"/>
  <c r="I75" i="8" s="1"/>
  <c r="H78" i="8"/>
  <c r="H75" i="8" s="1"/>
  <c r="AG77" i="8"/>
  <c r="AG76" i="8"/>
  <c r="AC75" i="8"/>
  <c r="AG74" i="8"/>
  <c r="AG73" i="8"/>
  <c r="E72" i="8"/>
  <c r="D72" i="8" s="1"/>
  <c r="B72" i="8"/>
  <c r="E71" i="8"/>
  <c r="B71" i="8"/>
  <c r="AG71" i="8" s="1"/>
  <c r="AG70" i="8"/>
  <c r="AE69" i="8"/>
  <c r="AD69" i="8"/>
  <c r="AC69" i="8"/>
  <c r="AB69" i="8"/>
  <c r="AA69" i="8"/>
  <c r="Z69" i="8"/>
  <c r="Y69" i="8"/>
  <c r="X69" i="8"/>
  <c r="W69" i="8"/>
  <c r="V69" i="8"/>
  <c r="U69" i="8"/>
  <c r="T69" i="8"/>
  <c r="S69" i="8"/>
  <c r="R69" i="8"/>
  <c r="Q69" i="8"/>
  <c r="P69" i="8"/>
  <c r="O69" i="8"/>
  <c r="N69" i="8"/>
  <c r="M69" i="8"/>
  <c r="L69" i="8"/>
  <c r="K69" i="8"/>
  <c r="J69" i="8"/>
  <c r="I69" i="8"/>
  <c r="H69" i="8"/>
  <c r="AG68" i="8"/>
  <c r="AG67" i="8"/>
  <c r="E66" i="8"/>
  <c r="D66" i="8" s="1"/>
  <c r="B66" i="8"/>
  <c r="E65" i="8"/>
  <c r="B65" i="8"/>
  <c r="AG65" i="8" s="1"/>
  <c r="E64" i="8"/>
  <c r="D64" i="8" s="1"/>
  <c r="C64" i="8"/>
  <c r="B64" i="8"/>
  <c r="AG64" i="8" s="1"/>
  <c r="AG63" i="8"/>
  <c r="AE62" i="8"/>
  <c r="AD62" i="8"/>
  <c r="AC62" i="8"/>
  <c r="AB62" i="8"/>
  <c r="AA62" i="8"/>
  <c r="Z62" i="8"/>
  <c r="Y62" i="8"/>
  <c r="X62" i="8"/>
  <c r="W62" i="8"/>
  <c r="V62" i="8"/>
  <c r="U62" i="8"/>
  <c r="T62" i="8"/>
  <c r="S62" i="8"/>
  <c r="R62" i="8"/>
  <c r="Q62" i="8"/>
  <c r="P62" i="8"/>
  <c r="O62" i="8"/>
  <c r="N62" i="8"/>
  <c r="M62" i="8"/>
  <c r="L62" i="8"/>
  <c r="K62" i="8"/>
  <c r="J62" i="8"/>
  <c r="I62" i="8"/>
  <c r="H62" i="8"/>
  <c r="AG61" i="8"/>
  <c r="AG60" i="8"/>
  <c r="T59" i="8"/>
  <c r="P59" i="8"/>
  <c r="E59" i="8"/>
  <c r="C56" i="8"/>
  <c r="AG58" i="8"/>
  <c r="AG57" i="8"/>
  <c r="AE56" i="8"/>
  <c r="AD56" i="8"/>
  <c r="AC56" i="8"/>
  <c r="AB56" i="8"/>
  <c r="AA56" i="8"/>
  <c r="Z56" i="8"/>
  <c r="Y56" i="8"/>
  <c r="X56" i="8"/>
  <c r="W56" i="8"/>
  <c r="V56" i="8"/>
  <c r="U56" i="8"/>
  <c r="S56" i="8"/>
  <c r="R56" i="8"/>
  <c r="Q56" i="8"/>
  <c r="O56" i="8"/>
  <c r="N56" i="8"/>
  <c r="M56" i="8"/>
  <c r="L56" i="8"/>
  <c r="K56" i="8"/>
  <c r="J56" i="8"/>
  <c r="I56" i="8"/>
  <c r="H56" i="8"/>
  <c r="AG55" i="8"/>
  <c r="AG54" i="8"/>
  <c r="E53" i="8"/>
  <c r="C50" i="8"/>
  <c r="B53" i="8"/>
  <c r="AG53" i="8" s="1"/>
  <c r="AG52" i="8"/>
  <c r="AG51" i="8"/>
  <c r="AE50" i="8"/>
  <c r="AD50" i="8"/>
  <c r="AC50" i="8"/>
  <c r="AB50" i="8"/>
  <c r="AA50" i="8"/>
  <c r="Z50" i="8"/>
  <c r="Y50" i="8"/>
  <c r="X50" i="8"/>
  <c r="W50" i="8"/>
  <c r="V50" i="8"/>
  <c r="U50" i="8"/>
  <c r="T50" i="8"/>
  <c r="S50" i="8"/>
  <c r="R50" i="8"/>
  <c r="Q50" i="8"/>
  <c r="P50" i="8"/>
  <c r="O50" i="8"/>
  <c r="N50" i="8"/>
  <c r="M50" i="8"/>
  <c r="L50" i="8"/>
  <c r="K50" i="8"/>
  <c r="J50" i="8"/>
  <c r="I50" i="8"/>
  <c r="H50" i="8"/>
  <c r="AG49" i="8"/>
  <c r="AG48" i="8"/>
  <c r="AG47" i="8"/>
  <c r="E47" i="8"/>
  <c r="C47" i="8"/>
  <c r="E46" i="8"/>
  <c r="B46" i="8"/>
  <c r="B40" i="8" s="1"/>
  <c r="E45" i="8"/>
  <c r="D45" i="8" s="1"/>
  <c r="C45" i="8"/>
  <c r="B45" i="8"/>
  <c r="AG45" i="8" s="1"/>
  <c r="E44" i="8"/>
  <c r="C44" i="8"/>
  <c r="C38" i="8" s="1"/>
  <c r="B44" i="8"/>
  <c r="AE43" i="8"/>
  <c r="AD43" i="8"/>
  <c r="AC43" i="8"/>
  <c r="AB43" i="8"/>
  <c r="AA43" i="8"/>
  <c r="Z43" i="8"/>
  <c r="Y43" i="8"/>
  <c r="X43" i="8"/>
  <c r="W43" i="8"/>
  <c r="V43" i="8"/>
  <c r="U43" i="8"/>
  <c r="T43" i="8"/>
  <c r="S43" i="8"/>
  <c r="R43" i="8"/>
  <c r="Q43" i="8"/>
  <c r="P43" i="8"/>
  <c r="O43" i="8"/>
  <c r="N43" i="8"/>
  <c r="M43" i="8"/>
  <c r="L43" i="8"/>
  <c r="K43" i="8"/>
  <c r="J43" i="8"/>
  <c r="I43" i="8"/>
  <c r="H43" i="8"/>
  <c r="AG42" i="8"/>
  <c r="AE41" i="8"/>
  <c r="AC41" i="8"/>
  <c r="AA41" i="8"/>
  <c r="Y41" i="8"/>
  <c r="W41" i="8"/>
  <c r="U41" i="8"/>
  <c r="S41" i="8"/>
  <c r="Q41" i="8"/>
  <c r="K41" i="8"/>
  <c r="J41" i="8"/>
  <c r="I41" i="8"/>
  <c r="H41" i="8"/>
  <c r="AE40" i="8"/>
  <c r="AD40" i="8"/>
  <c r="AC40" i="8"/>
  <c r="AB40" i="8"/>
  <c r="AA40" i="8"/>
  <c r="Z40" i="8"/>
  <c r="Y40" i="8"/>
  <c r="X40" i="8"/>
  <c r="W40" i="8"/>
  <c r="V40" i="8"/>
  <c r="U40" i="8"/>
  <c r="S40" i="8"/>
  <c r="R40" i="8"/>
  <c r="Q40" i="8"/>
  <c r="O40" i="8"/>
  <c r="N40" i="8"/>
  <c r="M40" i="8"/>
  <c r="L40" i="8"/>
  <c r="K40" i="8"/>
  <c r="J40" i="8"/>
  <c r="I40" i="8"/>
  <c r="H40" i="8"/>
  <c r="AE39" i="8"/>
  <c r="AD39" i="8"/>
  <c r="AC39" i="8"/>
  <c r="AB39" i="8"/>
  <c r="AA39" i="8"/>
  <c r="Z39" i="8"/>
  <c r="Y39" i="8"/>
  <c r="X39" i="8"/>
  <c r="W39" i="8"/>
  <c r="V39" i="8"/>
  <c r="U39" i="8"/>
  <c r="T39" i="8"/>
  <c r="S39" i="8"/>
  <c r="R39" i="8"/>
  <c r="Q39" i="8"/>
  <c r="P39" i="8"/>
  <c r="O39" i="8"/>
  <c r="N39" i="8"/>
  <c r="M39" i="8"/>
  <c r="L39" i="8"/>
  <c r="K39" i="8"/>
  <c r="J39" i="8"/>
  <c r="I39" i="8"/>
  <c r="H39" i="8"/>
  <c r="AE38" i="8"/>
  <c r="AD38" i="8"/>
  <c r="AC38" i="8"/>
  <c r="AB38" i="8"/>
  <c r="AA38" i="8"/>
  <c r="Z38" i="8"/>
  <c r="Y38" i="8"/>
  <c r="X38" i="8"/>
  <c r="W38" i="8"/>
  <c r="V38" i="8"/>
  <c r="U38" i="8"/>
  <c r="T38" i="8"/>
  <c r="S38" i="8"/>
  <c r="R38" i="8"/>
  <c r="Q38" i="8"/>
  <c r="P38" i="8"/>
  <c r="O38" i="8"/>
  <c r="N38" i="8"/>
  <c r="M38" i="8"/>
  <c r="L38" i="8"/>
  <c r="K38" i="8"/>
  <c r="J38" i="8"/>
  <c r="I38" i="8"/>
  <c r="H38" i="8"/>
  <c r="E22" i="8"/>
  <c r="B22" i="8"/>
  <c r="AG22" i="8" s="1"/>
  <c r="E21" i="8"/>
  <c r="D21" i="8" s="1"/>
  <c r="B21" i="8"/>
  <c r="E20" i="8"/>
  <c r="B20" i="8"/>
  <c r="AG20" i="8" s="1"/>
  <c r="E19" i="8"/>
  <c r="D19" i="8" s="1"/>
  <c r="B19" i="8"/>
  <c r="AE18" i="8"/>
  <c r="AD18" i="8"/>
  <c r="AC18" i="8"/>
  <c r="AB18" i="8"/>
  <c r="AA18" i="8"/>
  <c r="Z18" i="8"/>
  <c r="Y18" i="8"/>
  <c r="X18" i="8"/>
  <c r="W18" i="8"/>
  <c r="V18" i="8"/>
  <c r="U18" i="8"/>
  <c r="T18" i="8"/>
  <c r="S18" i="8"/>
  <c r="R18" i="8"/>
  <c r="Q18" i="8"/>
  <c r="P18" i="8"/>
  <c r="O18" i="8"/>
  <c r="N18" i="8"/>
  <c r="M18" i="8"/>
  <c r="L18" i="8"/>
  <c r="K18" i="8"/>
  <c r="J18" i="8"/>
  <c r="I18" i="8"/>
  <c r="H18" i="8"/>
  <c r="AG17" i="8"/>
  <c r="E16" i="8"/>
  <c r="C16" i="8"/>
  <c r="B16" i="8"/>
  <c r="E15" i="8"/>
  <c r="D15" i="8" s="1"/>
  <c r="C15" i="8"/>
  <c r="B15" i="8"/>
  <c r="AG15" i="8" s="1"/>
  <c r="E14" i="8"/>
  <c r="C14" i="8"/>
  <c r="B14" i="8"/>
  <c r="E13" i="8"/>
  <c r="D13" i="8" s="1"/>
  <c r="C13" i="8"/>
  <c r="B13" i="8"/>
  <c r="AE12" i="8"/>
  <c r="AD12" i="8"/>
  <c r="AC12" i="8"/>
  <c r="AB12" i="8"/>
  <c r="AA12" i="8"/>
  <c r="Z12" i="8"/>
  <c r="Y12" i="8"/>
  <c r="X12" i="8"/>
  <c r="W12" i="8"/>
  <c r="V12" i="8"/>
  <c r="U12" i="8"/>
  <c r="T12" i="8"/>
  <c r="S12" i="8"/>
  <c r="R12" i="8"/>
  <c r="Q12" i="8"/>
  <c r="P12" i="8"/>
  <c r="O12" i="8"/>
  <c r="N12" i="8"/>
  <c r="M12" i="8"/>
  <c r="L12" i="8"/>
  <c r="K12" i="8"/>
  <c r="J12" i="8"/>
  <c r="I12" i="8"/>
  <c r="H12" i="8"/>
  <c r="AG11" i="8"/>
  <c r="B37" i="8" l="1"/>
  <c r="B81" i="12"/>
  <c r="AG105" i="12"/>
  <c r="B87" i="12"/>
  <c r="K205" i="12"/>
  <c r="S205" i="12"/>
  <c r="AA205" i="12"/>
  <c r="AG214" i="12"/>
  <c r="B208" i="12"/>
  <c r="L355" i="12"/>
  <c r="Q90" i="10"/>
  <c r="Y90" i="10"/>
  <c r="M55" i="11"/>
  <c r="U55" i="11"/>
  <c r="AC55" i="11"/>
  <c r="O73" i="11"/>
  <c r="W73" i="11"/>
  <c r="AE73" i="11"/>
  <c r="O187" i="12"/>
  <c r="AH35" i="10"/>
  <c r="K90" i="10"/>
  <c r="S90" i="10"/>
  <c r="AA90" i="10"/>
  <c r="AH109" i="11"/>
  <c r="C21" i="11"/>
  <c r="C56" i="11"/>
  <c r="AH56" i="11" s="1"/>
  <c r="Q55" i="11"/>
  <c r="Y55" i="11"/>
  <c r="Q137" i="11"/>
  <c r="C76" i="11"/>
  <c r="AE235" i="12"/>
  <c r="C277" i="12"/>
  <c r="E69" i="10"/>
  <c r="E66" i="10" s="1"/>
  <c r="L90" i="10"/>
  <c r="T90" i="10"/>
  <c r="AB90" i="10"/>
  <c r="N90" i="10"/>
  <c r="V90" i="10"/>
  <c r="M90" i="10"/>
  <c r="U90" i="10"/>
  <c r="D58" i="10"/>
  <c r="C23" i="11"/>
  <c r="C136" i="11" s="1"/>
  <c r="E22" i="11"/>
  <c r="AH28" i="11"/>
  <c r="B52" i="11"/>
  <c r="B22" i="11" s="1"/>
  <c r="C52" i="11"/>
  <c r="AH52" i="11" s="1"/>
  <c r="C59" i="11"/>
  <c r="AH71" i="11"/>
  <c r="AH74" i="11"/>
  <c r="AH75" i="11"/>
  <c r="AH77" i="11"/>
  <c r="AH94" i="11"/>
  <c r="AH69" i="10"/>
  <c r="AH13" i="11"/>
  <c r="AG45" i="11"/>
  <c r="B21" i="11"/>
  <c r="B144" i="11" s="1"/>
  <c r="AH46" i="11"/>
  <c r="C57" i="11"/>
  <c r="AH57" i="11" s="1"/>
  <c r="C58" i="11"/>
  <c r="D64" i="11"/>
  <c r="D61" i="11" s="1"/>
  <c r="AH64" i="11"/>
  <c r="AH68" i="11"/>
  <c r="AH41" i="10"/>
  <c r="D51" i="11"/>
  <c r="AH51" i="11"/>
  <c r="B70" i="11"/>
  <c r="AG70" i="11" s="1"/>
  <c r="C70" i="11"/>
  <c r="AH101" i="11"/>
  <c r="AH122" i="11"/>
  <c r="D70" i="11"/>
  <c r="AH70" i="11"/>
  <c r="C140" i="11"/>
  <c r="AH15" i="11"/>
  <c r="C20" i="11"/>
  <c r="AH20" i="11" s="1"/>
  <c r="AH26" i="11"/>
  <c r="AH97" i="11"/>
  <c r="AH100" i="11"/>
  <c r="AH111" i="11"/>
  <c r="AH118" i="11"/>
  <c r="AH125" i="11"/>
  <c r="AH128" i="11"/>
  <c r="C139" i="11"/>
  <c r="AH139" i="11" s="1"/>
  <c r="AH14" i="11"/>
  <c r="AH96" i="11"/>
  <c r="AH103" i="11"/>
  <c r="AH110" i="11"/>
  <c r="AH117" i="11"/>
  <c r="AH124" i="11"/>
  <c r="AH131" i="11"/>
  <c r="AH45" i="11"/>
  <c r="AH59" i="11"/>
  <c r="C141" i="11"/>
  <c r="AH141" i="11" s="1"/>
  <c r="AH16" i="11"/>
  <c r="AH27" i="11"/>
  <c r="AH119" i="11"/>
  <c r="AH129" i="11"/>
  <c r="G145" i="16"/>
  <c r="F145" i="16"/>
  <c r="C107" i="15"/>
  <c r="X292" i="8"/>
  <c r="W205" i="12"/>
  <c r="Z137" i="11"/>
  <c r="B70" i="10"/>
  <c r="H35" i="9"/>
  <c r="H82" i="9" s="1"/>
  <c r="H93" i="9" s="1"/>
  <c r="C355" i="12"/>
  <c r="C375" i="12" s="1"/>
  <c r="C80" i="12"/>
  <c r="C81" i="12"/>
  <c r="C312" i="12"/>
  <c r="C310" i="12" s="1"/>
  <c r="G21" i="12"/>
  <c r="AG28" i="12"/>
  <c r="C14" i="12"/>
  <c r="C358" i="12" s="1"/>
  <c r="AD354" i="12"/>
  <c r="AD359" i="12"/>
  <c r="C13" i="12"/>
  <c r="C357" i="12" s="1"/>
  <c r="D20" i="12"/>
  <c r="D14" i="12" s="1"/>
  <c r="V302" i="8"/>
  <c r="P302" i="8" s="1"/>
  <c r="B15" i="12"/>
  <c r="AG15" i="12" s="1"/>
  <c r="D28" i="12"/>
  <c r="C82" i="12"/>
  <c r="T354" i="12"/>
  <c r="T374" i="12" s="1"/>
  <c r="AD363" i="12"/>
  <c r="B165" i="12"/>
  <c r="AG165" i="12" s="1"/>
  <c r="AA19" i="11"/>
  <c r="K288" i="8"/>
  <c r="K305" i="8" s="1"/>
  <c r="O288" i="8"/>
  <c r="O313" i="8" s="1"/>
  <c r="S288" i="8"/>
  <c r="S305" i="8" s="1"/>
  <c r="W288" i="8"/>
  <c r="W313" i="8" s="1"/>
  <c r="AA288" i="8"/>
  <c r="AA305" i="8" s="1"/>
  <c r="AE288" i="8"/>
  <c r="AE305" i="8" s="1"/>
  <c r="B160" i="8"/>
  <c r="C38" i="10"/>
  <c r="V66" i="10"/>
  <c r="V65" i="10" s="1"/>
  <c r="W19" i="11"/>
  <c r="K358" i="12"/>
  <c r="O358" i="12"/>
  <c r="S358" i="12"/>
  <c r="W358" i="12"/>
  <c r="AA358" i="12"/>
  <c r="AC358" i="12"/>
  <c r="AE358" i="12"/>
  <c r="K360" i="12"/>
  <c r="O360" i="12"/>
  <c r="S360" i="12"/>
  <c r="W360" i="12"/>
  <c r="AA360" i="12"/>
  <c r="AE360" i="12"/>
  <c r="K32" i="9"/>
  <c r="K31" i="9" s="1"/>
  <c r="M290" i="8"/>
  <c r="M315" i="8" s="1"/>
  <c r="Y290" i="8"/>
  <c r="Y315" i="8" s="1"/>
  <c r="H288" i="8"/>
  <c r="H313" i="8" s="1"/>
  <c r="J288" i="8"/>
  <c r="J305" i="8" s="1"/>
  <c r="L288" i="8"/>
  <c r="L313" i="8" s="1"/>
  <c r="N288" i="8"/>
  <c r="N313" i="8" s="1"/>
  <c r="P288" i="8"/>
  <c r="P313" i="8" s="1"/>
  <c r="R288" i="8"/>
  <c r="R305" i="8" s="1"/>
  <c r="T288" i="8"/>
  <c r="T313" i="8" s="1"/>
  <c r="V288" i="8"/>
  <c r="V313" i="8" s="1"/>
  <c r="X288" i="8"/>
  <c r="X313" i="8" s="1"/>
  <c r="Z288" i="8"/>
  <c r="Z305" i="8" s="1"/>
  <c r="AB288" i="8"/>
  <c r="AB313" i="8" s="1"/>
  <c r="AD288" i="8"/>
  <c r="AD313" i="8" s="1"/>
  <c r="P300" i="8"/>
  <c r="E234" i="8"/>
  <c r="E231" i="8" s="1"/>
  <c r="N32" i="9"/>
  <c r="N31" i="9" s="1"/>
  <c r="E50" i="9"/>
  <c r="E49" i="9" s="1"/>
  <c r="J50" i="9"/>
  <c r="J49" i="9" s="1"/>
  <c r="C53" i="9"/>
  <c r="G53" i="9" s="1"/>
  <c r="M12" i="10"/>
  <c r="M11" i="10" s="1"/>
  <c r="E337" i="12"/>
  <c r="C31" i="13"/>
  <c r="AH31" i="13" s="1"/>
  <c r="AB46" i="10"/>
  <c r="AB45" i="10" s="1"/>
  <c r="K66" i="10"/>
  <c r="K65" i="10" s="1"/>
  <c r="D78" i="10"/>
  <c r="X156" i="8"/>
  <c r="W159" i="8"/>
  <c r="W156" i="8" s="1"/>
  <c r="D26" i="13"/>
  <c r="L290" i="8"/>
  <c r="L315" i="8" s="1"/>
  <c r="O159" i="8"/>
  <c r="O156" i="8" s="1"/>
  <c r="D12" i="9"/>
  <c r="D11" i="9" s="1"/>
  <c r="C32" i="10"/>
  <c r="K146" i="11"/>
  <c r="O146" i="11"/>
  <c r="S146" i="11"/>
  <c r="W146" i="11"/>
  <c r="AA146" i="11"/>
  <c r="AE146" i="11"/>
  <c r="D24" i="13"/>
  <c r="B107" i="15"/>
  <c r="C108" i="15"/>
  <c r="E110" i="15"/>
  <c r="P156" i="8"/>
  <c r="I290" i="8"/>
  <c r="I315" i="8" s="1"/>
  <c r="U290" i="8"/>
  <c r="U315" i="8" s="1"/>
  <c r="AC290" i="8"/>
  <c r="AC315" i="8" s="1"/>
  <c r="B298" i="8"/>
  <c r="C69" i="8"/>
  <c r="T302" i="8"/>
  <c r="D33" i="9"/>
  <c r="J96" i="10"/>
  <c r="N96" i="10"/>
  <c r="R96" i="10"/>
  <c r="V96" i="10"/>
  <c r="Z96" i="10"/>
  <c r="AD96" i="10"/>
  <c r="K144" i="11"/>
  <c r="O144" i="11"/>
  <c r="S144" i="11"/>
  <c r="W144" i="11"/>
  <c r="AA144" i="11"/>
  <c r="AE144" i="11"/>
  <c r="M66" i="10"/>
  <c r="M65" i="10" s="1"/>
  <c r="L46" i="10"/>
  <c r="L45" i="10" s="1"/>
  <c r="E14" i="12"/>
  <c r="H357" i="12"/>
  <c r="P357" i="12"/>
  <c r="X357" i="12"/>
  <c r="L357" i="12"/>
  <c r="T357" i="12"/>
  <c r="AB357" i="12"/>
  <c r="E237" i="12"/>
  <c r="H300" i="12"/>
  <c r="C300" i="12" s="1"/>
  <c r="H301" i="12"/>
  <c r="C301" i="12" s="1"/>
  <c r="J357" i="12"/>
  <c r="R357" i="12"/>
  <c r="V357" i="12"/>
  <c r="AD357" i="12"/>
  <c r="N357" i="12"/>
  <c r="Z357" i="12"/>
  <c r="C193" i="12"/>
  <c r="H299" i="12"/>
  <c r="C299" i="12" s="1"/>
  <c r="E151" i="12"/>
  <c r="E148" i="12" s="1"/>
  <c r="E211" i="12"/>
  <c r="C208" i="12"/>
  <c r="E236" i="12"/>
  <c r="B335" i="12"/>
  <c r="AG335" i="12" s="1"/>
  <c r="C335" i="12"/>
  <c r="E115" i="12"/>
  <c r="C337" i="12"/>
  <c r="P364" i="12"/>
  <c r="E140" i="12"/>
  <c r="F140" i="12" s="1"/>
  <c r="P174" i="12"/>
  <c r="I358" i="12"/>
  <c r="M358" i="12"/>
  <c r="Q358" i="12"/>
  <c r="U358" i="12"/>
  <c r="Y358" i="12"/>
  <c r="C360" i="12"/>
  <c r="I360" i="12"/>
  <c r="M360" i="12"/>
  <c r="Q360" i="12"/>
  <c r="U360" i="12"/>
  <c r="Y360" i="12"/>
  <c r="AC360" i="12"/>
  <c r="AE31" i="12"/>
  <c r="J359" i="12"/>
  <c r="N359" i="12"/>
  <c r="R359" i="12"/>
  <c r="V359" i="12"/>
  <c r="Z359" i="12"/>
  <c r="T162" i="12"/>
  <c r="L364" i="12"/>
  <c r="AB364" i="12"/>
  <c r="AG152" i="12"/>
  <c r="AG178" i="12"/>
  <c r="H359" i="12"/>
  <c r="L359" i="12"/>
  <c r="P359" i="12"/>
  <c r="X359" i="12"/>
  <c r="AB359" i="12"/>
  <c r="T364" i="12"/>
  <c r="X364" i="12"/>
  <c r="E74" i="9"/>
  <c r="E73" i="9" s="1"/>
  <c r="E38" i="9"/>
  <c r="E37" i="9" s="1"/>
  <c r="B33" i="9"/>
  <c r="B85" i="9" s="1"/>
  <c r="B20" i="11"/>
  <c r="AG20" i="11" s="1"/>
  <c r="E76" i="11"/>
  <c r="E73" i="11" s="1"/>
  <c r="E103" i="12"/>
  <c r="G103" i="12" s="1"/>
  <c r="H162" i="12"/>
  <c r="L162" i="12"/>
  <c r="P162" i="12"/>
  <c r="X162" i="12"/>
  <c r="AB162" i="12"/>
  <c r="B168" i="12"/>
  <c r="AG168" i="12" s="1"/>
  <c r="C190" i="12"/>
  <c r="J334" i="12"/>
  <c r="N334" i="12"/>
  <c r="R334" i="12"/>
  <c r="V334" i="12"/>
  <c r="Z334" i="12"/>
  <c r="AD334" i="12"/>
  <c r="B106" i="15"/>
  <c r="L37" i="8"/>
  <c r="Q290" i="8"/>
  <c r="Q315" i="8" s="1"/>
  <c r="AB156" i="8"/>
  <c r="I288" i="8"/>
  <c r="I305" i="8" s="1"/>
  <c r="M288" i="8"/>
  <c r="M313" i="8" s="1"/>
  <c r="Q288" i="8"/>
  <c r="Q313" i="8" s="1"/>
  <c r="U288" i="8"/>
  <c r="U313" i="8" s="1"/>
  <c r="Y288" i="8"/>
  <c r="Y305" i="8" s="1"/>
  <c r="AC288" i="8"/>
  <c r="AC313" i="8" s="1"/>
  <c r="E105" i="8"/>
  <c r="F105" i="8" s="1"/>
  <c r="E138" i="8"/>
  <c r="E135" i="8" s="1"/>
  <c r="E141" i="8"/>
  <c r="B234" i="8"/>
  <c r="B251" i="8"/>
  <c r="B249" i="8" s="1"/>
  <c r="AG249" i="8" s="1"/>
  <c r="C255" i="8"/>
  <c r="B261" i="8"/>
  <c r="AG261" i="8" s="1"/>
  <c r="E68" i="9"/>
  <c r="E67" i="9" s="1"/>
  <c r="H133" i="11"/>
  <c r="H153" i="11" s="1"/>
  <c r="L133" i="11"/>
  <c r="L153" i="11" s="1"/>
  <c r="P133" i="11"/>
  <c r="P153" i="11" s="1"/>
  <c r="T133" i="11"/>
  <c r="T153" i="11" s="1"/>
  <c r="X133" i="11"/>
  <c r="X153" i="11" s="1"/>
  <c r="AB133" i="11"/>
  <c r="AB153" i="11" s="1"/>
  <c r="E21" i="11"/>
  <c r="E144" i="11" s="1"/>
  <c r="L49" i="11"/>
  <c r="B175" i="12"/>
  <c r="AG175" i="12" s="1"/>
  <c r="B256" i="12"/>
  <c r="AG256" i="12" s="1"/>
  <c r="E278" i="12"/>
  <c r="D278" i="12" s="1"/>
  <c r="B311" i="12"/>
  <c r="C106" i="15"/>
  <c r="B110" i="15"/>
  <c r="T290" i="8"/>
  <c r="T315" i="8" s="1"/>
  <c r="X287" i="8"/>
  <c r="P40" i="8"/>
  <c r="P37" i="8" s="1"/>
  <c r="T156" i="8"/>
  <c r="B38" i="8"/>
  <c r="AG38" i="8" s="1"/>
  <c r="AA289" i="8"/>
  <c r="AA314" i="8" s="1"/>
  <c r="K290" i="8"/>
  <c r="K315" i="8" s="1"/>
  <c r="O290" i="8"/>
  <c r="O315" i="8" s="1"/>
  <c r="S290" i="8"/>
  <c r="S315" i="8" s="1"/>
  <c r="W290" i="8"/>
  <c r="W315" i="8" s="1"/>
  <c r="AA290" i="8"/>
  <c r="AA315" i="8" s="1"/>
  <c r="AE290" i="8"/>
  <c r="AE315" i="8" s="1"/>
  <c r="E217" i="8"/>
  <c r="C234" i="8"/>
  <c r="C231" i="8" s="1"/>
  <c r="C58" i="10"/>
  <c r="C57" i="10" s="1"/>
  <c r="C78" i="10"/>
  <c r="AH78" i="10" s="1"/>
  <c r="Y19" i="11"/>
  <c r="AC19" i="11"/>
  <c r="L22" i="11"/>
  <c r="L145" i="11" s="1"/>
  <c r="AG59" i="11"/>
  <c r="E73" i="12"/>
  <c r="G73" i="12" s="1"/>
  <c r="D124" i="12"/>
  <c r="G124" i="12"/>
  <c r="AG135" i="12"/>
  <c r="F135" i="12"/>
  <c r="W148" i="12"/>
  <c r="B163" i="12"/>
  <c r="AG163" i="12" s="1"/>
  <c r="E247" i="12"/>
  <c r="E106" i="15"/>
  <c r="C110" i="15"/>
  <c r="B35" i="12"/>
  <c r="AG35" i="12" s="1"/>
  <c r="B18" i="12"/>
  <c r="AG18" i="12" s="1"/>
  <c r="L12" i="12"/>
  <c r="B13" i="12"/>
  <c r="B24" i="12"/>
  <c r="AG24" i="12" s="1"/>
  <c r="E108" i="15"/>
  <c r="D34" i="15"/>
  <c r="E107" i="15"/>
  <c r="AG103" i="15"/>
  <c r="B108" i="15"/>
  <c r="F108" i="15" s="1"/>
  <c r="D50" i="15"/>
  <c r="D120" i="15" s="1"/>
  <c r="E120" i="15"/>
  <c r="B80" i="15"/>
  <c r="AG80" i="15" s="1"/>
  <c r="E121" i="15"/>
  <c r="F121" i="15" s="1"/>
  <c r="C118" i="15"/>
  <c r="B39" i="15"/>
  <c r="AG39" i="15" s="1"/>
  <c r="C18" i="15"/>
  <c r="AB111" i="15"/>
  <c r="U124" i="15"/>
  <c r="Y124" i="15"/>
  <c r="AC124" i="15"/>
  <c r="K12" i="10"/>
  <c r="K11" i="10" s="1"/>
  <c r="AG52" i="11"/>
  <c r="V287" i="8"/>
  <c r="V312" i="8" s="1"/>
  <c r="V138" i="8"/>
  <c r="C187" i="8"/>
  <c r="I46" i="10"/>
  <c r="I45" i="10" s="1"/>
  <c r="AD66" i="10"/>
  <c r="AD65" i="10" s="1"/>
  <c r="C84" i="10"/>
  <c r="G84" i="10" s="1"/>
  <c r="C12" i="11"/>
  <c r="D14" i="11"/>
  <c r="D139" i="11" s="1"/>
  <c r="J148" i="12"/>
  <c r="N148" i="12"/>
  <c r="R148" i="12"/>
  <c r="V148" i="12"/>
  <c r="Z148" i="12"/>
  <c r="AD148" i="12"/>
  <c r="D170" i="12"/>
  <c r="D164" i="12" s="1"/>
  <c r="E257" i="12"/>
  <c r="G257" i="12" s="1"/>
  <c r="G281" i="12"/>
  <c r="G287" i="12"/>
  <c r="X298" i="12"/>
  <c r="E312" i="12"/>
  <c r="D312" i="12" s="1"/>
  <c r="E313" i="12"/>
  <c r="G313" i="12" s="1"/>
  <c r="B316" i="12"/>
  <c r="AG316" i="12" s="1"/>
  <c r="C12" i="15"/>
  <c r="E12" i="15"/>
  <c r="C20" i="9"/>
  <c r="C19" i="9" s="1"/>
  <c r="C26" i="9"/>
  <c r="C25" i="9" s="1"/>
  <c r="C67" i="11"/>
  <c r="X73" i="11"/>
  <c r="AB12" i="12"/>
  <c r="P12" i="12"/>
  <c r="X12" i="12"/>
  <c r="S148" i="12"/>
  <c r="D157" i="12"/>
  <c r="D154" i="12" s="1"/>
  <c r="C162" i="12"/>
  <c r="K162" i="12"/>
  <c r="O162" i="12"/>
  <c r="S162" i="12"/>
  <c r="W162" i="12"/>
  <c r="AA162" i="12"/>
  <c r="AE162" i="12"/>
  <c r="E223" i="12"/>
  <c r="E229" i="12"/>
  <c r="E258" i="12"/>
  <c r="G258" i="12" s="1"/>
  <c r="B46" i="15"/>
  <c r="AG46" i="15" s="1"/>
  <c r="C149" i="8"/>
  <c r="AA156" i="8"/>
  <c r="E187" i="8"/>
  <c r="C34" i="9"/>
  <c r="C86" i="9" s="1"/>
  <c r="U85" i="12"/>
  <c r="D238" i="12"/>
  <c r="C32" i="15"/>
  <c r="G16" i="8"/>
  <c r="C33" i="9"/>
  <c r="C85" i="9" s="1"/>
  <c r="C47" i="10"/>
  <c r="AH47" i="10" s="1"/>
  <c r="D100" i="12"/>
  <c r="D97" i="12" s="1"/>
  <c r="G100" i="12"/>
  <c r="H174" i="12"/>
  <c r="C188" i="12"/>
  <c r="AB257" i="12"/>
  <c r="AB255" i="12" s="1"/>
  <c r="AB261" i="12"/>
  <c r="C336" i="12"/>
  <c r="G103" i="15"/>
  <c r="C68" i="10"/>
  <c r="AH68" i="10" s="1"/>
  <c r="K46" i="10"/>
  <c r="K45" i="10" s="1"/>
  <c r="E87" i="12"/>
  <c r="F43" i="12"/>
  <c r="I61" i="12"/>
  <c r="I300" i="12"/>
  <c r="E300" i="12" s="1"/>
  <c r="D300" i="12" s="1"/>
  <c r="I301" i="12"/>
  <c r="I364" i="12" s="1"/>
  <c r="T359" i="12"/>
  <c r="B238" i="12"/>
  <c r="AG238" i="12" s="1"/>
  <c r="E86" i="12"/>
  <c r="F86" i="12" s="1"/>
  <c r="B88" i="12"/>
  <c r="AG88" i="12" s="1"/>
  <c r="C12" i="8"/>
  <c r="H290" i="8"/>
  <c r="H315" i="8" s="1"/>
  <c r="P290" i="8"/>
  <c r="P315" i="8" s="1"/>
  <c r="X290" i="8"/>
  <c r="X315" i="8" s="1"/>
  <c r="AB290" i="8"/>
  <c r="AB315" i="8" s="1"/>
  <c r="S156" i="8"/>
  <c r="Z157" i="8"/>
  <c r="Z138" i="8" s="1"/>
  <c r="Z135" i="8" s="1"/>
  <c r="V32" i="9"/>
  <c r="V31" i="9" s="1"/>
  <c r="AD32" i="9"/>
  <c r="AD31" i="9" s="1"/>
  <c r="K97" i="10"/>
  <c r="K94" i="10" s="1"/>
  <c r="O97" i="10"/>
  <c r="S97" i="10"/>
  <c r="W97" i="10"/>
  <c r="AA97" i="10"/>
  <c r="AE97" i="10"/>
  <c r="E58" i="10"/>
  <c r="AG34" i="11"/>
  <c r="B31" i="11"/>
  <c r="AG31" i="11" s="1"/>
  <c r="AG94" i="11"/>
  <c r="B93" i="11"/>
  <c r="AG93" i="11" s="1"/>
  <c r="B121" i="11"/>
  <c r="AG121" i="11" s="1"/>
  <c r="E40" i="8"/>
  <c r="K156" i="8"/>
  <c r="L156" i="8"/>
  <c r="I55" i="11"/>
  <c r="AG82" i="11"/>
  <c r="B76" i="11"/>
  <c r="AG76" i="11" s="1"/>
  <c r="C93" i="11"/>
  <c r="C107" i="11"/>
  <c r="H287" i="8"/>
  <c r="H312" i="8" s="1"/>
  <c r="E81" i="8"/>
  <c r="F81" i="8" s="1"/>
  <c r="N157" i="8"/>
  <c r="N138" i="8" s="1"/>
  <c r="N135" i="8" s="1"/>
  <c r="AD157" i="8"/>
  <c r="AD287" i="8" s="1"/>
  <c r="AE159" i="8"/>
  <c r="AE156" i="8" s="1"/>
  <c r="Z160" i="8"/>
  <c r="Z290" i="8" s="1"/>
  <c r="AD160" i="8"/>
  <c r="AD290" i="8" s="1"/>
  <c r="E211" i="8"/>
  <c r="G211" i="8" s="1"/>
  <c r="B237" i="8"/>
  <c r="AG237" i="8" s="1"/>
  <c r="B243" i="8"/>
  <c r="AG243" i="8" s="1"/>
  <c r="E251" i="8"/>
  <c r="E249" i="8" s="1"/>
  <c r="G249" i="8" s="1"/>
  <c r="R302" i="8"/>
  <c r="L96" i="10"/>
  <c r="P96" i="10"/>
  <c r="T96" i="10"/>
  <c r="X96" i="10"/>
  <c r="AB96" i="10"/>
  <c r="M97" i="10"/>
  <c r="M94" i="10" s="1"/>
  <c r="Q97" i="10"/>
  <c r="U97" i="10"/>
  <c r="Y97" i="10"/>
  <c r="AC97" i="10"/>
  <c r="C48" i="10"/>
  <c r="AH48" i="10" s="1"/>
  <c r="N66" i="10"/>
  <c r="N65" i="10" s="1"/>
  <c r="B69" i="10"/>
  <c r="F69" i="10" s="1"/>
  <c r="F66" i="10" s="1"/>
  <c r="AE19" i="11"/>
  <c r="B79" i="11"/>
  <c r="AG79" i="11" s="1"/>
  <c r="B85" i="11"/>
  <c r="AG85" i="11" s="1"/>
  <c r="AG128" i="11"/>
  <c r="B127" i="11"/>
  <c r="AG127" i="11" s="1"/>
  <c r="B62" i="9"/>
  <c r="B61" i="9" s="1"/>
  <c r="C50" i="10"/>
  <c r="AH50" i="10" s="1"/>
  <c r="O19" i="11"/>
  <c r="AG40" i="11"/>
  <c r="B37" i="11"/>
  <c r="AG37" i="11" s="1"/>
  <c r="AG116" i="11"/>
  <c r="B115" i="11"/>
  <c r="AG115" i="11" s="1"/>
  <c r="I136" i="11"/>
  <c r="I156" i="11" s="1"/>
  <c r="M136" i="11"/>
  <c r="M156" i="11" s="1"/>
  <c r="Q136" i="11"/>
  <c r="Q156" i="11" s="1"/>
  <c r="U136" i="11"/>
  <c r="U156" i="11" s="1"/>
  <c r="Y136" i="11"/>
  <c r="AC136" i="11"/>
  <c r="AC156" i="11" s="1"/>
  <c r="AG74" i="11"/>
  <c r="H73" i="11"/>
  <c r="L73" i="11"/>
  <c r="P73" i="11"/>
  <c r="T73" i="11"/>
  <c r="AB73" i="11"/>
  <c r="AG75" i="11"/>
  <c r="B33" i="12"/>
  <c r="AG33" i="12" s="1"/>
  <c r="E49" i="12"/>
  <c r="G49" i="12" s="1"/>
  <c r="E80" i="12"/>
  <c r="U82" i="12"/>
  <c r="E82" i="12" s="1"/>
  <c r="C86" i="12"/>
  <c r="AG89" i="12"/>
  <c r="AG131" i="12"/>
  <c r="F154" i="12"/>
  <c r="B177" i="12"/>
  <c r="AG177" i="12" s="1"/>
  <c r="C211" i="12"/>
  <c r="B275" i="12"/>
  <c r="R274" i="12"/>
  <c r="Z274" i="12"/>
  <c r="B280" i="12"/>
  <c r="AG280" i="12" s="1"/>
  <c r="AB310" i="12"/>
  <c r="I334" i="12"/>
  <c r="M334" i="12"/>
  <c r="Q334" i="12"/>
  <c r="U334" i="12"/>
  <c r="Y334" i="12"/>
  <c r="AC334" i="12"/>
  <c r="E336" i="12"/>
  <c r="B346" i="12"/>
  <c r="AG346" i="12" s="1"/>
  <c r="B113" i="15"/>
  <c r="AG113" i="15" s="1"/>
  <c r="C114" i="15"/>
  <c r="AG119" i="15"/>
  <c r="C121" i="15"/>
  <c r="G71" i="15"/>
  <c r="C74" i="15"/>
  <c r="M354" i="12"/>
  <c r="M374" i="12" s="1"/>
  <c r="Q354" i="12"/>
  <c r="Q374" i="12" s="1"/>
  <c r="U354" i="12"/>
  <c r="U374" i="12" s="1"/>
  <c r="Y354" i="12"/>
  <c r="Y374" i="12" s="1"/>
  <c r="AC354" i="12"/>
  <c r="AC374" i="12" s="1"/>
  <c r="C88" i="12"/>
  <c r="C206" i="12"/>
  <c r="G20" i="13"/>
  <c r="G17" i="13" s="1"/>
  <c r="G16" i="13" s="1"/>
  <c r="F20" i="13"/>
  <c r="F17" i="13" s="1"/>
  <c r="F16" i="13" s="1"/>
  <c r="AC22" i="13"/>
  <c r="AC27" i="13" s="1"/>
  <c r="AC30" i="13"/>
  <c r="I127" i="12"/>
  <c r="M127" i="12"/>
  <c r="Q127" i="12"/>
  <c r="Y127" i="12"/>
  <c r="AC127" i="12"/>
  <c r="C148" i="12"/>
  <c r="B189" i="12"/>
  <c r="AG189" i="12" s="1"/>
  <c r="S187" i="12"/>
  <c r="C189" i="12"/>
  <c r="E199" i="12"/>
  <c r="E207" i="12"/>
  <c r="K235" i="12"/>
  <c r="B277" i="12"/>
  <c r="AG277" i="12" s="1"/>
  <c r="J143" i="11"/>
  <c r="N143" i="11"/>
  <c r="R143" i="11"/>
  <c r="V143" i="11"/>
  <c r="Z143" i="11"/>
  <c r="AD143" i="11"/>
  <c r="I134" i="11"/>
  <c r="I154" i="11" s="1"/>
  <c r="M134" i="11"/>
  <c r="M154" i="11" s="1"/>
  <c r="Q134" i="11"/>
  <c r="Q154" i="11" s="1"/>
  <c r="U134" i="11"/>
  <c r="U154" i="11" s="1"/>
  <c r="Y134" i="11"/>
  <c r="Y154" i="11" s="1"/>
  <c r="AC134" i="11"/>
  <c r="AC154" i="11" s="1"/>
  <c r="J73" i="11"/>
  <c r="N73" i="11"/>
  <c r="E32" i="12"/>
  <c r="E33" i="12"/>
  <c r="D33" i="12" s="1"/>
  <c r="M363" i="12"/>
  <c r="U363" i="12"/>
  <c r="AC363" i="12"/>
  <c r="E34" i="12"/>
  <c r="D34" i="12" s="1"/>
  <c r="W31" i="12"/>
  <c r="AA31" i="12"/>
  <c r="E109" i="12"/>
  <c r="E121" i="12"/>
  <c r="C133" i="12"/>
  <c r="X174" i="12"/>
  <c r="B180" i="12"/>
  <c r="AG180" i="12" s="1"/>
  <c r="C229" i="12"/>
  <c r="AG259" i="12"/>
  <c r="E275" i="12"/>
  <c r="D275" i="12" s="1"/>
  <c r="E276" i="12"/>
  <c r="D276" i="12" s="1"/>
  <c r="AG338" i="12"/>
  <c r="E112" i="15"/>
  <c r="C115" i="15"/>
  <c r="E118" i="15"/>
  <c r="F118" i="15" s="1"/>
  <c r="B32" i="15"/>
  <c r="AG32" i="15" s="1"/>
  <c r="C39" i="15"/>
  <c r="C80" i="15"/>
  <c r="C94" i="15"/>
  <c r="I19" i="11"/>
  <c r="F14" i="13"/>
  <c r="F11" i="13" s="1"/>
  <c r="F10" i="13" s="1"/>
  <c r="G14" i="13"/>
  <c r="G11" i="13" s="1"/>
  <c r="G10" i="13" s="1"/>
  <c r="E272" i="8"/>
  <c r="C272" i="8"/>
  <c r="C269" i="8" s="1"/>
  <c r="B272" i="8"/>
  <c r="B269" i="8" s="1"/>
  <c r="AG269" i="8" s="1"/>
  <c r="AG255" i="8"/>
  <c r="E196" i="8"/>
  <c r="E205" i="8"/>
  <c r="F205" i="8" s="1"/>
  <c r="D184" i="8"/>
  <c r="D181" i="8" s="1"/>
  <c r="F181" i="8"/>
  <c r="E175" i="8"/>
  <c r="G175" i="8" s="1"/>
  <c r="E159" i="8"/>
  <c r="E156" i="8" s="1"/>
  <c r="C162" i="8"/>
  <c r="H156" i="8"/>
  <c r="C298" i="8"/>
  <c r="G120" i="8"/>
  <c r="E93" i="8"/>
  <c r="F93" i="8" s="1"/>
  <c r="E78" i="8"/>
  <c r="E75" i="8" s="1"/>
  <c r="B17" i="13"/>
  <c r="B16" i="13" s="1"/>
  <c r="AG16" i="13" s="1"/>
  <c r="J22" i="13"/>
  <c r="J27" i="13" s="1"/>
  <c r="N22" i="13"/>
  <c r="N27" i="13" s="1"/>
  <c r="R22" i="13"/>
  <c r="R27" i="13" s="1"/>
  <c r="V22" i="13"/>
  <c r="V27" i="13" s="1"/>
  <c r="Z22" i="13"/>
  <c r="Z27" i="13" s="1"/>
  <c r="AD22" i="13"/>
  <c r="AD27" i="13" s="1"/>
  <c r="Q22" i="13"/>
  <c r="Q27" i="13" s="1"/>
  <c r="U22" i="13"/>
  <c r="U27" i="13" s="1"/>
  <c r="D11" i="13"/>
  <c r="D10" i="13" s="1"/>
  <c r="B11" i="13"/>
  <c r="B10" i="13" s="1"/>
  <c r="AG10" i="13" s="1"/>
  <c r="C11" i="13"/>
  <c r="C10" i="13" s="1"/>
  <c r="I22" i="13"/>
  <c r="I27" i="13" s="1"/>
  <c r="M22" i="13"/>
  <c r="M27" i="13" s="1"/>
  <c r="Y22" i="13"/>
  <c r="Y27" i="13" s="1"/>
  <c r="D295" i="8"/>
  <c r="L287" i="8"/>
  <c r="L312" i="8" s="1"/>
  <c r="P287" i="8"/>
  <c r="P312" i="8" s="1"/>
  <c r="T287" i="8"/>
  <c r="T312" i="8" s="1"/>
  <c r="AB287" i="8"/>
  <c r="AB312" i="8" s="1"/>
  <c r="B144" i="8"/>
  <c r="AG81" i="12"/>
  <c r="E294" i="8"/>
  <c r="G20" i="8"/>
  <c r="E18" i="8"/>
  <c r="X37" i="8"/>
  <c r="S138" i="8"/>
  <c r="J157" i="8"/>
  <c r="J287" i="8" s="1"/>
  <c r="M156" i="8"/>
  <c r="J162" i="8"/>
  <c r="C18" i="8"/>
  <c r="V298" i="8"/>
  <c r="V162" i="8"/>
  <c r="E302" i="12"/>
  <c r="D302" i="12" s="1"/>
  <c r="B294" i="8"/>
  <c r="AG294" i="8" s="1"/>
  <c r="R157" i="8"/>
  <c r="R287" i="8" s="1"/>
  <c r="D59" i="9"/>
  <c r="D56" i="9" s="1"/>
  <c r="D55" i="9" s="1"/>
  <c r="C72" i="10"/>
  <c r="G78" i="10"/>
  <c r="Q19" i="11"/>
  <c r="M19" i="11"/>
  <c r="U19" i="11"/>
  <c r="L79" i="12"/>
  <c r="P79" i="12"/>
  <c r="T79" i="12"/>
  <c r="X79" i="12"/>
  <c r="AB79" i="12"/>
  <c r="AG86" i="12"/>
  <c r="G64" i="15"/>
  <c r="E143" i="16"/>
  <c r="F143" i="16" s="1"/>
  <c r="G144" i="16"/>
  <c r="B196" i="8"/>
  <c r="AG196" i="8" s="1"/>
  <c r="G31" i="10"/>
  <c r="B49" i="10"/>
  <c r="T46" i="10"/>
  <c r="T45" i="10" s="1"/>
  <c r="E46" i="10"/>
  <c r="B67" i="10"/>
  <c r="H66" i="10"/>
  <c r="H65" i="10" s="1"/>
  <c r="L66" i="10"/>
  <c r="L65" i="10" s="1"/>
  <c r="P66" i="10"/>
  <c r="P65" i="10" s="1"/>
  <c r="T66" i="10"/>
  <c r="T65" i="10" s="1"/>
  <c r="X66" i="10"/>
  <c r="X65" i="10" s="1"/>
  <c r="AB66" i="10"/>
  <c r="AB65" i="10" s="1"/>
  <c r="K31" i="12"/>
  <c r="O31" i="12"/>
  <c r="S31" i="12"/>
  <c r="J364" i="12"/>
  <c r="N364" i="12"/>
  <c r="R364" i="12"/>
  <c r="V364" i="12"/>
  <c r="Z364" i="12"/>
  <c r="AD364" i="12"/>
  <c r="C37" i="12"/>
  <c r="B83" i="12"/>
  <c r="AG83" i="12" s="1"/>
  <c r="Q85" i="12"/>
  <c r="E133" i="12"/>
  <c r="J174" i="12"/>
  <c r="N174" i="12"/>
  <c r="R174" i="12"/>
  <c r="V174" i="12"/>
  <c r="Z174" i="12"/>
  <c r="AD174" i="12"/>
  <c r="E189" i="12"/>
  <c r="W187" i="12"/>
  <c r="AA187" i="12"/>
  <c r="C199" i="12"/>
  <c r="E208" i="12"/>
  <c r="E217" i="12"/>
  <c r="E238" i="12"/>
  <c r="C236" i="12"/>
  <c r="C247" i="12"/>
  <c r="H255" i="12"/>
  <c r="P255" i="12"/>
  <c r="E267" i="12"/>
  <c r="B278" i="12"/>
  <c r="AG278" i="12" s="1"/>
  <c r="G293" i="12"/>
  <c r="G305" i="12"/>
  <c r="F147" i="16"/>
  <c r="G147" i="16"/>
  <c r="N162" i="8"/>
  <c r="V156" i="8"/>
  <c r="Z162" i="8"/>
  <c r="AD162" i="8"/>
  <c r="D172" i="8"/>
  <c r="D169" i="8" s="1"/>
  <c r="C62" i="9"/>
  <c r="C61" i="9" s="1"/>
  <c r="E49" i="10"/>
  <c r="I92" i="10"/>
  <c r="I89" i="10" s="1"/>
  <c r="I97" i="10"/>
  <c r="I94" i="10" s="1"/>
  <c r="E65" i="10"/>
  <c r="B12" i="11"/>
  <c r="AG12" i="11" s="1"/>
  <c r="G39" i="12"/>
  <c r="AG65" i="12"/>
  <c r="E88" i="12"/>
  <c r="E97" i="12"/>
  <c r="G97" i="12" s="1"/>
  <c r="C130" i="12"/>
  <c r="K148" i="12"/>
  <c r="O148" i="12"/>
  <c r="AA148" i="12"/>
  <c r="AE148" i="12"/>
  <c r="K174" i="12"/>
  <c r="O174" i="12"/>
  <c r="S174" i="12"/>
  <c r="W174" i="12"/>
  <c r="AA174" i="12"/>
  <c r="AE174" i="12"/>
  <c r="B207" i="12"/>
  <c r="AG207" i="12" s="1"/>
  <c r="C217" i="12"/>
  <c r="I255" i="12"/>
  <c r="M255" i="12"/>
  <c r="Q255" i="12"/>
  <c r="U255" i="12"/>
  <c r="Y255" i="12"/>
  <c r="AC255" i="12"/>
  <c r="D147" i="16"/>
  <c r="D144" i="16"/>
  <c r="D143" i="16" s="1"/>
  <c r="D50" i="9"/>
  <c r="D49" i="9" s="1"/>
  <c r="R66" i="10"/>
  <c r="R65" i="10" s="1"/>
  <c r="Z66" i="10"/>
  <c r="Z65" i="10" s="1"/>
  <c r="R73" i="11"/>
  <c r="V73" i="11"/>
  <c r="Z73" i="11"/>
  <c r="AD73" i="11"/>
  <c r="L353" i="12"/>
  <c r="L373" i="12" s="1"/>
  <c r="P353" i="12"/>
  <c r="P373" i="12" s="1"/>
  <c r="T353" i="12"/>
  <c r="T373" i="12" s="1"/>
  <c r="X353" i="12"/>
  <c r="X373" i="12" s="1"/>
  <c r="D43" i="12"/>
  <c r="U61" i="12"/>
  <c r="B82" i="12"/>
  <c r="AG82" i="12" s="1"/>
  <c r="I85" i="12"/>
  <c r="M85" i="12"/>
  <c r="Y85" i="12"/>
  <c r="AC85" i="12"/>
  <c r="AG129" i="12"/>
  <c r="U127" i="12"/>
  <c r="E130" i="12"/>
  <c r="E127" i="12" s="1"/>
  <c r="L174" i="12"/>
  <c r="T174" i="12"/>
  <c r="AB174" i="12"/>
  <c r="K187" i="12"/>
  <c r="E193" i="12"/>
  <c r="G225" i="12"/>
  <c r="S235" i="12"/>
  <c r="W235" i="12"/>
  <c r="AA235" i="12"/>
  <c r="E241" i="12"/>
  <c r="C241" i="12"/>
  <c r="X255" i="12"/>
  <c r="C267" i="12"/>
  <c r="J274" i="12"/>
  <c r="B292" i="12"/>
  <c r="AG292" i="12" s="1"/>
  <c r="P298" i="12"/>
  <c r="B312" i="12"/>
  <c r="AG312" i="12" s="1"/>
  <c r="B313" i="12"/>
  <c r="AG313" i="12" s="1"/>
  <c r="T310" i="12"/>
  <c r="B328" i="12"/>
  <c r="AG328" i="12" s="1"/>
  <c r="G91" i="15"/>
  <c r="F131" i="16"/>
  <c r="G131" i="16"/>
  <c r="C70" i="10"/>
  <c r="AH70" i="10" s="1"/>
  <c r="B68" i="10"/>
  <c r="E52" i="10"/>
  <c r="E24" i="10"/>
  <c r="D24" i="10"/>
  <c r="D251" i="8"/>
  <c r="D249" i="8" s="1"/>
  <c r="D255" i="8"/>
  <c r="I156" i="8"/>
  <c r="I138" i="8"/>
  <c r="Q156" i="8"/>
  <c r="Q138" i="8"/>
  <c r="Q135" i="8" s="1"/>
  <c r="Y156" i="8"/>
  <c r="Y138" i="8"/>
  <c r="Y135" i="8" s="1"/>
  <c r="E12" i="8"/>
  <c r="B296" i="8"/>
  <c r="AG296" i="8" s="1"/>
  <c r="B117" i="8"/>
  <c r="AG117" i="8" s="1"/>
  <c r="B123" i="8"/>
  <c r="AG123" i="8" s="1"/>
  <c r="B129" i="8"/>
  <c r="AG129" i="8" s="1"/>
  <c r="E149" i="8"/>
  <c r="U157" i="8"/>
  <c r="U156" i="8" s="1"/>
  <c r="AC157" i="8"/>
  <c r="J159" i="8"/>
  <c r="N159" i="8"/>
  <c r="Z159" i="8"/>
  <c r="AD159" i="8"/>
  <c r="G166" i="8"/>
  <c r="G189" i="8"/>
  <c r="B199" i="8"/>
  <c r="AG199" i="8" s="1"/>
  <c r="B223" i="8"/>
  <c r="AG223" i="8" s="1"/>
  <c r="B275" i="8"/>
  <c r="AG275" i="8" s="1"/>
  <c r="B281" i="8"/>
  <c r="AG281" i="8" s="1"/>
  <c r="E35" i="9"/>
  <c r="E32" i="9" s="1"/>
  <c r="B56" i="9"/>
  <c r="E12" i="10"/>
  <c r="E11" i="10" s="1"/>
  <c r="R12" i="10"/>
  <c r="R11" i="10" s="1"/>
  <c r="B50" i="10"/>
  <c r="J66" i="10"/>
  <c r="J65" i="10" s="1"/>
  <c r="C67" i="10"/>
  <c r="AH67" i="10" s="1"/>
  <c r="B72" i="10"/>
  <c r="B71" i="10" s="1"/>
  <c r="G87" i="10"/>
  <c r="B49" i="11"/>
  <c r="AG57" i="11"/>
  <c r="E61" i="11"/>
  <c r="F61" i="11" s="1"/>
  <c r="AG77" i="11"/>
  <c r="C99" i="11"/>
  <c r="B107" i="11"/>
  <c r="AG107" i="11" s="1"/>
  <c r="C115" i="11"/>
  <c r="C121" i="11"/>
  <c r="C127" i="11"/>
  <c r="H12" i="12"/>
  <c r="C24" i="12"/>
  <c r="B32" i="12"/>
  <c r="AG32" i="12" s="1"/>
  <c r="E87" i="8"/>
  <c r="G87" i="8" s="1"/>
  <c r="E99" i="8"/>
  <c r="G99" i="8" s="1"/>
  <c r="G126" i="8"/>
  <c r="J141" i="8"/>
  <c r="Z141" i="8"/>
  <c r="J160" i="8"/>
  <c r="J290" i="8" s="1"/>
  <c r="N160" i="8"/>
  <c r="N290" i="8" s="1"/>
  <c r="R160" i="8"/>
  <c r="R290" i="8" s="1"/>
  <c r="V160" i="8"/>
  <c r="V290" i="8" s="1"/>
  <c r="F166" i="8"/>
  <c r="E255" i="8"/>
  <c r="D38" i="9"/>
  <c r="D37" i="9" s="1"/>
  <c r="D34" i="9"/>
  <c r="D86" i="9" s="1"/>
  <c r="D47" i="9"/>
  <c r="D65" i="9"/>
  <c r="D62" i="9" s="1"/>
  <c r="D61" i="9" s="1"/>
  <c r="B68" i="9"/>
  <c r="B67" i="9" s="1"/>
  <c r="C74" i="9"/>
  <c r="C73" i="9" s="1"/>
  <c r="Z12" i="10"/>
  <c r="Z11" i="10" s="1"/>
  <c r="D15" i="10"/>
  <c r="C52" i="10"/>
  <c r="D16" i="11"/>
  <c r="D136" i="11" s="1"/>
  <c r="D156" i="11" s="1"/>
  <c r="B25" i="11"/>
  <c r="AG25" i="11" s="1"/>
  <c r="E58" i="11"/>
  <c r="E55" i="11" s="1"/>
  <c r="G22" i="8"/>
  <c r="H37" i="8"/>
  <c r="AB37" i="8"/>
  <c r="B43" i="8"/>
  <c r="AG43" i="8" s="1"/>
  <c r="B50" i="8"/>
  <c r="AG50" i="8" s="1"/>
  <c r="P56" i="8"/>
  <c r="C78" i="8"/>
  <c r="C75" i="8" s="1"/>
  <c r="B114" i="8"/>
  <c r="AG114" i="8" s="1"/>
  <c r="G124" i="8"/>
  <c r="R162" i="8"/>
  <c r="AG163" i="8"/>
  <c r="D293" i="8"/>
  <c r="J12" i="10"/>
  <c r="J11" i="10" s="1"/>
  <c r="B48" i="10"/>
  <c r="I66" i="10"/>
  <c r="I65" i="10" s="1"/>
  <c r="D69" i="10"/>
  <c r="D66" i="10" s="1"/>
  <c r="D65" i="10" s="1"/>
  <c r="K19" i="11"/>
  <c r="S19" i="11"/>
  <c r="I73" i="11"/>
  <c r="M73" i="11"/>
  <c r="Q73" i="11"/>
  <c r="U73" i="11"/>
  <c r="Y73" i="11"/>
  <c r="AC73" i="11"/>
  <c r="T12" i="12"/>
  <c r="E37" i="12"/>
  <c r="AG34" i="12"/>
  <c r="B80" i="12"/>
  <c r="AG80" i="12" s="1"/>
  <c r="C121" i="12"/>
  <c r="F166" i="12"/>
  <c r="E176" i="12"/>
  <c r="E174" i="12" s="1"/>
  <c r="E206" i="12"/>
  <c r="C223" i="12"/>
  <c r="AG239" i="12"/>
  <c r="C237" i="12"/>
  <c r="C255" i="12"/>
  <c r="L310" i="12"/>
  <c r="B337" i="12"/>
  <c r="AG337" i="12" s="1"/>
  <c r="D30" i="15"/>
  <c r="G35" i="15"/>
  <c r="G49" i="15"/>
  <c r="B68" i="15"/>
  <c r="AG68" i="15" s="1"/>
  <c r="G83" i="15"/>
  <c r="G97" i="15"/>
  <c r="C100" i="15"/>
  <c r="AG63" i="12"/>
  <c r="C61" i="12"/>
  <c r="E67" i="12"/>
  <c r="F67" i="12" s="1"/>
  <c r="J79" i="12"/>
  <c r="N79" i="12"/>
  <c r="R79" i="12"/>
  <c r="V79" i="12"/>
  <c r="Z79" i="12"/>
  <c r="AD79" i="12"/>
  <c r="C115" i="12"/>
  <c r="I162" i="12"/>
  <c r="M162" i="12"/>
  <c r="Q162" i="12"/>
  <c r="U162" i="12"/>
  <c r="Y162" i="12"/>
  <c r="AC162" i="12"/>
  <c r="AG176" i="12"/>
  <c r="E188" i="12"/>
  <c r="E190" i="12"/>
  <c r="AG209" i="12"/>
  <c r="C207" i="12"/>
  <c r="C238" i="12"/>
  <c r="K255" i="12"/>
  <c r="O255" i="12"/>
  <c r="S255" i="12"/>
  <c r="W255" i="12"/>
  <c r="AA255" i="12"/>
  <c r="AE255" i="12"/>
  <c r="C261" i="12"/>
  <c r="K334" i="12"/>
  <c r="O334" i="12"/>
  <c r="S334" i="12"/>
  <c r="W334" i="12"/>
  <c r="AA334" i="12"/>
  <c r="AE334" i="12"/>
  <c r="B31" i="13"/>
  <c r="H22" i="13"/>
  <c r="H27" i="13" s="1"/>
  <c r="L22" i="13"/>
  <c r="L27" i="13" s="1"/>
  <c r="P22" i="13"/>
  <c r="P27" i="13" s="1"/>
  <c r="T22" i="13"/>
  <c r="T27" i="13" s="1"/>
  <c r="X22" i="13"/>
  <c r="X27" i="13" s="1"/>
  <c r="AB22" i="13"/>
  <c r="AB27" i="13" s="1"/>
  <c r="E64" i="12"/>
  <c r="E61" i="12" s="1"/>
  <c r="E81" i="12"/>
  <c r="D81" i="12" s="1"/>
  <c r="E91" i="12"/>
  <c r="G91" i="12" s="1"/>
  <c r="C109" i="12"/>
  <c r="H148" i="12"/>
  <c r="L148" i="12"/>
  <c r="P148" i="12"/>
  <c r="T148" i="12"/>
  <c r="X148" i="12"/>
  <c r="AB148" i="12"/>
  <c r="AG150" i="12"/>
  <c r="I174" i="12"/>
  <c r="M174" i="12"/>
  <c r="Q174" i="12"/>
  <c r="U174" i="12"/>
  <c r="Y174" i="12"/>
  <c r="AC174" i="12"/>
  <c r="AG191" i="12"/>
  <c r="B237" i="12"/>
  <c r="AG237" i="12" s="1"/>
  <c r="E277" i="12"/>
  <c r="B286" i="12"/>
  <c r="AG286" i="12" s="1"/>
  <c r="B304" i="12"/>
  <c r="AG304" i="12" s="1"/>
  <c r="D13" i="15"/>
  <c r="C68" i="15"/>
  <c r="C88" i="15"/>
  <c r="W126" i="15"/>
  <c r="AA126" i="15"/>
  <c r="AE126" i="15"/>
  <c r="B12" i="8"/>
  <c r="AG13" i="8"/>
  <c r="B18" i="8"/>
  <c r="AG19" i="8"/>
  <c r="G19" i="8"/>
  <c r="F21" i="8"/>
  <c r="AG21" i="8"/>
  <c r="G21" i="8"/>
  <c r="G64" i="8"/>
  <c r="C62" i="8"/>
  <c r="G66" i="8"/>
  <c r="C39" i="8"/>
  <c r="C288" i="8" s="1"/>
  <c r="C313" i="8" s="1"/>
  <c r="B69" i="8"/>
  <c r="AG69" i="8" s="1"/>
  <c r="G72" i="8"/>
  <c r="F72" i="8"/>
  <c r="AG81" i="8"/>
  <c r="G84" i="8"/>
  <c r="B87" i="8"/>
  <c r="AG90" i="8"/>
  <c r="G90" i="8"/>
  <c r="AG93" i="8"/>
  <c r="G96" i="8"/>
  <c r="B99" i="8"/>
  <c r="AG102" i="8"/>
  <c r="G102" i="8"/>
  <c r="AG105" i="8"/>
  <c r="G108" i="8"/>
  <c r="F125" i="8"/>
  <c r="AG125" i="8"/>
  <c r="G125" i="8"/>
  <c r="G127" i="8"/>
  <c r="G131" i="8"/>
  <c r="G133" i="8"/>
  <c r="G150" i="8"/>
  <c r="G152" i="8"/>
  <c r="G163" i="8"/>
  <c r="H298" i="8"/>
  <c r="L298" i="8"/>
  <c r="P298" i="8"/>
  <c r="T298" i="8"/>
  <c r="X298" i="8"/>
  <c r="AB298" i="8"/>
  <c r="J300" i="8"/>
  <c r="J297" i="8" s="1"/>
  <c r="N300" i="8"/>
  <c r="N297" i="8" s="1"/>
  <c r="R300" i="8"/>
  <c r="R297" i="8" s="1"/>
  <c r="V300" i="8"/>
  <c r="Z300" i="8"/>
  <c r="Z297" i="8" s="1"/>
  <c r="AD300" i="8"/>
  <c r="AD297" i="8" s="1"/>
  <c r="G172" i="8"/>
  <c r="B175" i="8"/>
  <c r="AG178" i="8"/>
  <c r="G178" i="8"/>
  <c r="AG181" i="8"/>
  <c r="G184" i="8"/>
  <c r="B157" i="8"/>
  <c r="F157" i="8" s="1"/>
  <c r="AG188" i="8"/>
  <c r="D157" i="8"/>
  <c r="D138" i="8" s="1"/>
  <c r="D135" i="8" s="1"/>
  <c r="G188" i="8"/>
  <c r="G190" i="8"/>
  <c r="C160" i="8"/>
  <c r="C290" i="8" s="1"/>
  <c r="AG205" i="8"/>
  <c r="G208" i="8"/>
  <c r="B211" i="8"/>
  <c r="AG214" i="8"/>
  <c r="G214" i="8"/>
  <c r="F220" i="8"/>
  <c r="F257" i="8"/>
  <c r="AG257" i="8"/>
  <c r="G257" i="8"/>
  <c r="I292" i="8"/>
  <c r="M292" i="8"/>
  <c r="Q292" i="8"/>
  <c r="U292" i="8"/>
  <c r="Y292" i="8"/>
  <c r="AC292" i="8"/>
  <c r="C92" i="9"/>
  <c r="D26" i="9"/>
  <c r="D25" i="9" s="1"/>
  <c r="I80" i="9"/>
  <c r="I91" i="9" s="1"/>
  <c r="I85" i="9"/>
  <c r="K80" i="9"/>
  <c r="K91" i="9" s="1"/>
  <c r="K85" i="9"/>
  <c r="M80" i="9"/>
  <c r="M91" i="9" s="1"/>
  <c r="M85" i="9"/>
  <c r="O80" i="9"/>
  <c r="O91" i="9" s="1"/>
  <c r="O85" i="9"/>
  <c r="Q80" i="9"/>
  <c r="Q91" i="9" s="1"/>
  <c r="Q85" i="9"/>
  <c r="S80" i="9"/>
  <c r="S91" i="9" s="1"/>
  <c r="S85" i="9"/>
  <c r="U80" i="9"/>
  <c r="U91" i="9" s="1"/>
  <c r="U85" i="9"/>
  <c r="W80" i="9"/>
  <c r="W91" i="9" s="1"/>
  <c r="W85" i="9"/>
  <c r="Y80" i="9"/>
  <c r="Y91" i="9" s="1"/>
  <c r="Y85" i="9"/>
  <c r="AA80" i="9"/>
  <c r="AA91" i="9" s="1"/>
  <c r="AA85" i="9"/>
  <c r="AC80" i="9"/>
  <c r="AC91" i="9" s="1"/>
  <c r="AC85" i="9"/>
  <c r="AE80" i="9"/>
  <c r="AE91" i="9" s="1"/>
  <c r="AE85" i="9"/>
  <c r="H81" i="9"/>
  <c r="H92" i="9" s="1"/>
  <c r="H86" i="9"/>
  <c r="J81" i="9"/>
  <c r="J92" i="9" s="1"/>
  <c r="J86" i="9"/>
  <c r="L81" i="9"/>
  <c r="L92" i="9" s="1"/>
  <c r="L86" i="9"/>
  <c r="N81" i="9"/>
  <c r="N92" i="9" s="1"/>
  <c r="N86" i="9"/>
  <c r="P81" i="9"/>
  <c r="P92" i="9" s="1"/>
  <c r="P86" i="9"/>
  <c r="R81" i="9"/>
  <c r="R92" i="9" s="1"/>
  <c r="R86" i="9"/>
  <c r="T81" i="9"/>
  <c r="T92" i="9" s="1"/>
  <c r="T86" i="9"/>
  <c r="V81" i="9"/>
  <c r="V92" i="9" s="1"/>
  <c r="V86" i="9"/>
  <c r="X81" i="9"/>
  <c r="X92" i="9" s="1"/>
  <c r="X86" i="9"/>
  <c r="Z81" i="9"/>
  <c r="Z92" i="9" s="1"/>
  <c r="Z86" i="9"/>
  <c r="AB81" i="9"/>
  <c r="AB92" i="9" s="1"/>
  <c r="AB86" i="9"/>
  <c r="AD81" i="9"/>
  <c r="AD92" i="9" s="1"/>
  <c r="AD86" i="9"/>
  <c r="I82" i="9"/>
  <c r="I93" i="9" s="1"/>
  <c r="I87" i="9"/>
  <c r="K82" i="9"/>
  <c r="K93" i="9" s="1"/>
  <c r="K87" i="9"/>
  <c r="M82" i="9"/>
  <c r="M93" i="9" s="1"/>
  <c r="M87" i="9"/>
  <c r="O82" i="9"/>
  <c r="O93" i="9" s="1"/>
  <c r="O87" i="9"/>
  <c r="Q82" i="9"/>
  <c r="Q93" i="9" s="1"/>
  <c r="Q87" i="9"/>
  <c r="S82" i="9"/>
  <c r="S93" i="9" s="1"/>
  <c r="S87" i="9"/>
  <c r="U82" i="9"/>
  <c r="U93" i="9" s="1"/>
  <c r="U87" i="9"/>
  <c r="W82" i="9"/>
  <c r="W93" i="9" s="1"/>
  <c r="W87" i="9"/>
  <c r="Y82" i="9"/>
  <c r="Y93" i="9" s="1"/>
  <c r="Y87" i="9"/>
  <c r="AA82" i="9"/>
  <c r="AA93" i="9" s="1"/>
  <c r="AA87" i="9"/>
  <c r="AC82" i="9"/>
  <c r="AC93" i="9" s="1"/>
  <c r="AC87" i="9"/>
  <c r="AE82" i="9"/>
  <c r="AE93" i="9" s="1"/>
  <c r="AE87" i="9"/>
  <c r="H83" i="9"/>
  <c r="H94" i="9" s="1"/>
  <c r="H88" i="9"/>
  <c r="J83" i="9"/>
  <c r="J94" i="9" s="1"/>
  <c r="J88" i="9"/>
  <c r="L83" i="9"/>
  <c r="L94" i="9" s="1"/>
  <c r="L88" i="9"/>
  <c r="N83" i="9"/>
  <c r="N94" i="9" s="1"/>
  <c r="N88" i="9"/>
  <c r="P83" i="9"/>
  <c r="P94" i="9" s="1"/>
  <c r="P88" i="9"/>
  <c r="R83" i="9"/>
  <c r="R94" i="9" s="1"/>
  <c r="R88" i="9"/>
  <c r="T83" i="9"/>
  <c r="T94" i="9" s="1"/>
  <c r="T88" i="9"/>
  <c r="V83" i="9"/>
  <c r="V94" i="9" s="1"/>
  <c r="V88" i="9"/>
  <c r="X83" i="9"/>
  <c r="X94" i="9" s="1"/>
  <c r="X88" i="9"/>
  <c r="Z83" i="9"/>
  <c r="Z94" i="9" s="1"/>
  <c r="Z88" i="9"/>
  <c r="AB83" i="9"/>
  <c r="AB94" i="9" s="1"/>
  <c r="AB88" i="9"/>
  <c r="AD83" i="9"/>
  <c r="AD94" i="9" s="1"/>
  <c r="AD88" i="9"/>
  <c r="C38" i="9"/>
  <c r="C37" i="9" s="1"/>
  <c r="G47" i="9"/>
  <c r="C44" i="9"/>
  <c r="C36" i="9"/>
  <c r="C88" i="9" s="1"/>
  <c r="F59" i="9"/>
  <c r="F56" i="9" s="1"/>
  <c r="F55" i="9" s="1"/>
  <c r="D36" i="9"/>
  <c r="D88" i="9" s="1"/>
  <c r="D68" i="9"/>
  <c r="D67" i="9" s="1"/>
  <c r="F71" i="9"/>
  <c r="F68" i="9" s="1"/>
  <c r="AG71" i="9"/>
  <c r="G71" i="9"/>
  <c r="C68" i="9"/>
  <c r="G76" i="9"/>
  <c r="E81" i="9"/>
  <c r="E92" i="9" s="1"/>
  <c r="G27" i="10"/>
  <c r="C24" i="10"/>
  <c r="AH24" i="10" s="1"/>
  <c r="D38" i="10"/>
  <c r="D37" i="10" s="1"/>
  <c r="F27" i="11"/>
  <c r="AG27" i="11"/>
  <c r="G27" i="11"/>
  <c r="D21" i="11"/>
  <c r="G45" i="11"/>
  <c r="C43" i="11"/>
  <c r="G51" i="11"/>
  <c r="F51" i="11"/>
  <c r="C49" i="11"/>
  <c r="F57" i="11"/>
  <c r="K55" i="11"/>
  <c r="O55" i="11"/>
  <c r="S55" i="11"/>
  <c r="W55" i="11"/>
  <c r="AA55" i="11"/>
  <c r="AE55" i="11"/>
  <c r="H145" i="11"/>
  <c r="J135" i="11"/>
  <c r="J155" i="11" s="1"/>
  <c r="N135" i="11"/>
  <c r="N155" i="11" s="1"/>
  <c r="P145" i="11"/>
  <c r="R135" i="11"/>
  <c r="R155" i="11" s="1"/>
  <c r="T145" i="11"/>
  <c r="V135" i="11"/>
  <c r="V155" i="11" s="1"/>
  <c r="X145" i="11"/>
  <c r="Z135" i="11"/>
  <c r="Z155" i="11" s="1"/>
  <c r="AB145" i="11"/>
  <c r="AD135" i="11"/>
  <c r="AD155" i="11" s="1"/>
  <c r="F59" i="11"/>
  <c r="I146" i="11"/>
  <c r="K136" i="11"/>
  <c r="K156" i="11" s="1"/>
  <c r="M146" i="11"/>
  <c r="O136" i="11"/>
  <c r="O156" i="11" s="1"/>
  <c r="Q146" i="11"/>
  <c r="S136" i="11"/>
  <c r="S156" i="11" s="1"/>
  <c r="U146" i="11"/>
  <c r="W136" i="11"/>
  <c r="W156" i="11" s="1"/>
  <c r="Y146" i="11"/>
  <c r="AA136" i="11"/>
  <c r="AA156" i="11" s="1"/>
  <c r="AC146" i="11"/>
  <c r="AE136" i="11"/>
  <c r="AE156" i="11" s="1"/>
  <c r="AG61" i="11"/>
  <c r="G64" i="11"/>
  <c r="G68" i="11"/>
  <c r="G70" i="11"/>
  <c r="G71" i="11"/>
  <c r="G75" i="11"/>
  <c r="G77" i="11"/>
  <c r="G97" i="11"/>
  <c r="B99" i="11"/>
  <c r="AG99" i="11" s="1"/>
  <c r="H137" i="11"/>
  <c r="L137" i="11"/>
  <c r="P137" i="11"/>
  <c r="T137" i="11"/>
  <c r="X137" i="11"/>
  <c r="AB137" i="11"/>
  <c r="G26" i="12"/>
  <c r="F38" i="12"/>
  <c r="AG38" i="12"/>
  <c r="G38" i="12"/>
  <c r="AG43" i="12"/>
  <c r="B49" i="12"/>
  <c r="AG52" i="12"/>
  <c r="G52" i="12"/>
  <c r="G62" i="12"/>
  <c r="F63" i="12"/>
  <c r="G63" i="12"/>
  <c r="K61" i="12"/>
  <c r="O61" i="12"/>
  <c r="Q363" i="12"/>
  <c r="S61" i="12"/>
  <c r="W61" i="12"/>
  <c r="Y363" i="12"/>
  <c r="AA61" i="12"/>
  <c r="AE61" i="12"/>
  <c r="F65" i="12"/>
  <c r="AG67" i="12"/>
  <c r="G70" i="12"/>
  <c r="B73" i="12"/>
  <c r="AG76" i="12"/>
  <c r="G76" i="12"/>
  <c r="F89" i="12"/>
  <c r="G89" i="12"/>
  <c r="K85" i="12"/>
  <c r="M79" i="12"/>
  <c r="O85" i="12"/>
  <c r="Q79" i="12"/>
  <c r="S85" i="12"/>
  <c r="W85" i="12"/>
  <c r="Y79" i="12"/>
  <c r="AA85" i="12"/>
  <c r="AC79" i="12"/>
  <c r="AE85" i="12"/>
  <c r="F92" i="12"/>
  <c r="AG92" i="12"/>
  <c r="G92" i="12"/>
  <c r="B91" i="12"/>
  <c r="AG91" i="12" s="1"/>
  <c r="D91" i="12"/>
  <c r="G94" i="12"/>
  <c r="B97" i="12"/>
  <c r="AG100" i="12"/>
  <c r="B103" i="12"/>
  <c r="AG106" i="12"/>
  <c r="G106" i="12"/>
  <c r="B109" i="12"/>
  <c r="AG112" i="12"/>
  <c r="G112" i="12"/>
  <c r="B115" i="12"/>
  <c r="AG118" i="12"/>
  <c r="G118" i="12"/>
  <c r="B121" i="12"/>
  <c r="AG124" i="12"/>
  <c r="G128" i="12"/>
  <c r="F129" i="12"/>
  <c r="K127" i="12"/>
  <c r="O127" i="12"/>
  <c r="S127" i="12"/>
  <c r="W127" i="12"/>
  <c r="AA127" i="12"/>
  <c r="AE127" i="12"/>
  <c r="F131" i="12"/>
  <c r="B133" i="12"/>
  <c r="AG136" i="12"/>
  <c r="G136" i="12"/>
  <c r="AG140" i="12"/>
  <c r="G143" i="12"/>
  <c r="G149" i="12"/>
  <c r="I148" i="12"/>
  <c r="M148" i="12"/>
  <c r="Q148" i="12"/>
  <c r="U148" i="12"/>
  <c r="Y148" i="12"/>
  <c r="AC148" i="12"/>
  <c r="G151" i="12"/>
  <c r="F152" i="12"/>
  <c r="AG154" i="12"/>
  <c r="G157" i="12"/>
  <c r="G164" i="12"/>
  <c r="J162" i="12"/>
  <c r="N162" i="12"/>
  <c r="R162" i="12"/>
  <c r="V162" i="12"/>
  <c r="Z162" i="12"/>
  <c r="AD162" i="12"/>
  <c r="G166" i="12"/>
  <c r="AG166" i="12"/>
  <c r="G170" i="12"/>
  <c r="G178" i="12"/>
  <c r="F182" i="12"/>
  <c r="AG182" i="12"/>
  <c r="I187" i="12"/>
  <c r="M187" i="12"/>
  <c r="Q187" i="12"/>
  <c r="U187" i="12"/>
  <c r="Y187" i="12"/>
  <c r="AC187" i="12"/>
  <c r="F194" i="12"/>
  <c r="AG194" i="12"/>
  <c r="G194" i="12"/>
  <c r="G196" i="12"/>
  <c r="D188" i="12"/>
  <c r="G200" i="12"/>
  <c r="D190" i="12"/>
  <c r="G202" i="12"/>
  <c r="I205" i="12"/>
  <c r="M205" i="12"/>
  <c r="Q205" i="12"/>
  <c r="U205" i="12"/>
  <c r="Y205" i="12"/>
  <c r="AC205" i="12"/>
  <c r="F212" i="12"/>
  <c r="AG212" i="12"/>
  <c r="G212" i="12"/>
  <c r="G214" i="12"/>
  <c r="D206" i="12"/>
  <c r="G218" i="12"/>
  <c r="D208" i="12"/>
  <c r="G220" i="12"/>
  <c r="F224" i="12"/>
  <c r="AG224" i="12"/>
  <c r="G224" i="12"/>
  <c r="G226" i="12"/>
  <c r="G230" i="12"/>
  <c r="G232" i="12"/>
  <c r="I235" i="12"/>
  <c r="M235" i="12"/>
  <c r="Q235" i="12"/>
  <c r="U235" i="12"/>
  <c r="Y235" i="12"/>
  <c r="AC235" i="12"/>
  <c r="F242" i="12"/>
  <c r="AG242" i="12"/>
  <c r="G242" i="12"/>
  <c r="G244" i="12"/>
  <c r="D236" i="12"/>
  <c r="G248" i="12"/>
  <c r="G250" i="12"/>
  <c r="J255" i="12"/>
  <c r="L255" i="12"/>
  <c r="N255" i="12"/>
  <c r="R255" i="12"/>
  <c r="T255" i="12"/>
  <c r="V255" i="12"/>
  <c r="Z255" i="12"/>
  <c r="AD255" i="12"/>
  <c r="G259" i="12"/>
  <c r="G263" i="12"/>
  <c r="B258" i="12"/>
  <c r="AG258" i="12" s="1"/>
  <c r="AG264" i="12"/>
  <c r="G264" i="12"/>
  <c r="G268" i="12"/>
  <c r="G270" i="12"/>
  <c r="B276" i="12"/>
  <c r="AG276" i="12" s="1"/>
  <c r="L274" i="12"/>
  <c r="N274" i="12"/>
  <c r="P274" i="12"/>
  <c r="T274" i="12"/>
  <c r="V274" i="12"/>
  <c r="X274" i="12"/>
  <c r="AB274" i="12"/>
  <c r="AD274" i="12"/>
  <c r="F282" i="12"/>
  <c r="AG282" i="12"/>
  <c r="G282" i="12"/>
  <c r="C280" i="12"/>
  <c r="F288" i="12"/>
  <c r="AG288" i="12"/>
  <c r="G288" i="12"/>
  <c r="C286" i="12"/>
  <c r="F294" i="12"/>
  <c r="AG294" i="12"/>
  <c r="G294" i="12"/>
  <c r="C292" i="12"/>
  <c r="F306" i="12"/>
  <c r="AG306" i="12"/>
  <c r="G306" i="12"/>
  <c r="C304" i="12"/>
  <c r="K298" i="12"/>
  <c r="M298" i="12"/>
  <c r="O298" i="12"/>
  <c r="Q298" i="12"/>
  <c r="S298" i="12"/>
  <c r="U298" i="12"/>
  <c r="W298" i="12"/>
  <c r="Y298" i="12"/>
  <c r="AA298" i="12"/>
  <c r="AC298" i="12"/>
  <c r="AE298" i="12"/>
  <c r="L298" i="12"/>
  <c r="T298" i="12"/>
  <c r="AB298" i="12"/>
  <c r="G324" i="12"/>
  <c r="G330" i="12"/>
  <c r="H334" i="12"/>
  <c r="L334" i="12"/>
  <c r="P334" i="12"/>
  <c r="T334" i="12"/>
  <c r="X334" i="12"/>
  <c r="AB334" i="12"/>
  <c r="G342" i="12"/>
  <c r="G348" i="12"/>
  <c r="B24" i="13"/>
  <c r="AG24" i="13" s="1"/>
  <c r="B29" i="13"/>
  <c r="AG13" i="13"/>
  <c r="D29" i="13"/>
  <c r="D25" i="13"/>
  <c r="D30" i="13" s="1"/>
  <c r="C17" i="13"/>
  <c r="K22" i="13"/>
  <c r="K27" i="13" s="1"/>
  <c r="O22" i="13"/>
  <c r="O27" i="13" s="1"/>
  <c r="S22" i="13"/>
  <c r="S27" i="13" s="1"/>
  <c r="W22" i="13"/>
  <c r="W27" i="13" s="1"/>
  <c r="AA22" i="13"/>
  <c r="AA27" i="13" s="1"/>
  <c r="AE22" i="13"/>
  <c r="AE27" i="13" s="1"/>
  <c r="G19" i="15"/>
  <c r="G21" i="15"/>
  <c r="AG26" i="15"/>
  <c r="F34" i="15"/>
  <c r="AG34" i="15"/>
  <c r="G34" i="15"/>
  <c r="F37" i="15"/>
  <c r="AG37" i="15"/>
  <c r="G37" i="15"/>
  <c r="G41" i="15"/>
  <c r="G44" i="15"/>
  <c r="F48" i="15"/>
  <c r="AG48" i="15"/>
  <c r="G48" i="15"/>
  <c r="F50" i="15"/>
  <c r="AG50" i="15"/>
  <c r="G50" i="15"/>
  <c r="B61" i="15"/>
  <c r="AG61" i="15" s="1"/>
  <c r="F66" i="15"/>
  <c r="AG66" i="15"/>
  <c r="G66" i="15"/>
  <c r="B74" i="15"/>
  <c r="AG74" i="15" s="1"/>
  <c r="B88" i="15"/>
  <c r="AG88" i="15" s="1"/>
  <c r="B94" i="15"/>
  <c r="AG94" i="15" s="1"/>
  <c r="B100" i="15"/>
  <c r="AG100" i="15" s="1"/>
  <c r="I105" i="15"/>
  <c r="Q105" i="15"/>
  <c r="Q126" i="15"/>
  <c r="Y105" i="15"/>
  <c r="H111" i="15"/>
  <c r="H122" i="15" s="1"/>
  <c r="J111" i="15"/>
  <c r="N111" i="15"/>
  <c r="P111" i="15"/>
  <c r="P122" i="15" s="1"/>
  <c r="R111" i="15"/>
  <c r="V111" i="15"/>
  <c r="X111" i="15"/>
  <c r="X122" i="15" s="1"/>
  <c r="Z111" i="15"/>
  <c r="AD111" i="15"/>
  <c r="K287" i="8"/>
  <c r="K312" i="8" s="1"/>
  <c r="K37" i="8"/>
  <c r="O287" i="8"/>
  <c r="O312" i="8" s="1"/>
  <c r="O37" i="8"/>
  <c r="S287" i="8"/>
  <c r="S312" i="8" s="1"/>
  <c r="S37" i="8"/>
  <c r="W287" i="8"/>
  <c r="W312" i="8" s="1"/>
  <c r="W37" i="8"/>
  <c r="AA287" i="8"/>
  <c r="AA312" i="8" s="1"/>
  <c r="AA37" i="8"/>
  <c r="F44" i="8"/>
  <c r="D44" i="8"/>
  <c r="F45" i="8"/>
  <c r="T300" i="8"/>
  <c r="B59" i="8"/>
  <c r="F59" i="8" s="1"/>
  <c r="T40" i="8"/>
  <c r="F84" i="8"/>
  <c r="F96" i="8"/>
  <c r="F131" i="8"/>
  <c r="F132" i="8"/>
  <c r="D132" i="8"/>
  <c r="E129" i="8"/>
  <c r="G157" i="8"/>
  <c r="I162" i="8"/>
  <c r="M162" i="8"/>
  <c r="S162" i="8"/>
  <c r="W162" i="8"/>
  <c r="AA162" i="8"/>
  <c r="AE162" i="8"/>
  <c r="F184" i="8"/>
  <c r="F208" i="8"/>
  <c r="F226" i="8"/>
  <c r="D226" i="8"/>
  <c r="D223" i="8" s="1"/>
  <c r="E223" i="8"/>
  <c r="F240" i="8"/>
  <c r="D240" i="8"/>
  <c r="E237" i="8"/>
  <c r="F264" i="8"/>
  <c r="D264" i="8"/>
  <c r="D261" i="8" s="1"/>
  <c r="E261" i="8"/>
  <c r="F278" i="8"/>
  <c r="D278" i="8"/>
  <c r="E275" i="8"/>
  <c r="F284" i="8"/>
  <c r="D284" i="8"/>
  <c r="D281" i="8" s="1"/>
  <c r="E281" i="8"/>
  <c r="AA313" i="8"/>
  <c r="B291" i="8"/>
  <c r="AG291" i="8" s="1"/>
  <c r="E298" i="8"/>
  <c r="M298" i="8"/>
  <c r="B299" i="8"/>
  <c r="AG299" i="8" s="1"/>
  <c r="L307" i="8"/>
  <c r="AG14" i="9"/>
  <c r="AG24" i="9"/>
  <c r="B20" i="9"/>
  <c r="B19" i="9" s="1"/>
  <c r="AG19" i="9" s="1"/>
  <c r="AG30" i="9"/>
  <c r="B26" i="9"/>
  <c r="B25" i="9" s="1"/>
  <c r="AG25" i="9" s="1"/>
  <c r="J87" i="9"/>
  <c r="J82" i="9"/>
  <c r="J93" i="9" s="1"/>
  <c r="N87" i="9"/>
  <c r="N82" i="9"/>
  <c r="N93" i="9" s="1"/>
  <c r="R87" i="9"/>
  <c r="R82" i="9"/>
  <c r="R93" i="9" s="1"/>
  <c r="V87" i="9"/>
  <c r="V82" i="9"/>
  <c r="V93" i="9" s="1"/>
  <c r="Z87" i="9"/>
  <c r="Z82" i="9"/>
  <c r="Z93" i="9" s="1"/>
  <c r="AB87" i="9"/>
  <c r="AB82" i="9"/>
  <c r="AB93" i="9" s="1"/>
  <c r="G14" i="8"/>
  <c r="C287" i="8"/>
  <c r="I287" i="8"/>
  <c r="I37" i="8"/>
  <c r="M287" i="8"/>
  <c r="M37" i="8"/>
  <c r="Q287" i="8"/>
  <c r="Q312" i="8" s="1"/>
  <c r="Q37" i="8"/>
  <c r="U37" i="8"/>
  <c r="Y287" i="8"/>
  <c r="Y312" i="8" s="1"/>
  <c r="Y37" i="8"/>
  <c r="AC37" i="8"/>
  <c r="AE287" i="8"/>
  <c r="AE37" i="8"/>
  <c r="F46" i="8"/>
  <c r="D46" i="8"/>
  <c r="E43" i="8"/>
  <c r="C291" i="8"/>
  <c r="G47" i="8"/>
  <c r="F53" i="8"/>
  <c r="D53" i="8"/>
  <c r="D50" i="8" s="1"/>
  <c r="E50" i="8"/>
  <c r="G59" i="8"/>
  <c r="F64" i="8"/>
  <c r="F65" i="8"/>
  <c r="D65" i="8"/>
  <c r="D62" i="8" s="1"/>
  <c r="E62" i="8"/>
  <c r="F66" i="8"/>
  <c r="F71" i="8"/>
  <c r="D71" i="8"/>
  <c r="D39" i="8" s="1"/>
  <c r="E39" i="8"/>
  <c r="F108" i="8"/>
  <c r="C117" i="8"/>
  <c r="C114" i="8"/>
  <c r="C111" i="8" s="1"/>
  <c r="C123" i="8"/>
  <c r="F130" i="8"/>
  <c r="D130" i="8"/>
  <c r="F133" i="8"/>
  <c r="D141" i="8"/>
  <c r="F152" i="8"/>
  <c r="F153" i="8"/>
  <c r="D153" i="8"/>
  <c r="K162" i="8"/>
  <c r="O162" i="8"/>
  <c r="Q162" i="8"/>
  <c r="U162" i="8"/>
  <c r="Y162" i="8"/>
  <c r="AC162" i="8"/>
  <c r="AG166" i="8"/>
  <c r="B169" i="8"/>
  <c r="AG169" i="8" s="1"/>
  <c r="B165" i="8"/>
  <c r="F172" i="8"/>
  <c r="G191" i="8"/>
  <c r="C199" i="8"/>
  <c r="G202" i="8"/>
  <c r="G199" i="8" s="1"/>
  <c r="F246" i="8"/>
  <c r="D246" i="8"/>
  <c r="D243" i="8" s="1"/>
  <c r="E243" i="8"/>
  <c r="B295" i="8"/>
  <c r="AG295" i="8" s="1"/>
  <c r="C296" i="8"/>
  <c r="I298" i="8"/>
  <c r="Q298" i="8"/>
  <c r="Y298" i="8"/>
  <c r="K300" i="8"/>
  <c r="S300" i="8"/>
  <c r="AA300" i="8"/>
  <c r="H301" i="8"/>
  <c r="D92" i="9"/>
  <c r="D20" i="9"/>
  <c r="D19" i="9" s="1"/>
  <c r="L87" i="9"/>
  <c r="L82" i="9"/>
  <c r="L93" i="9" s="1"/>
  <c r="P87" i="9"/>
  <c r="P82" i="9"/>
  <c r="P93" i="9" s="1"/>
  <c r="T87" i="9"/>
  <c r="T82" i="9"/>
  <c r="T93" i="9" s="1"/>
  <c r="X87" i="9"/>
  <c r="X82" i="9"/>
  <c r="X93" i="9" s="1"/>
  <c r="AD87" i="9"/>
  <c r="AD82" i="9"/>
  <c r="H50" i="9"/>
  <c r="H49" i="9" s="1"/>
  <c r="R50" i="9"/>
  <c r="F13" i="8"/>
  <c r="F14" i="8"/>
  <c r="D14" i="8"/>
  <c r="F15" i="8"/>
  <c r="F16" i="8"/>
  <c r="D16" i="8"/>
  <c r="F19" i="8"/>
  <c r="F20" i="8"/>
  <c r="D20" i="8"/>
  <c r="F22" i="8"/>
  <c r="D22" i="8"/>
  <c r="J37" i="8"/>
  <c r="N37" i="8"/>
  <c r="R37" i="8"/>
  <c r="V37" i="8"/>
  <c r="Z37" i="8"/>
  <c r="AD37" i="8"/>
  <c r="E38" i="8"/>
  <c r="B39" i="8"/>
  <c r="C40" i="8"/>
  <c r="K289" i="8"/>
  <c r="G44" i="8"/>
  <c r="C299" i="8"/>
  <c r="E299" i="8"/>
  <c r="C43" i="8"/>
  <c r="G46" i="8"/>
  <c r="E291" i="8"/>
  <c r="F47" i="8"/>
  <c r="D47" i="8"/>
  <c r="G53" i="8"/>
  <c r="T56" i="8"/>
  <c r="D59" i="8"/>
  <c r="D56" i="8" s="1"/>
  <c r="E56" i="8"/>
  <c r="AG62" i="8"/>
  <c r="G65" i="8"/>
  <c r="AG66" i="8"/>
  <c r="E69" i="8"/>
  <c r="G71" i="8"/>
  <c r="AG72" i="8"/>
  <c r="B78" i="8"/>
  <c r="D78" i="8"/>
  <c r="D75" i="8" s="1"/>
  <c r="AG84" i="8"/>
  <c r="F90" i="8"/>
  <c r="AG96" i="8"/>
  <c r="F102" i="8"/>
  <c r="AG108" i="8"/>
  <c r="F120" i="8"/>
  <c r="D120" i="8"/>
  <c r="E117" i="8"/>
  <c r="E114" i="8"/>
  <c r="F124" i="8"/>
  <c r="D124" i="8"/>
  <c r="F126" i="8"/>
  <c r="D126" i="8"/>
  <c r="E123" i="8"/>
  <c r="B115" i="8"/>
  <c r="AG115" i="8" s="1"/>
  <c r="F127" i="8"/>
  <c r="G130" i="8"/>
  <c r="C129" i="8"/>
  <c r="G132" i="8"/>
  <c r="M138" i="8"/>
  <c r="M135" i="8" s="1"/>
  <c r="O138" i="8"/>
  <c r="O135" i="8" s="1"/>
  <c r="W138" i="8"/>
  <c r="W135" i="8" s="1"/>
  <c r="AE138" i="8"/>
  <c r="AE135" i="8" s="1"/>
  <c r="G144" i="8"/>
  <c r="H141" i="8"/>
  <c r="H138" i="8"/>
  <c r="H135" i="8" s="1"/>
  <c r="L141" i="8"/>
  <c r="L138" i="8"/>
  <c r="L135" i="8" s="1"/>
  <c r="P141" i="8"/>
  <c r="P138" i="8"/>
  <c r="P135" i="8" s="1"/>
  <c r="T141" i="8"/>
  <c r="T138" i="8"/>
  <c r="T135" i="8" s="1"/>
  <c r="X141" i="8"/>
  <c r="X138" i="8"/>
  <c r="X135" i="8" s="1"/>
  <c r="AB141" i="8"/>
  <c r="AB138" i="8"/>
  <c r="AB135" i="8" s="1"/>
  <c r="B149" i="8"/>
  <c r="AG149" i="8" s="1"/>
  <c r="D149" i="8"/>
  <c r="F150" i="8"/>
  <c r="G153" i="8"/>
  <c r="H162" i="8"/>
  <c r="L162" i="8"/>
  <c r="P162" i="8"/>
  <c r="T162" i="8"/>
  <c r="X162" i="8"/>
  <c r="AB162" i="8"/>
  <c r="F163" i="8"/>
  <c r="H300" i="8"/>
  <c r="L300" i="8"/>
  <c r="X300" i="8"/>
  <c r="AB300" i="8"/>
  <c r="G169" i="8"/>
  <c r="AG172" i="8"/>
  <c r="F178" i="8"/>
  <c r="G181" i="8"/>
  <c r="AG184" i="8"/>
  <c r="F188" i="8"/>
  <c r="F189" i="8"/>
  <c r="D189" i="8"/>
  <c r="B187" i="8"/>
  <c r="AG187" i="8" s="1"/>
  <c r="F190" i="8"/>
  <c r="F191" i="8"/>
  <c r="D191" i="8"/>
  <c r="D160" i="8" s="1"/>
  <c r="F202" i="8"/>
  <c r="F199" i="8" s="1"/>
  <c r="D202" i="8"/>
  <c r="E199" i="8"/>
  <c r="AG203" i="8"/>
  <c r="B197" i="8"/>
  <c r="AG197" i="8" s="1"/>
  <c r="AG208" i="8"/>
  <c r="F214" i="8"/>
  <c r="AG220" i="8"/>
  <c r="B217" i="8"/>
  <c r="C220" i="8"/>
  <c r="C217" i="8" s="1"/>
  <c r="H217" i="8"/>
  <c r="G226" i="8"/>
  <c r="G240" i="8"/>
  <c r="G246" i="8"/>
  <c r="G264" i="8"/>
  <c r="G278" i="8"/>
  <c r="G284" i="8"/>
  <c r="B293" i="8"/>
  <c r="C294" i="8"/>
  <c r="E296" i="8"/>
  <c r="K298" i="8"/>
  <c r="O298" i="8"/>
  <c r="S298" i="8"/>
  <c r="W298" i="8"/>
  <c r="AA298" i="8"/>
  <c r="AE298" i="8"/>
  <c r="I300" i="8"/>
  <c r="M300" i="8"/>
  <c r="Q300" i="8"/>
  <c r="U300" i="8"/>
  <c r="Y300" i="8"/>
  <c r="AC300" i="8"/>
  <c r="T305" i="8"/>
  <c r="B12" i="9"/>
  <c r="B11" i="9" s="1"/>
  <c r="AG11" i="9" s="1"/>
  <c r="AG13" i="9"/>
  <c r="AG15" i="9"/>
  <c r="C12" i="9"/>
  <c r="C11" i="9" s="1"/>
  <c r="C91" i="9"/>
  <c r="J32" i="9"/>
  <c r="J31" i="9" s="1"/>
  <c r="R32" i="9"/>
  <c r="R31" i="9" s="1"/>
  <c r="Z32" i="9"/>
  <c r="Z31" i="9" s="1"/>
  <c r="H85" i="9"/>
  <c r="H80" i="9"/>
  <c r="J85" i="9"/>
  <c r="J80" i="9"/>
  <c r="L85" i="9"/>
  <c r="L32" i="9"/>
  <c r="L31" i="9" s="1"/>
  <c r="L80" i="9"/>
  <c r="N85" i="9"/>
  <c r="N80" i="9"/>
  <c r="P85" i="9"/>
  <c r="P32" i="9"/>
  <c r="P31" i="9" s="1"/>
  <c r="P80" i="9"/>
  <c r="R85" i="9"/>
  <c r="R80" i="9"/>
  <c r="T85" i="9"/>
  <c r="T32" i="9"/>
  <c r="T31" i="9" s="1"/>
  <c r="T80" i="9"/>
  <c r="V85" i="9"/>
  <c r="V80" i="9"/>
  <c r="X85" i="9"/>
  <c r="X32" i="9"/>
  <c r="X31" i="9" s="1"/>
  <c r="X80" i="9"/>
  <c r="Z85" i="9"/>
  <c r="Z80" i="9"/>
  <c r="AB85" i="9"/>
  <c r="AB32" i="9"/>
  <c r="AB31" i="9" s="1"/>
  <c r="AB80" i="9"/>
  <c r="AD85" i="9"/>
  <c r="AD80" i="9"/>
  <c r="E86" i="9"/>
  <c r="I86" i="9"/>
  <c r="I32" i="9"/>
  <c r="I31" i="9" s="1"/>
  <c r="I81" i="9"/>
  <c r="I92" i="9" s="1"/>
  <c r="K86" i="9"/>
  <c r="K81" i="9"/>
  <c r="K92" i="9" s="1"/>
  <c r="M86" i="9"/>
  <c r="M81" i="9"/>
  <c r="M92" i="9" s="1"/>
  <c r="O86" i="9"/>
  <c r="O81" i="9"/>
  <c r="O92" i="9" s="1"/>
  <c r="Q86" i="9"/>
  <c r="Q81" i="9"/>
  <c r="Q92" i="9" s="1"/>
  <c r="S86" i="9"/>
  <c r="S81" i="9"/>
  <c r="S92" i="9" s="1"/>
  <c r="U86" i="9"/>
  <c r="U81" i="9"/>
  <c r="U92" i="9" s="1"/>
  <c r="W86" i="9"/>
  <c r="W81" i="9"/>
  <c r="W92" i="9" s="1"/>
  <c r="Y86" i="9"/>
  <c r="Y81" i="9"/>
  <c r="Y92" i="9" s="1"/>
  <c r="AA86" i="9"/>
  <c r="AA81" i="9"/>
  <c r="AA92" i="9" s="1"/>
  <c r="AC86" i="9"/>
  <c r="AC81" i="9"/>
  <c r="AC92" i="9" s="1"/>
  <c r="AE86" i="9"/>
  <c r="AE81" i="9"/>
  <c r="AE92" i="9" s="1"/>
  <c r="E88" i="9"/>
  <c r="E83" i="9"/>
  <c r="E94" i="9" s="1"/>
  <c r="I88" i="9"/>
  <c r="I83" i="9"/>
  <c r="I94" i="9" s="1"/>
  <c r="K88" i="9"/>
  <c r="K83" i="9"/>
  <c r="K94" i="9" s="1"/>
  <c r="M88" i="9"/>
  <c r="M83" i="9"/>
  <c r="M94" i="9" s="1"/>
  <c r="O88" i="9"/>
  <c r="O83" i="9"/>
  <c r="O94" i="9" s="1"/>
  <c r="Q88" i="9"/>
  <c r="Q83" i="9"/>
  <c r="Q94" i="9" s="1"/>
  <c r="S88" i="9"/>
  <c r="S83" i="9"/>
  <c r="S94" i="9" s="1"/>
  <c r="U88" i="9"/>
  <c r="U83" i="9"/>
  <c r="U94" i="9" s="1"/>
  <c r="W88" i="9"/>
  <c r="W83" i="9"/>
  <c r="W94" i="9" s="1"/>
  <c r="Y88" i="9"/>
  <c r="Y83" i="9"/>
  <c r="Y94" i="9" s="1"/>
  <c r="AA88" i="9"/>
  <c r="AA83" i="9"/>
  <c r="AA94" i="9" s="1"/>
  <c r="AC88" i="9"/>
  <c r="AC83" i="9"/>
  <c r="AC94" i="9" s="1"/>
  <c r="AE88" i="9"/>
  <c r="AE83" i="9"/>
  <c r="AE94" i="9" s="1"/>
  <c r="AG40" i="9"/>
  <c r="B34" i="9"/>
  <c r="B81" i="9" s="1"/>
  <c r="B92" i="9" s="1"/>
  <c r="B38" i="9"/>
  <c r="B37" i="9" s="1"/>
  <c r="AG37" i="9" s="1"/>
  <c r="AG45" i="9"/>
  <c r="B44" i="9"/>
  <c r="F47" i="9"/>
  <c r="AG51" i="9"/>
  <c r="B53" i="9"/>
  <c r="AG60" i="9"/>
  <c r="B36" i="9"/>
  <c r="AG36" i="9" s="1"/>
  <c r="G75" i="9"/>
  <c r="K95" i="10"/>
  <c r="M95" i="10"/>
  <c r="O95" i="10"/>
  <c r="Q95" i="10"/>
  <c r="S95" i="10"/>
  <c r="U95" i="10"/>
  <c r="W95" i="10"/>
  <c r="Y95" i="10"/>
  <c r="AA95" i="10"/>
  <c r="AC95" i="10"/>
  <c r="AC90" i="10"/>
  <c r="AE95" i="10"/>
  <c r="AE90" i="10"/>
  <c r="J98" i="10"/>
  <c r="J93" i="10"/>
  <c r="L98" i="10"/>
  <c r="L93" i="10"/>
  <c r="N98" i="10"/>
  <c r="N93" i="10"/>
  <c r="P98" i="10"/>
  <c r="P93" i="10"/>
  <c r="R98" i="10"/>
  <c r="R93" i="10"/>
  <c r="T98" i="10"/>
  <c r="T93" i="10"/>
  <c r="V98" i="10"/>
  <c r="V93" i="10"/>
  <c r="X98" i="10"/>
  <c r="X93" i="10"/>
  <c r="Z98" i="10"/>
  <c r="Z93" i="10"/>
  <c r="AB98" i="10"/>
  <c r="AB93" i="10"/>
  <c r="AD98" i="10"/>
  <c r="AD93" i="10"/>
  <c r="F27" i="10"/>
  <c r="F24" i="10" s="1"/>
  <c r="F15" i="10" s="1"/>
  <c r="F12" i="10" s="1"/>
  <c r="F11" i="10" s="1"/>
  <c r="AG36" i="10"/>
  <c r="B32" i="10"/>
  <c r="B31" i="10" s="1"/>
  <c r="AG31" i="10" s="1"/>
  <c r="D32" i="10"/>
  <c r="D31" i="10" s="1"/>
  <c r="B38" i="10"/>
  <c r="B37" i="10" s="1"/>
  <c r="AG37" i="10" s="1"/>
  <c r="B47" i="10"/>
  <c r="H46" i="10"/>
  <c r="C46" i="10" s="1"/>
  <c r="J46" i="10"/>
  <c r="J45" i="10" s="1"/>
  <c r="J95" i="10"/>
  <c r="L95" i="10"/>
  <c r="N46" i="10"/>
  <c r="N45" i="10" s="1"/>
  <c r="N95" i="10"/>
  <c r="P95" i="10"/>
  <c r="R46" i="10"/>
  <c r="R45" i="10" s="1"/>
  <c r="R95" i="10"/>
  <c r="T95" i="10"/>
  <c r="V46" i="10"/>
  <c r="V45" i="10" s="1"/>
  <c r="V95" i="10"/>
  <c r="X95" i="10"/>
  <c r="Z46" i="10"/>
  <c r="Z45" i="10" s="1"/>
  <c r="Z95" i="10"/>
  <c r="AB95" i="10"/>
  <c r="AD46" i="10"/>
  <c r="AD95" i="10"/>
  <c r="AD90" i="10"/>
  <c r="B52" i="10"/>
  <c r="K93" i="10"/>
  <c r="K98" i="10"/>
  <c r="M98" i="10"/>
  <c r="M93" i="10"/>
  <c r="O93" i="10"/>
  <c r="O98" i="10"/>
  <c r="Q98" i="10"/>
  <c r="Q93" i="10"/>
  <c r="S93" i="10"/>
  <c r="S98" i="10"/>
  <c r="U98" i="10"/>
  <c r="U93" i="10"/>
  <c r="W93" i="10"/>
  <c r="W98" i="10"/>
  <c r="Y98" i="10"/>
  <c r="Y93" i="10"/>
  <c r="AA93" i="10"/>
  <c r="AA98" i="10"/>
  <c r="AC98" i="10"/>
  <c r="AC93" i="10"/>
  <c r="AE93" i="10"/>
  <c r="AE98" i="10"/>
  <c r="D75" i="10"/>
  <c r="D72" i="10" s="1"/>
  <c r="D71" i="10" s="1"/>
  <c r="E72" i="10"/>
  <c r="F81" i="10"/>
  <c r="F78" i="10" s="1"/>
  <c r="B78" i="10"/>
  <c r="AG59" i="9"/>
  <c r="C59" i="9"/>
  <c r="C56" i="9" s="1"/>
  <c r="AD61" i="9"/>
  <c r="F65" i="9"/>
  <c r="AD67" i="9"/>
  <c r="E80" i="9"/>
  <c r="E91" i="9" s="1"/>
  <c r="F75" i="9"/>
  <c r="D75" i="9"/>
  <c r="B74" i="9"/>
  <c r="B73" i="9" s="1"/>
  <c r="AG73" i="9" s="1"/>
  <c r="F76" i="9"/>
  <c r="AG78" i="9"/>
  <c r="E85" i="9"/>
  <c r="N12" i="10"/>
  <c r="N11" i="10" s="1"/>
  <c r="V12" i="10"/>
  <c r="V11" i="10" s="1"/>
  <c r="AD12" i="10"/>
  <c r="K96" i="10"/>
  <c r="K91" i="10"/>
  <c r="M91" i="10"/>
  <c r="M96" i="10"/>
  <c r="O96" i="10"/>
  <c r="O91" i="10"/>
  <c r="Q91" i="10"/>
  <c r="Q96" i="10"/>
  <c r="S96" i="10"/>
  <c r="S91" i="10"/>
  <c r="U91" i="10"/>
  <c r="U96" i="10"/>
  <c r="W96" i="10"/>
  <c r="W91" i="10"/>
  <c r="Y91" i="10"/>
  <c r="Y96" i="10"/>
  <c r="AA96" i="10"/>
  <c r="AA91" i="10"/>
  <c r="AC91" i="10"/>
  <c r="AC96" i="10"/>
  <c r="AE96" i="10"/>
  <c r="AE91" i="10"/>
  <c r="J92" i="10"/>
  <c r="J97" i="10"/>
  <c r="L12" i="10"/>
  <c r="L11" i="10" s="1"/>
  <c r="L97" i="10"/>
  <c r="L92" i="10"/>
  <c r="N92" i="10"/>
  <c r="N97" i="10"/>
  <c r="P12" i="10"/>
  <c r="P11" i="10" s="1"/>
  <c r="P97" i="10"/>
  <c r="P92" i="10"/>
  <c r="R92" i="10"/>
  <c r="R97" i="10"/>
  <c r="T12" i="10"/>
  <c r="T11" i="10" s="1"/>
  <c r="T97" i="10"/>
  <c r="T92" i="10"/>
  <c r="V92" i="10"/>
  <c r="V97" i="10"/>
  <c r="X12" i="10"/>
  <c r="X11" i="10" s="1"/>
  <c r="X97" i="10"/>
  <c r="X92" i="10"/>
  <c r="Z92" i="10"/>
  <c r="Z97" i="10"/>
  <c r="AB12" i="10"/>
  <c r="AB11" i="10" s="1"/>
  <c r="AB97" i="10"/>
  <c r="AB92" i="10"/>
  <c r="AD92" i="10"/>
  <c r="AD97" i="10"/>
  <c r="B24" i="10"/>
  <c r="AG24" i="10" s="1"/>
  <c r="P46" i="10"/>
  <c r="P45" i="10" s="1"/>
  <c r="X46" i="10"/>
  <c r="X45" i="10" s="1"/>
  <c r="D52" i="10"/>
  <c r="D51" i="10" s="1"/>
  <c r="F61" i="10"/>
  <c r="F58" i="10" s="1"/>
  <c r="F57" i="10" s="1"/>
  <c r="D57" i="10"/>
  <c r="B58" i="10"/>
  <c r="B57" i="10" s="1"/>
  <c r="G81" i="10"/>
  <c r="F87" i="10"/>
  <c r="F84" i="10" s="1"/>
  <c r="D87" i="10"/>
  <c r="D84" i="10" s="1"/>
  <c r="B84" i="10"/>
  <c r="I79" i="12"/>
  <c r="G13" i="11"/>
  <c r="F14" i="11"/>
  <c r="AG14" i="11"/>
  <c r="G15" i="11"/>
  <c r="F16" i="11"/>
  <c r="AG16" i="11"/>
  <c r="B146" i="11"/>
  <c r="B136" i="11"/>
  <c r="D146" i="11"/>
  <c r="F23" i="11"/>
  <c r="G26" i="11"/>
  <c r="C25" i="11"/>
  <c r="G28" i="11"/>
  <c r="G34" i="11"/>
  <c r="G40" i="11"/>
  <c r="F45" i="11"/>
  <c r="F46" i="11"/>
  <c r="D46" i="11"/>
  <c r="D43" i="11" s="1"/>
  <c r="E43" i="11"/>
  <c r="G52" i="11"/>
  <c r="F56" i="11"/>
  <c r="F64" i="11"/>
  <c r="F68" i="11"/>
  <c r="F69" i="11"/>
  <c r="D69" i="11"/>
  <c r="F71" i="11"/>
  <c r="F74" i="11"/>
  <c r="F75" i="11"/>
  <c r="F77" i="11"/>
  <c r="G82" i="11"/>
  <c r="G88" i="11"/>
  <c r="G94" i="11"/>
  <c r="F96" i="11"/>
  <c r="D96" i="11"/>
  <c r="F97" i="11"/>
  <c r="D100" i="11"/>
  <c r="E99" i="11"/>
  <c r="F102" i="11"/>
  <c r="D102" i="11"/>
  <c r="AG103" i="11"/>
  <c r="D108" i="11"/>
  <c r="E107" i="11"/>
  <c r="F110" i="11"/>
  <c r="D110" i="11"/>
  <c r="D116" i="11"/>
  <c r="E115" i="11"/>
  <c r="F118" i="11"/>
  <c r="D118" i="11"/>
  <c r="D122" i="11"/>
  <c r="E121" i="11"/>
  <c r="F124" i="11"/>
  <c r="D124" i="11"/>
  <c r="D128" i="11"/>
  <c r="E127" i="11"/>
  <c r="F130" i="11"/>
  <c r="D130" i="11"/>
  <c r="J133" i="11"/>
  <c r="N133" i="11"/>
  <c r="R133" i="11"/>
  <c r="V133" i="11"/>
  <c r="Z133" i="11"/>
  <c r="AD133" i="11"/>
  <c r="K134" i="11"/>
  <c r="O134" i="11"/>
  <c r="S134" i="11"/>
  <c r="W134" i="11"/>
  <c r="AA134" i="11"/>
  <c r="AE134" i="11"/>
  <c r="H135" i="11"/>
  <c r="P135" i="11"/>
  <c r="T135" i="11"/>
  <c r="X135" i="11"/>
  <c r="AB135" i="11"/>
  <c r="E136" i="11"/>
  <c r="C138" i="11"/>
  <c r="E140" i="11"/>
  <c r="B141" i="11"/>
  <c r="H143" i="11"/>
  <c r="L143" i="11"/>
  <c r="P143" i="11"/>
  <c r="T143" i="11"/>
  <c r="X143" i="11"/>
  <c r="AB143" i="11"/>
  <c r="I144" i="11"/>
  <c r="M144" i="11"/>
  <c r="Q144" i="11"/>
  <c r="U144" i="11"/>
  <c r="Y144" i="11"/>
  <c r="AC144" i="11"/>
  <c r="J145" i="11"/>
  <c r="N145" i="11"/>
  <c r="R145" i="11"/>
  <c r="V145" i="11"/>
  <c r="Z145" i="11"/>
  <c r="AD145" i="11"/>
  <c r="I357" i="12"/>
  <c r="I12" i="12"/>
  <c r="K352" i="12"/>
  <c r="K372" i="12" s="1"/>
  <c r="K12" i="12"/>
  <c r="M352" i="12"/>
  <c r="M372" i="12" s="1"/>
  <c r="M357" i="12"/>
  <c r="M12" i="12"/>
  <c r="O352" i="12"/>
  <c r="O372" i="12" s="1"/>
  <c r="O12" i="12"/>
  <c r="Q352" i="12"/>
  <c r="Q372" i="12" s="1"/>
  <c r="Q357" i="12"/>
  <c r="Q12" i="12"/>
  <c r="S352" i="12"/>
  <c r="S372" i="12" s="1"/>
  <c r="S12" i="12"/>
  <c r="U352" i="12"/>
  <c r="U372" i="12" s="1"/>
  <c r="U357" i="12"/>
  <c r="U12" i="12"/>
  <c r="W352" i="12"/>
  <c r="W372" i="12" s="1"/>
  <c r="W12" i="12"/>
  <c r="Y352" i="12"/>
  <c r="Y372" i="12" s="1"/>
  <c r="Y357" i="12"/>
  <c r="Y12" i="12"/>
  <c r="AA352" i="12"/>
  <c r="AA372" i="12" s="1"/>
  <c r="AA12" i="12"/>
  <c r="AC352" i="12"/>
  <c r="AC372" i="12" s="1"/>
  <c r="AC357" i="12"/>
  <c r="AC12" i="12"/>
  <c r="AE352" i="12"/>
  <c r="AE372" i="12" s="1"/>
  <c r="AE12" i="12"/>
  <c r="J353" i="12"/>
  <c r="J373" i="12" s="1"/>
  <c r="J358" i="12"/>
  <c r="N353" i="12"/>
  <c r="N373" i="12" s="1"/>
  <c r="N358" i="12"/>
  <c r="R353" i="12"/>
  <c r="R373" i="12" s="1"/>
  <c r="R358" i="12"/>
  <c r="V353" i="12"/>
  <c r="V373" i="12" s="1"/>
  <c r="V358" i="12"/>
  <c r="Z353" i="12"/>
  <c r="Z373" i="12" s="1"/>
  <c r="Z358" i="12"/>
  <c r="AD353" i="12"/>
  <c r="AD373" i="12" s="1"/>
  <c r="AD358" i="12"/>
  <c r="K354" i="12"/>
  <c r="K374" i="12" s="1"/>
  <c r="K359" i="12"/>
  <c r="O354" i="12"/>
  <c r="O374" i="12" s="1"/>
  <c r="O359" i="12"/>
  <c r="S354" i="12"/>
  <c r="S374" i="12" s="1"/>
  <c r="S359" i="12"/>
  <c r="W354" i="12"/>
  <c r="W374" i="12" s="1"/>
  <c r="W359" i="12"/>
  <c r="AA354" i="12"/>
  <c r="AA374" i="12" s="1"/>
  <c r="AA359" i="12"/>
  <c r="AE354" i="12"/>
  <c r="AE374" i="12" s="1"/>
  <c r="AE359" i="12"/>
  <c r="H355" i="12"/>
  <c r="H360" i="12"/>
  <c r="L375" i="12"/>
  <c r="L360" i="12"/>
  <c r="P355" i="12"/>
  <c r="P375" i="12" s="1"/>
  <c r="P360" i="12"/>
  <c r="T355" i="12"/>
  <c r="T375" i="12" s="1"/>
  <c r="T360" i="12"/>
  <c r="X355" i="12"/>
  <c r="X375" i="12" s="1"/>
  <c r="X360" i="12"/>
  <c r="AB355" i="12"/>
  <c r="AB375" i="12" s="1"/>
  <c r="AB360" i="12"/>
  <c r="AG16" i="12"/>
  <c r="F19" i="12"/>
  <c r="D19" i="12"/>
  <c r="F20" i="12"/>
  <c r="F21" i="12"/>
  <c r="D21" i="12"/>
  <c r="E18" i="12"/>
  <c r="F25" i="12"/>
  <c r="D25" i="12"/>
  <c r="E24" i="12"/>
  <c r="F26" i="12"/>
  <c r="F27" i="12"/>
  <c r="D27" i="12"/>
  <c r="F28" i="12"/>
  <c r="I365" i="12"/>
  <c r="M365" i="12"/>
  <c r="Q365" i="12"/>
  <c r="U365" i="12"/>
  <c r="Y365" i="12"/>
  <c r="AC365" i="12"/>
  <c r="F46" i="12"/>
  <c r="F62" i="12"/>
  <c r="F70" i="12"/>
  <c r="H79" i="12"/>
  <c r="F94" i="12"/>
  <c r="G105" i="12"/>
  <c r="G111" i="12"/>
  <c r="F128" i="12"/>
  <c r="F143" i="12"/>
  <c r="AG149" i="12"/>
  <c r="F157" i="12"/>
  <c r="F169" i="12"/>
  <c r="D169" i="12"/>
  <c r="D163" i="12" s="1"/>
  <c r="F170" i="12"/>
  <c r="F171" i="12"/>
  <c r="D165" i="12"/>
  <c r="E168" i="12"/>
  <c r="F178" i="12"/>
  <c r="G181" i="12"/>
  <c r="C180" i="12"/>
  <c r="G183" i="12"/>
  <c r="G195" i="12"/>
  <c r="F200" i="12"/>
  <c r="F201" i="12"/>
  <c r="D201" i="12"/>
  <c r="D199" i="12" s="1"/>
  <c r="B199" i="12"/>
  <c r="AG199" i="12" s="1"/>
  <c r="F202" i="12"/>
  <c r="G213" i="12"/>
  <c r="F218" i="12"/>
  <c r="F219" i="12"/>
  <c r="D219" i="12"/>
  <c r="D217" i="12" s="1"/>
  <c r="B217" i="12"/>
  <c r="AG217" i="12" s="1"/>
  <c r="F220" i="12"/>
  <c r="F230" i="12"/>
  <c r="F231" i="12"/>
  <c r="D231" i="12"/>
  <c r="D229" i="12" s="1"/>
  <c r="B229" i="12"/>
  <c r="AG229" i="12" s="1"/>
  <c r="F232" i="12"/>
  <c r="G243" i="12"/>
  <c r="F248" i="12"/>
  <c r="F249" i="12"/>
  <c r="G249" i="12"/>
  <c r="D249" i="12"/>
  <c r="D247" i="12" s="1"/>
  <c r="G256" i="12"/>
  <c r="G262" i="12"/>
  <c r="B263" i="12"/>
  <c r="B261" i="12" s="1"/>
  <c r="B267" i="12"/>
  <c r="AG267" i="12" s="1"/>
  <c r="AG268" i="12"/>
  <c r="F268" i="12"/>
  <c r="F270" i="12"/>
  <c r="C276" i="12"/>
  <c r="C274" i="12" s="1"/>
  <c r="H274" i="12"/>
  <c r="G283" i="12"/>
  <c r="G289" i="12"/>
  <c r="G295" i="12"/>
  <c r="G307" i="12"/>
  <c r="E311" i="12"/>
  <c r="I299" i="12"/>
  <c r="I362" i="12" s="1"/>
  <c r="J310" i="12"/>
  <c r="J302" i="12"/>
  <c r="J365" i="12" s="1"/>
  <c r="N310" i="12"/>
  <c r="N302" i="12"/>
  <c r="R310" i="12"/>
  <c r="R302" i="12"/>
  <c r="R298" i="12" s="1"/>
  <c r="V310" i="12"/>
  <c r="V302" i="12"/>
  <c r="Z310" i="12"/>
  <c r="Z302" i="12"/>
  <c r="Z298" i="12" s="1"/>
  <c r="AD310" i="12"/>
  <c r="AD302" i="12"/>
  <c r="AG314" i="12"/>
  <c r="F317" i="12"/>
  <c r="D317" i="12"/>
  <c r="D316" i="12" s="1"/>
  <c r="G317" i="12"/>
  <c r="F319" i="12"/>
  <c r="E316" i="12"/>
  <c r="G319" i="12"/>
  <c r="F324" i="12"/>
  <c r="F329" i="12"/>
  <c r="D329" i="12"/>
  <c r="G329" i="12"/>
  <c r="F331" i="12"/>
  <c r="D331" i="12"/>
  <c r="E328" i="12"/>
  <c r="G331" i="12"/>
  <c r="AG342" i="12"/>
  <c r="B336" i="12"/>
  <c r="D336" i="12"/>
  <c r="F342" i="12"/>
  <c r="F347" i="12"/>
  <c r="D347" i="12"/>
  <c r="G347" i="12"/>
  <c r="F349" i="12"/>
  <c r="D349" i="12"/>
  <c r="E346" i="12"/>
  <c r="G349" i="12"/>
  <c r="N352" i="12"/>
  <c r="N372" i="12" s="1"/>
  <c r="V352" i="12"/>
  <c r="V372" i="12" s="1"/>
  <c r="AD352" i="12"/>
  <c r="O353" i="12"/>
  <c r="O373" i="12" s="1"/>
  <c r="W353" i="12"/>
  <c r="W373" i="12" s="1"/>
  <c r="AE353" i="12"/>
  <c r="AE373" i="12" s="1"/>
  <c r="P354" i="12"/>
  <c r="P374" i="12" s="1"/>
  <c r="X354" i="12"/>
  <c r="X374" i="12" s="1"/>
  <c r="I355" i="12"/>
  <c r="I375" i="12" s="1"/>
  <c r="Q355" i="12"/>
  <c r="Q375" i="12" s="1"/>
  <c r="Y355" i="12"/>
  <c r="Y375" i="12" s="1"/>
  <c r="K357" i="12"/>
  <c r="S357" i="12"/>
  <c r="AA357" i="12"/>
  <c r="L358" i="12"/>
  <c r="T358" i="12"/>
  <c r="M359" i="12"/>
  <c r="U359" i="12"/>
  <c r="AC359" i="12"/>
  <c r="N360" i="12"/>
  <c r="V360" i="12"/>
  <c r="AD360" i="12"/>
  <c r="P362" i="12"/>
  <c r="X362" i="12"/>
  <c r="F20" i="15"/>
  <c r="D20" i="15"/>
  <c r="G20" i="15"/>
  <c r="AG118" i="15"/>
  <c r="AG27" i="15"/>
  <c r="B25" i="15"/>
  <c r="AG25" i="15" s="1"/>
  <c r="F27" i="15"/>
  <c r="AG121" i="15"/>
  <c r="AG30" i="15"/>
  <c r="F30" i="15"/>
  <c r="F42" i="15"/>
  <c r="D42" i="15"/>
  <c r="G42" i="15"/>
  <c r="AG63" i="15"/>
  <c r="G13" i="8"/>
  <c r="AG14" i="8"/>
  <c r="G15" i="8"/>
  <c r="AG16" i="8"/>
  <c r="AG44" i="8"/>
  <c r="G45" i="8"/>
  <c r="AG46" i="8"/>
  <c r="C293" i="8"/>
  <c r="E293" i="8"/>
  <c r="C295" i="8"/>
  <c r="E295" i="8"/>
  <c r="I301" i="8"/>
  <c r="K301" i="8"/>
  <c r="J91" i="10"/>
  <c r="L91" i="10"/>
  <c r="N91" i="10"/>
  <c r="P91" i="10"/>
  <c r="R91" i="10"/>
  <c r="T91" i="10"/>
  <c r="V91" i="10"/>
  <c r="X91" i="10"/>
  <c r="Z91" i="10"/>
  <c r="AB91" i="10"/>
  <c r="AD91" i="10"/>
  <c r="K92" i="10"/>
  <c r="K89" i="10" s="1"/>
  <c r="M92" i="10"/>
  <c r="M89" i="10" s="1"/>
  <c r="O92" i="10"/>
  <c r="Q92" i="10"/>
  <c r="S92" i="10"/>
  <c r="U92" i="10"/>
  <c r="W92" i="10"/>
  <c r="Y92" i="10"/>
  <c r="AA92" i="10"/>
  <c r="AC92" i="10"/>
  <c r="AE92" i="10"/>
  <c r="E12" i="11"/>
  <c r="B138" i="11"/>
  <c r="D13" i="11"/>
  <c r="F13" i="11"/>
  <c r="AG13" i="11"/>
  <c r="G139" i="11"/>
  <c r="G14" i="11"/>
  <c r="B140" i="11"/>
  <c r="AG140" i="11" s="1"/>
  <c r="D15" i="11"/>
  <c r="F15" i="11"/>
  <c r="AG15" i="11"/>
  <c r="G141" i="11"/>
  <c r="G16" i="11"/>
  <c r="H19" i="11"/>
  <c r="J19" i="11"/>
  <c r="N19" i="11"/>
  <c r="P19" i="11"/>
  <c r="R19" i="11"/>
  <c r="T19" i="11"/>
  <c r="V19" i="11"/>
  <c r="X19" i="11"/>
  <c r="Z19" i="11"/>
  <c r="AB19" i="11"/>
  <c r="AD19" i="11"/>
  <c r="E143" i="11"/>
  <c r="E133" i="11"/>
  <c r="E153" i="11" s="1"/>
  <c r="G20" i="11"/>
  <c r="I143" i="11"/>
  <c r="I133" i="11"/>
  <c r="K143" i="11"/>
  <c r="K133" i="11"/>
  <c r="M143" i="11"/>
  <c r="M133" i="11"/>
  <c r="O143" i="11"/>
  <c r="O133" i="11"/>
  <c r="Q143" i="11"/>
  <c r="Q133" i="11"/>
  <c r="S143" i="11"/>
  <c r="S133" i="11"/>
  <c r="U143" i="11"/>
  <c r="U133" i="11"/>
  <c r="W143" i="11"/>
  <c r="W133" i="11"/>
  <c r="Y143" i="11"/>
  <c r="Y133" i="11"/>
  <c r="AA143" i="11"/>
  <c r="AA133" i="11"/>
  <c r="AC143" i="11"/>
  <c r="AC133" i="11"/>
  <c r="AE143" i="11"/>
  <c r="AE133" i="11"/>
  <c r="H144" i="11"/>
  <c r="H134" i="11"/>
  <c r="J144" i="11"/>
  <c r="J134" i="11"/>
  <c r="L144" i="11"/>
  <c r="L134" i="11"/>
  <c r="N144" i="11"/>
  <c r="N134" i="11"/>
  <c r="P144" i="11"/>
  <c r="P134" i="11"/>
  <c r="R144" i="11"/>
  <c r="R134" i="11"/>
  <c r="T144" i="11"/>
  <c r="T134" i="11"/>
  <c r="V144" i="11"/>
  <c r="V134" i="11"/>
  <c r="X144" i="11"/>
  <c r="X134" i="11"/>
  <c r="Z144" i="11"/>
  <c r="Z134" i="11"/>
  <c r="AB144" i="11"/>
  <c r="AB134" i="11"/>
  <c r="AD144" i="11"/>
  <c r="AD134" i="11"/>
  <c r="I145" i="11"/>
  <c r="I135" i="11"/>
  <c r="K145" i="11"/>
  <c r="K135" i="11"/>
  <c r="M145" i="11"/>
  <c r="M135" i="11"/>
  <c r="O145" i="11"/>
  <c r="O135" i="11"/>
  <c r="Q145" i="11"/>
  <c r="Q135" i="11"/>
  <c r="S145" i="11"/>
  <c r="S135" i="11"/>
  <c r="U145" i="11"/>
  <c r="U135" i="11"/>
  <c r="W145" i="11"/>
  <c r="W135" i="11"/>
  <c r="Y145" i="11"/>
  <c r="Y135" i="11"/>
  <c r="AA145" i="11"/>
  <c r="AA135" i="11"/>
  <c r="AC145" i="11"/>
  <c r="AC135" i="11"/>
  <c r="AE145" i="11"/>
  <c r="AE135" i="11"/>
  <c r="H146" i="11"/>
  <c r="H136" i="11"/>
  <c r="J146" i="11"/>
  <c r="J136" i="11"/>
  <c r="L146" i="11"/>
  <c r="L136" i="11"/>
  <c r="N146" i="11"/>
  <c r="N136" i="11"/>
  <c r="P146" i="11"/>
  <c r="P136" i="11"/>
  <c r="R146" i="11"/>
  <c r="R136" i="11"/>
  <c r="T146" i="11"/>
  <c r="T136" i="11"/>
  <c r="V146" i="11"/>
  <c r="V136" i="11"/>
  <c r="X146" i="11"/>
  <c r="X136" i="11"/>
  <c r="Z146" i="11"/>
  <c r="Z136" i="11"/>
  <c r="AB146" i="11"/>
  <c r="AB136" i="11"/>
  <c r="AD146" i="11"/>
  <c r="AD136" i="11"/>
  <c r="AG23" i="11"/>
  <c r="F26" i="11"/>
  <c r="D26" i="11"/>
  <c r="D20" i="11" s="1"/>
  <c r="F28" i="11"/>
  <c r="D28" i="11"/>
  <c r="E25" i="11"/>
  <c r="F34" i="11"/>
  <c r="D34" i="11"/>
  <c r="D31" i="11" s="1"/>
  <c r="E31" i="11"/>
  <c r="AH31" i="11" s="1"/>
  <c r="F40" i="11"/>
  <c r="D40" i="11"/>
  <c r="D37" i="11" s="1"/>
  <c r="E37" i="11"/>
  <c r="AH37" i="11" s="1"/>
  <c r="B43" i="11"/>
  <c r="AG43" i="11" s="1"/>
  <c r="G46" i="11"/>
  <c r="F52" i="11"/>
  <c r="D52" i="11"/>
  <c r="D49" i="11" s="1"/>
  <c r="E49" i="11"/>
  <c r="H55" i="11"/>
  <c r="J55" i="11"/>
  <c r="L55" i="11"/>
  <c r="N55" i="11"/>
  <c r="P55" i="11"/>
  <c r="R55" i="11"/>
  <c r="T55" i="11"/>
  <c r="V55" i="11"/>
  <c r="X55" i="11"/>
  <c r="Z55" i="11"/>
  <c r="AB55" i="11"/>
  <c r="AD55" i="11"/>
  <c r="AG56" i="11"/>
  <c r="B58" i="11"/>
  <c r="B55" i="11" s="1"/>
  <c r="D58" i="11"/>
  <c r="D55" i="11" s="1"/>
  <c r="G59" i="11"/>
  <c r="AG64" i="11"/>
  <c r="E67" i="11"/>
  <c r="AG68" i="11"/>
  <c r="G69" i="11"/>
  <c r="J67" i="11"/>
  <c r="G74" i="11"/>
  <c r="F82" i="11"/>
  <c r="D82" i="11"/>
  <c r="E79" i="11"/>
  <c r="AH79" i="11" s="1"/>
  <c r="F88" i="11"/>
  <c r="D88" i="11"/>
  <c r="D85" i="11" s="1"/>
  <c r="E85" i="11"/>
  <c r="AH85" i="11" s="1"/>
  <c r="F94" i="11"/>
  <c r="D94" i="11"/>
  <c r="E93" i="11"/>
  <c r="G96" i="11"/>
  <c r="G102" i="11"/>
  <c r="G110" i="11"/>
  <c r="G118" i="11"/>
  <c r="G124" i="11"/>
  <c r="G130" i="11"/>
  <c r="E138" i="11"/>
  <c r="B139" i="11"/>
  <c r="AG139" i="11" s="1"/>
  <c r="E146" i="11"/>
  <c r="J12" i="12"/>
  <c r="N12" i="12"/>
  <c r="R12" i="12"/>
  <c r="V12" i="12"/>
  <c r="Z12" i="12"/>
  <c r="AD12" i="12"/>
  <c r="E13" i="12"/>
  <c r="B14" i="12"/>
  <c r="E15" i="12"/>
  <c r="F16" i="12"/>
  <c r="G19" i="12"/>
  <c r="AG20" i="12"/>
  <c r="C18" i="12"/>
  <c r="G25" i="12"/>
  <c r="G27" i="12"/>
  <c r="I31" i="12"/>
  <c r="M31" i="12"/>
  <c r="Q31" i="12"/>
  <c r="U31" i="12"/>
  <c r="Y31" i="12"/>
  <c r="AC31" i="12"/>
  <c r="C32" i="12"/>
  <c r="H31" i="12"/>
  <c r="J362" i="12"/>
  <c r="J31" i="12"/>
  <c r="L31" i="12"/>
  <c r="N362" i="12"/>
  <c r="N31" i="12"/>
  <c r="P31" i="12"/>
  <c r="R362" i="12"/>
  <c r="R31" i="12"/>
  <c r="T31" i="12"/>
  <c r="V362" i="12"/>
  <c r="V31" i="12"/>
  <c r="X31" i="12"/>
  <c r="Z362" i="12"/>
  <c r="Z31" i="12"/>
  <c r="AB31" i="12"/>
  <c r="AD362" i="12"/>
  <c r="AD31" i="12"/>
  <c r="K363" i="12"/>
  <c r="O363" i="12"/>
  <c r="S363" i="12"/>
  <c r="W363" i="12"/>
  <c r="AA363" i="12"/>
  <c r="AE363" i="12"/>
  <c r="E35" i="12"/>
  <c r="F39" i="12"/>
  <c r="D39" i="12"/>
  <c r="D37" i="12" s="1"/>
  <c r="B37" i="12"/>
  <c r="AG37" i="12" s="1"/>
  <c r="F40" i="12"/>
  <c r="G43" i="12"/>
  <c r="AG46" i="12"/>
  <c r="F52" i="12"/>
  <c r="H61" i="12"/>
  <c r="J61" i="12"/>
  <c r="L61" i="12"/>
  <c r="N61" i="12"/>
  <c r="P61" i="12"/>
  <c r="R61" i="12"/>
  <c r="T61" i="12"/>
  <c r="V61" i="12"/>
  <c r="X61" i="12"/>
  <c r="Z61" i="12"/>
  <c r="AB61" i="12"/>
  <c r="AD61" i="12"/>
  <c r="AG62" i="12"/>
  <c r="B64" i="12"/>
  <c r="D64" i="12"/>
  <c r="D61" i="12" s="1"/>
  <c r="G65" i="12"/>
  <c r="AG70" i="12"/>
  <c r="F76" i="12"/>
  <c r="K83" i="12"/>
  <c r="K79" i="12" s="1"/>
  <c r="O83" i="12"/>
  <c r="O365" i="12" s="1"/>
  <c r="S83" i="12"/>
  <c r="S79" i="12" s="1"/>
  <c r="W83" i="12"/>
  <c r="W365" i="12" s="1"/>
  <c r="AA83" i="12"/>
  <c r="AA79" i="12" s="1"/>
  <c r="AE83" i="12"/>
  <c r="AE365" i="12" s="1"/>
  <c r="C87" i="12"/>
  <c r="H85" i="12"/>
  <c r="J85" i="12"/>
  <c r="L85" i="12"/>
  <c r="N85" i="12"/>
  <c r="P85" i="12"/>
  <c r="R85" i="12"/>
  <c r="T85" i="12"/>
  <c r="V85" i="12"/>
  <c r="X85" i="12"/>
  <c r="Z85" i="12"/>
  <c r="AB85" i="12"/>
  <c r="AD85" i="12"/>
  <c r="AG94" i="12"/>
  <c r="F100" i="12"/>
  <c r="F105" i="12"/>
  <c r="D105" i="12"/>
  <c r="F106" i="12"/>
  <c r="F111" i="12"/>
  <c r="D109" i="12"/>
  <c r="F112" i="12"/>
  <c r="F117" i="12"/>
  <c r="D117" i="12"/>
  <c r="D115" i="12" s="1"/>
  <c r="F118" i="12"/>
  <c r="F123" i="12"/>
  <c r="D123" i="12"/>
  <c r="F124" i="12"/>
  <c r="H127" i="12"/>
  <c r="J127" i="12"/>
  <c r="L127" i="12"/>
  <c r="N127" i="12"/>
  <c r="P127" i="12"/>
  <c r="R127" i="12"/>
  <c r="T127" i="12"/>
  <c r="V127" i="12"/>
  <c r="X127" i="12"/>
  <c r="Z127" i="12"/>
  <c r="AB127" i="12"/>
  <c r="AD127" i="12"/>
  <c r="AG128" i="12"/>
  <c r="C129" i="12"/>
  <c r="B130" i="12"/>
  <c r="D130" i="12"/>
  <c r="D127" i="12" s="1"/>
  <c r="G131" i="12"/>
  <c r="F136" i="12"/>
  <c r="AG143" i="12"/>
  <c r="F149" i="12"/>
  <c r="B151" i="12"/>
  <c r="B148" i="12" s="1"/>
  <c r="G152" i="12"/>
  <c r="G154" i="12"/>
  <c r="AG157" i="12"/>
  <c r="E163" i="12"/>
  <c r="B164" i="12"/>
  <c r="E165" i="12"/>
  <c r="G169" i="12"/>
  <c r="C168" i="12"/>
  <c r="G175" i="12"/>
  <c r="C177" i="12"/>
  <c r="C359" i="12" s="1"/>
  <c r="F181" i="12"/>
  <c r="D175" i="12"/>
  <c r="F183" i="12"/>
  <c r="E180" i="12"/>
  <c r="B188" i="12"/>
  <c r="H187" i="12"/>
  <c r="J187" i="12"/>
  <c r="L187" i="12"/>
  <c r="N187" i="12"/>
  <c r="P187" i="12"/>
  <c r="R187" i="12"/>
  <c r="T187" i="12"/>
  <c r="V187" i="12"/>
  <c r="X187" i="12"/>
  <c r="Z187" i="12"/>
  <c r="AB187" i="12"/>
  <c r="AD187" i="12"/>
  <c r="B190" i="12"/>
  <c r="F195" i="12"/>
  <c r="D195" i="12"/>
  <c r="B193" i="12"/>
  <c r="AG193" i="12" s="1"/>
  <c r="F196" i="12"/>
  <c r="G201" i="12"/>
  <c r="AG202" i="12"/>
  <c r="B206" i="12"/>
  <c r="H205" i="12"/>
  <c r="J205" i="12"/>
  <c r="L205" i="12"/>
  <c r="N205" i="12"/>
  <c r="P205" i="12"/>
  <c r="R205" i="12"/>
  <c r="T205" i="12"/>
  <c r="V205" i="12"/>
  <c r="X205" i="12"/>
  <c r="Z205" i="12"/>
  <c r="AB205" i="12"/>
  <c r="AD205" i="12"/>
  <c r="F213" i="12"/>
  <c r="D213" i="12"/>
  <c r="B211" i="12"/>
  <c r="AG211" i="12" s="1"/>
  <c r="F214" i="12"/>
  <c r="G219" i="12"/>
  <c r="AG220" i="12"/>
  <c r="F225" i="12"/>
  <c r="D225" i="12"/>
  <c r="D223" i="12" s="1"/>
  <c r="B223" i="12"/>
  <c r="AG223" i="12" s="1"/>
  <c r="F226" i="12"/>
  <c r="G231" i="12"/>
  <c r="AG232" i="12"/>
  <c r="B236" i="12"/>
  <c r="H235" i="12"/>
  <c r="J235" i="12"/>
  <c r="L235" i="12"/>
  <c r="N235" i="12"/>
  <c r="P235" i="12"/>
  <c r="R235" i="12"/>
  <c r="T235" i="12"/>
  <c r="V235" i="12"/>
  <c r="X235" i="12"/>
  <c r="Z235" i="12"/>
  <c r="AB235" i="12"/>
  <c r="AD235" i="12"/>
  <c r="F243" i="12"/>
  <c r="D243" i="12"/>
  <c r="B241" i="12"/>
  <c r="F244" i="12"/>
  <c r="AG250" i="12"/>
  <c r="B247" i="12"/>
  <c r="AG247" i="12" s="1"/>
  <c r="F250" i="12"/>
  <c r="F259" i="12"/>
  <c r="F269" i="12"/>
  <c r="D269" i="12"/>
  <c r="G269" i="12"/>
  <c r="F271" i="12"/>
  <c r="D271" i="12"/>
  <c r="G271" i="12"/>
  <c r="H310" i="12"/>
  <c r="P310" i="12"/>
  <c r="X310" i="12"/>
  <c r="F318" i="12"/>
  <c r="B322" i="12"/>
  <c r="AG322" i="12" s="1"/>
  <c r="F323" i="12"/>
  <c r="D323" i="12"/>
  <c r="G323" i="12"/>
  <c r="F325" i="12"/>
  <c r="D325" i="12"/>
  <c r="E322" i="12"/>
  <c r="G325" i="12"/>
  <c r="F330" i="12"/>
  <c r="E335" i="12"/>
  <c r="B340" i="12"/>
  <c r="AG340" i="12" s="1"/>
  <c r="F341" i="12"/>
  <c r="D341" i="12"/>
  <c r="G341" i="12"/>
  <c r="F343" i="12"/>
  <c r="D343" i="12"/>
  <c r="E340" i="12"/>
  <c r="G343" i="12"/>
  <c r="F348" i="12"/>
  <c r="J352" i="12"/>
  <c r="J372" i="12" s="1"/>
  <c r="R352" i="12"/>
  <c r="R372" i="12" s="1"/>
  <c r="Z352" i="12"/>
  <c r="Z372" i="12" s="1"/>
  <c r="K353" i="12"/>
  <c r="K373" i="12" s="1"/>
  <c r="S353" i="12"/>
  <c r="S373" i="12" s="1"/>
  <c r="AA353" i="12"/>
  <c r="AA373" i="12" s="1"/>
  <c r="L354" i="12"/>
  <c r="L374" i="12" s="1"/>
  <c r="AB354" i="12"/>
  <c r="AB374" i="12" s="1"/>
  <c r="M355" i="12"/>
  <c r="M375" i="12" s="1"/>
  <c r="U355" i="12"/>
  <c r="U375" i="12" s="1"/>
  <c r="AC355" i="12"/>
  <c r="AC375" i="12" s="1"/>
  <c r="O357" i="12"/>
  <c r="W357" i="12"/>
  <c r="AE357" i="12"/>
  <c r="H358" i="12"/>
  <c r="P358" i="12"/>
  <c r="X358" i="12"/>
  <c r="I359" i="12"/>
  <c r="Q359" i="12"/>
  <c r="Y359" i="12"/>
  <c r="B360" i="12"/>
  <c r="J360" i="12"/>
  <c r="R360" i="12"/>
  <c r="Z360" i="12"/>
  <c r="L362" i="12"/>
  <c r="T362" i="12"/>
  <c r="AB362" i="12"/>
  <c r="B112" i="15"/>
  <c r="B12" i="15"/>
  <c r="AG12" i="15" s="1"/>
  <c r="AG13" i="15"/>
  <c r="F13" i="15"/>
  <c r="B114" i="15"/>
  <c r="AG114" i="15" s="1"/>
  <c r="AG15" i="15"/>
  <c r="D114" i="15"/>
  <c r="F15" i="15"/>
  <c r="E18" i="15"/>
  <c r="F22" i="15"/>
  <c r="D22" i="15"/>
  <c r="G22" i="15"/>
  <c r="G33" i="15"/>
  <c r="F40" i="15"/>
  <c r="D40" i="15"/>
  <c r="E39" i="15"/>
  <c r="G40" i="15"/>
  <c r="E360" i="12"/>
  <c r="G16" i="12"/>
  <c r="AG19" i="12"/>
  <c r="G20" i="12"/>
  <c r="AG21" i="12"/>
  <c r="G28" i="12"/>
  <c r="K362" i="12"/>
  <c r="M362" i="12"/>
  <c r="O362" i="12"/>
  <c r="Q362" i="12"/>
  <c r="S362" i="12"/>
  <c r="U362" i="12"/>
  <c r="W362" i="12"/>
  <c r="Y362" i="12"/>
  <c r="AA362" i="12"/>
  <c r="AC362" i="12"/>
  <c r="AE362" i="12"/>
  <c r="J363" i="12"/>
  <c r="L363" i="12"/>
  <c r="N363" i="12"/>
  <c r="P363" i="12"/>
  <c r="R363" i="12"/>
  <c r="T363" i="12"/>
  <c r="V363" i="12"/>
  <c r="X363" i="12"/>
  <c r="Z363" i="12"/>
  <c r="AB363" i="12"/>
  <c r="K364" i="12"/>
  <c r="M364" i="12"/>
  <c r="O364" i="12"/>
  <c r="Q364" i="12"/>
  <c r="S364" i="12"/>
  <c r="W364" i="12"/>
  <c r="Y364" i="12"/>
  <c r="AA364" i="12"/>
  <c r="AC364" i="12"/>
  <c r="AE364" i="12"/>
  <c r="H365" i="12"/>
  <c r="L365" i="12"/>
  <c r="P365" i="12"/>
  <c r="T365" i="12"/>
  <c r="X365" i="12"/>
  <c r="AB365" i="12"/>
  <c r="F262" i="12"/>
  <c r="D262" i="12"/>
  <c r="E261" i="12"/>
  <c r="F264" i="12"/>
  <c r="I274" i="12"/>
  <c r="K274" i="12"/>
  <c r="M274" i="12"/>
  <c r="O274" i="12"/>
  <c r="Q274" i="12"/>
  <c r="S274" i="12"/>
  <c r="U274" i="12"/>
  <c r="W274" i="12"/>
  <c r="Y274" i="12"/>
  <c r="AA274" i="12"/>
  <c r="AC274" i="12"/>
  <c r="AE274" i="12"/>
  <c r="F281" i="12"/>
  <c r="D281" i="12"/>
  <c r="F283" i="12"/>
  <c r="E280" i="12"/>
  <c r="F287" i="12"/>
  <c r="D287" i="12"/>
  <c r="F289" i="12"/>
  <c r="D289" i="12"/>
  <c r="E286" i="12"/>
  <c r="F293" i="12"/>
  <c r="D293" i="12"/>
  <c r="F295" i="12"/>
  <c r="D295" i="12"/>
  <c r="E292" i="12"/>
  <c r="F305" i="12"/>
  <c r="D305" i="12"/>
  <c r="F307" i="12"/>
  <c r="D307" i="12"/>
  <c r="E304" i="12"/>
  <c r="I310" i="12"/>
  <c r="K310" i="12"/>
  <c r="M310" i="12"/>
  <c r="O310" i="12"/>
  <c r="Q310" i="12"/>
  <c r="S310" i="12"/>
  <c r="U310" i="12"/>
  <c r="W310" i="12"/>
  <c r="Y310" i="12"/>
  <c r="AA310" i="12"/>
  <c r="AC310" i="12"/>
  <c r="AE310" i="12"/>
  <c r="C316" i="12"/>
  <c r="C322" i="12"/>
  <c r="C328" i="12"/>
  <c r="C340" i="12"/>
  <c r="C346" i="12"/>
  <c r="L352" i="12"/>
  <c r="L372" i="12" s="1"/>
  <c r="P352" i="12"/>
  <c r="P372" i="12" s="1"/>
  <c r="T352" i="12"/>
  <c r="T372" i="12" s="1"/>
  <c r="X352" i="12"/>
  <c r="X372" i="12" s="1"/>
  <c r="AB352" i="12"/>
  <c r="AB372" i="12" s="1"/>
  <c r="M353" i="12"/>
  <c r="M373" i="12" s="1"/>
  <c r="Q353" i="12"/>
  <c r="Q373" i="12" s="1"/>
  <c r="U353" i="12"/>
  <c r="U373" i="12" s="1"/>
  <c r="Y353" i="12"/>
  <c r="Y373" i="12" s="1"/>
  <c r="AC353" i="12"/>
  <c r="AC373" i="12" s="1"/>
  <c r="J354" i="12"/>
  <c r="J374" i="12" s="1"/>
  <c r="N354" i="12"/>
  <c r="N374" i="12" s="1"/>
  <c r="R354" i="12"/>
  <c r="R374" i="12" s="1"/>
  <c r="V354" i="12"/>
  <c r="V374" i="12" s="1"/>
  <c r="Z354" i="12"/>
  <c r="Z374" i="12" s="1"/>
  <c r="C23" i="13"/>
  <c r="AH23" i="13" s="1"/>
  <c r="C28" i="13"/>
  <c r="AH28" i="13" s="1"/>
  <c r="C29" i="13"/>
  <c r="C24" i="13"/>
  <c r="AH24" i="13" s="1"/>
  <c r="C25" i="13"/>
  <c r="E25" i="13"/>
  <c r="E10" i="13"/>
  <c r="D23" i="13"/>
  <c r="D17" i="13"/>
  <c r="D16" i="13" s="1"/>
  <c r="AG20" i="13"/>
  <c r="B23" i="13"/>
  <c r="AG25" i="13"/>
  <c r="C26" i="13"/>
  <c r="AH26" i="13" s="1"/>
  <c r="E113" i="15"/>
  <c r="F14" i="15"/>
  <c r="D14" i="15"/>
  <c r="G14" i="15"/>
  <c r="E115" i="15"/>
  <c r="F16" i="15"/>
  <c r="D16" i="15"/>
  <c r="G16" i="15"/>
  <c r="B18" i="15"/>
  <c r="AG18" i="15" s="1"/>
  <c r="AG19" i="15"/>
  <c r="F19" i="15"/>
  <c r="F21" i="15"/>
  <c r="E117" i="15"/>
  <c r="F26" i="15"/>
  <c r="D26" i="15"/>
  <c r="E25" i="15"/>
  <c r="G26" i="15"/>
  <c r="E119" i="15"/>
  <c r="F28" i="15"/>
  <c r="D28" i="15"/>
  <c r="G28" i="15"/>
  <c r="F41" i="15"/>
  <c r="F44" i="15"/>
  <c r="C46" i="15"/>
  <c r="G47" i="15"/>
  <c r="F62" i="15"/>
  <c r="D62" i="15"/>
  <c r="E61" i="15"/>
  <c r="G62" i="15"/>
  <c r="D75" i="15"/>
  <c r="E74" i="15"/>
  <c r="F77" i="15"/>
  <c r="D77" i="15"/>
  <c r="AG78" i="15"/>
  <c r="AG90" i="15"/>
  <c r="AG96" i="15"/>
  <c r="AG102" i="15"/>
  <c r="J123" i="15"/>
  <c r="J105" i="15"/>
  <c r="L105" i="15"/>
  <c r="L122" i="15" s="1"/>
  <c r="L123" i="15"/>
  <c r="N123" i="15"/>
  <c r="N105" i="15"/>
  <c r="R123" i="15"/>
  <c r="R105" i="15"/>
  <c r="T105" i="15"/>
  <c r="T122" i="15" s="1"/>
  <c r="T123" i="15"/>
  <c r="V123" i="15"/>
  <c r="V105" i="15"/>
  <c r="Z123" i="15"/>
  <c r="Z105" i="15"/>
  <c r="AB105" i="15"/>
  <c r="AB123" i="15"/>
  <c r="AD123" i="15"/>
  <c r="AD105" i="15"/>
  <c r="AG117" i="15"/>
  <c r="H123" i="15"/>
  <c r="X123" i="15"/>
  <c r="B28" i="13"/>
  <c r="D28" i="13"/>
  <c r="B26" i="13"/>
  <c r="AG26" i="13" s="1"/>
  <c r="AG15" i="13"/>
  <c r="D31" i="13"/>
  <c r="C113" i="15"/>
  <c r="C117" i="15"/>
  <c r="C25" i="15"/>
  <c r="C119" i="15"/>
  <c r="F33" i="15"/>
  <c r="D33" i="15"/>
  <c r="E32" i="15"/>
  <c r="F35" i="15"/>
  <c r="D35" i="15"/>
  <c r="F47" i="15"/>
  <c r="D47" i="15"/>
  <c r="E46" i="15"/>
  <c r="F49" i="15"/>
  <c r="D49" i="15"/>
  <c r="C61" i="15"/>
  <c r="F64" i="15"/>
  <c r="D64" i="15"/>
  <c r="D69" i="15"/>
  <c r="E68" i="15"/>
  <c r="F71" i="15"/>
  <c r="D71" i="15"/>
  <c r="G77" i="15"/>
  <c r="D81" i="15"/>
  <c r="E80" i="15"/>
  <c r="F83" i="15"/>
  <c r="D83" i="15"/>
  <c r="D89" i="15"/>
  <c r="E88" i="15"/>
  <c r="F91" i="15"/>
  <c r="D91" i="15"/>
  <c r="D95" i="15"/>
  <c r="E94" i="15"/>
  <c r="F97" i="15"/>
  <c r="D97" i="15"/>
  <c r="D101" i="15"/>
  <c r="E100" i="15"/>
  <c r="M126" i="15"/>
  <c r="M105" i="15"/>
  <c r="U126" i="15"/>
  <c r="U105" i="15"/>
  <c r="AC126" i="15"/>
  <c r="AC105" i="15"/>
  <c r="P123" i="15"/>
  <c r="I126" i="15"/>
  <c r="Y126" i="15"/>
  <c r="AG14" i="13"/>
  <c r="G13" i="15"/>
  <c r="AG14" i="15"/>
  <c r="G15" i="15"/>
  <c r="AG16" i="15"/>
  <c r="G27" i="15"/>
  <c r="AG28" i="15"/>
  <c r="G30" i="15"/>
  <c r="F103" i="15"/>
  <c r="D103" i="15"/>
  <c r="C112" i="15"/>
  <c r="I111" i="15"/>
  <c r="K111" i="15"/>
  <c r="K122" i="15" s="1"/>
  <c r="M111" i="15"/>
  <c r="O111" i="15"/>
  <c r="O122" i="15" s="1"/>
  <c r="Q111" i="15"/>
  <c r="S111" i="15"/>
  <c r="S122" i="15" s="1"/>
  <c r="U111" i="15"/>
  <c r="W111" i="15"/>
  <c r="W122" i="15" s="1"/>
  <c r="Y111" i="15"/>
  <c r="AA111" i="15"/>
  <c r="AA122" i="15" s="1"/>
  <c r="AC111" i="15"/>
  <c r="AE111" i="15"/>
  <c r="AE122" i="15" s="1"/>
  <c r="E114" i="15"/>
  <c r="B115" i="15"/>
  <c r="AG115" i="15" s="1"/>
  <c r="I123" i="15"/>
  <c r="K123" i="15"/>
  <c r="M123" i="15"/>
  <c r="O123" i="15"/>
  <c r="Q123" i="15"/>
  <c r="S123" i="15"/>
  <c r="U123" i="15"/>
  <c r="W123" i="15"/>
  <c r="Y123" i="15"/>
  <c r="AA123" i="15"/>
  <c r="AC123" i="15"/>
  <c r="AE123" i="15"/>
  <c r="H124" i="15"/>
  <c r="J124" i="15"/>
  <c r="L124" i="15"/>
  <c r="N124" i="15"/>
  <c r="P124" i="15"/>
  <c r="R124" i="15"/>
  <c r="T124" i="15"/>
  <c r="V124" i="15"/>
  <c r="X124" i="15"/>
  <c r="Z124" i="15"/>
  <c r="AB124" i="15"/>
  <c r="AD124" i="15"/>
  <c r="I125" i="15"/>
  <c r="K125" i="15"/>
  <c r="M125" i="15"/>
  <c r="O125" i="15"/>
  <c r="Q125" i="15"/>
  <c r="S125" i="15"/>
  <c r="U125" i="15"/>
  <c r="W125" i="15"/>
  <c r="Y125" i="15"/>
  <c r="AA125" i="15"/>
  <c r="AC125" i="15"/>
  <c r="AE125" i="15"/>
  <c r="H126" i="15"/>
  <c r="J126" i="15"/>
  <c r="L126" i="15"/>
  <c r="N126" i="15"/>
  <c r="P126" i="15"/>
  <c r="R126" i="15"/>
  <c r="T126" i="15"/>
  <c r="V126" i="15"/>
  <c r="X126" i="15"/>
  <c r="Z126" i="15"/>
  <c r="AB126" i="15"/>
  <c r="AD126" i="15"/>
  <c r="G115" i="12" l="1"/>
  <c r="H375" i="12"/>
  <c r="E353" i="12"/>
  <c r="E373" i="12" s="1"/>
  <c r="G57" i="11"/>
  <c r="AH23" i="11"/>
  <c r="G56" i="11"/>
  <c r="F70" i="11"/>
  <c r="C144" i="11"/>
  <c r="C146" i="11"/>
  <c r="G23" i="11"/>
  <c r="B67" i="11"/>
  <c r="G187" i="8"/>
  <c r="AH58" i="10"/>
  <c r="AH25" i="11"/>
  <c r="C37" i="10"/>
  <c r="AH37" i="10" s="1"/>
  <c r="AH38" i="10"/>
  <c r="D22" i="11"/>
  <c r="C71" i="10"/>
  <c r="AH72" i="10"/>
  <c r="E145" i="11"/>
  <c r="AI10" i="11"/>
  <c r="C51" i="10"/>
  <c r="AH52" i="10"/>
  <c r="C22" i="11"/>
  <c r="AH22" i="11" s="1"/>
  <c r="C66" i="10"/>
  <c r="AH66" i="10" s="1"/>
  <c r="AH46" i="10"/>
  <c r="C31" i="10"/>
  <c r="AH31" i="10" s="1"/>
  <c r="AH32" i="10"/>
  <c r="C143" i="11"/>
  <c r="C133" i="11"/>
  <c r="C153" i="11" s="1"/>
  <c r="D49" i="10"/>
  <c r="AH49" i="10"/>
  <c r="AH84" i="10"/>
  <c r="AH146" i="11"/>
  <c r="C156" i="11"/>
  <c r="AH136" i="11"/>
  <c r="AH43" i="11"/>
  <c r="C73" i="11"/>
  <c r="AH73" i="11" s="1"/>
  <c r="AH76" i="11"/>
  <c r="C137" i="11"/>
  <c r="AH138" i="11"/>
  <c r="AH49" i="11"/>
  <c r="AH127" i="11"/>
  <c r="AH99" i="11"/>
  <c r="AH67" i="11"/>
  <c r="AH12" i="11"/>
  <c r="AH58" i="11"/>
  <c r="AH133" i="11"/>
  <c r="AH121" i="11"/>
  <c r="AH144" i="11"/>
  <c r="AH21" i="11"/>
  <c r="AH107" i="11"/>
  <c r="AH61" i="11"/>
  <c r="C55" i="11"/>
  <c r="AH55" i="11" s="1"/>
  <c r="AH143" i="11"/>
  <c r="AH115" i="11"/>
  <c r="AH93" i="11"/>
  <c r="AH140" i="11"/>
  <c r="F112" i="15"/>
  <c r="AE356" i="12"/>
  <c r="S313" i="8"/>
  <c r="D141" i="11"/>
  <c r="D151" i="11" s="1"/>
  <c r="U307" i="8"/>
  <c r="H354" i="12"/>
  <c r="H374" i="12" s="1"/>
  <c r="R122" i="15"/>
  <c r="AG33" i="9"/>
  <c r="U364" i="12"/>
  <c r="M307" i="8"/>
  <c r="G81" i="9"/>
  <c r="AB305" i="8"/>
  <c r="L305" i="8"/>
  <c r="U138" i="8"/>
  <c r="U135" i="8" s="1"/>
  <c r="G105" i="8"/>
  <c r="K313" i="8"/>
  <c r="D313" i="12"/>
  <c r="G140" i="12"/>
  <c r="E300" i="8"/>
  <c r="E297" i="8" s="1"/>
  <c r="U305" i="8"/>
  <c r="G217" i="12"/>
  <c r="K355" i="12"/>
  <c r="K375" i="12" s="1"/>
  <c r="D43" i="8"/>
  <c r="AB122" i="15"/>
  <c r="H363" i="12"/>
  <c r="F20" i="11"/>
  <c r="X305" i="8"/>
  <c r="P305" i="8"/>
  <c r="H305" i="8"/>
  <c r="Q305" i="8"/>
  <c r="G229" i="12"/>
  <c r="G49" i="10"/>
  <c r="AE307" i="8"/>
  <c r="W307" i="8"/>
  <c r="O307" i="8"/>
  <c r="H364" i="12"/>
  <c r="C12" i="12"/>
  <c r="R150" i="11"/>
  <c r="B80" i="9"/>
  <c r="B91" i="9" s="1"/>
  <c r="M305" i="8"/>
  <c r="AD305" i="8"/>
  <c r="O305" i="8"/>
  <c r="V297" i="8"/>
  <c r="AB304" i="8"/>
  <c r="B301" i="12"/>
  <c r="AG301" i="12" s="1"/>
  <c r="Q151" i="11"/>
  <c r="I151" i="11"/>
  <c r="G109" i="12"/>
  <c r="F22" i="11"/>
  <c r="F294" i="8"/>
  <c r="C307" i="8"/>
  <c r="C156" i="8"/>
  <c r="G156" i="8" s="1"/>
  <c r="AG22" i="11"/>
  <c r="N302" i="8"/>
  <c r="H302" i="8" s="1"/>
  <c r="G275" i="12"/>
  <c r="AD150" i="11"/>
  <c r="N150" i="11"/>
  <c r="U149" i="11"/>
  <c r="M151" i="11"/>
  <c r="AA151" i="11"/>
  <c r="S151" i="11"/>
  <c r="K151" i="11"/>
  <c r="AG67" i="9"/>
  <c r="AG62" i="9"/>
  <c r="G205" i="8"/>
  <c r="G160" i="8"/>
  <c r="G301" i="8"/>
  <c r="AC151" i="11"/>
  <c r="U151" i="11"/>
  <c r="G73" i="9"/>
  <c r="G255" i="8"/>
  <c r="AD156" i="8"/>
  <c r="N156" i="8"/>
  <c r="R156" i="8"/>
  <c r="G12" i="15"/>
  <c r="G108" i="15"/>
  <c r="G14" i="12"/>
  <c r="G272" i="8"/>
  <c r="V304" i="8"/>
  <c r="W151" i="11"/>
  <c r="G337" i="12"/>
  <c r="I122" i="15"/>
  <c r="C125" i="15"/>
  <c r="AD122" i="15"/>
  <c r="N122" i="15"/>
  <c r="E334" i="12"/>
  <c r="D151" i="12"/>
  <c r="D148" i="12" s="1"/>
  <c r="F21" i="11"/>
  <c r="D83" i="9"/>
  <c r="D94" i="9" s="1"/>
  <c r="S307" i="8"/>
  <c r="Y149" i="11"/>
  <c r="Q149" i="11"/>
  <c r="I149" i="11"/>
  <c r="B133" i="11"/>
  <c r="B153" i="11" s="1"/>
  <c r="C83" i="9"/>
  <c r="C94" i="9" s="1"/>
  <c r="N289" i="8"/>
  <c r="N306" i="8" s="1"/>
  <c r="G234" i="8"/>
  <c r="G40" i="8"/>
  <c r="H87" i="9"/>
  <c r="H84" i="9" s="1"/>
  <c r="AE313" i="8"/>
  <c r="U287" i="8"/>
  <c r="U312" i="8" s="1"/>
  <c r="R313" i="8"/>
  <c r="N305" i="8"/>
  <c r="W305" i="8"/>
  <c r="AG251" i="8"/>
  <c r="I363" i="12"/>
  <c r="G24" i="10"/>
  <c r="G15" i="10" s="1"/>
  <c r="G12" i="10" s="1"/>
  <c r="G149" i="8"/>
  <c r="G193" i="12"/>
  <c r="G133" i="12"/>
  <c r="B143" i="11"/>
  <c r="F143" i="11" s="1"/>
  <c r="H32" i="9"/>
  <c r="H31" i="9" s="1"/>
  <c r="F106" i="15"/>
  <c r="D346" i="12"/>
  <c r="P304" i="8"/>
  <c r="Y151" i="11"/>
  <c r="AE151" i="11"/>
  <c r="O151" i="11"/>
  <c r="Y122" i="15"/>
  <c r="Z122" i="15"/>
  <c r="L19" i="11"/>
  <c r="AG34" i="9"/>
  <c r="AC307" i="8"/>
  <c r="Y307" i="8"/>
  <c r="Q307" i="8"/>
  <c r="I307" i="8"/>
  <c r="Y156" i="11"/>
  <c r="C134" i="11"/>
  <c r="D85" i="9"/>
  <c r="AG68" i="9"/>
  <c r="Y313" i="8"/>
  <c r="I313" i="8"/>
  <c r="G217" i="8"/>
  <c r="G162" i="8"/>
  <c r="G81" i="8"/>
  <c r="Q289" i="8"/>
  <c r="Q306" i="8" s="1"/>
  <c r="F165" i="8"/>
  <c r="Z313" i="8"/>
  <c r="J313" i="8"/>
  <c r="V305" i="8"/>
  <c r="G159" i="8"/>
  <c r="H353" i="12"/>
  <c r="H373" i="12" s="1"/>
  <c r="G165" i="8"/>
  <c r="G118" i="15"/>
  <c r="C354" i="12"/>
  <c r="C374" i="12" s="1"/>
  <c r="D39" i="15"/>
  <c r="AD372" i="12"/>
  <c r="E301" i="12"/>
  <c r="D301" i="12" s="1"/>
  <c r="AD369" i="12"/>
  <c r="AD374" i="12"/>
  <c r="B299" i="12"/>
  <c r="AG299" i="12" s="1"/>
  <c r="H362" i="12"/>
  <c r="H352" i="12"/>
  <c r="H372" i="12" s="1"/>
  <c r="H298" i="12"/>
  <c r="F175" i="12"/>
  <c r="Z150" i="11"/>
  <c r="J150" i="11"/>
  <c r="G61" i="11"/>
  <c r="L135" i="11"/>
  <c r="L155" i="11" s="1"/>
  <c r="Z84" i="9"/>
  <c r="R84" i="9"/>
  <c r="J84" i="9"/>
  <c r="G267" i="12"/>
  <c r="D165" i="8"/>
  <c r="D159" i="8" s="1"/>
  <c r="D156" i="8" s="1"/>
  <c r="Z287" i="8"/>
  <c r="Q84" i="9"/>
  <c r="B138" i="8"/>
  <c r="F138" i="8" s="1"/>
  <c r="T304" i="8"/>
  <c r="C298" i="12"/>
  <c r="D337" i="12"/>
  <c r="C151" i="11"/>
  <c r="E135" i="11"/>
  <c r="E155" i="11" s="1"/>
  <c r="L304" i="8"/>
  <c r="L297" i="8"/>
  <c r="G93" i="8"/>
  <c r="F255" i="8"/>
  <c r="F249" i="8"/>
  <c r="G312" i="12"/>
  <c r="G278" i="12"/>
  <c r="G251" i="8"/>
  <c r="D121" i="15"/>
  <c r="AG272" i="8"/>
  <c r="B300" i="12"/>
  <c r="AG300" i="12" s="1"/>
  <c r="AB353" i="12"/>
  <c r="AB373" i="12" s="1"/>
  <c r="B85" i="12"/>
  <c r="AG85" i="12" s="1"/>
  <c r="F251" i="8"/>
  <c r="I354" i="12"/>
  <c r="I374" i="12" s="1"/>
  <c r="G110" i="15"/>
  <c r="F110" i="15"/>
  <c r="AA84" i="9"/>
  <c r="S84" i="9"/>
  <c r="D88" i="12"/>
  <c r="F267" i="12"/>
  <c r="G56" i="9"/>
  <c r="G55" i="9" s="1"/>
  <c r="C55" i="9"/>
  <c r="AG56" i="9"/>
  <c r="B55" i="9"/>
  <c r="AG55" i="9" s="1"/>
  <c r="C35" i="9"/>
  <c r="J89" i="10"/>
  <c r="X84" i="9"/>
  <c r="N84" i="9"/>
  <c r="Y289" i="8"/>
  <c r="Y314" i="8" s="1"/>
  <c r="F272" i="8"/>
  <c r="C126" i="15"/>
  <c r="G12" i="8"/>
  <c r="AG44" i="9"/>
  <c r="B43" i="9"/>
  <c r="AG43" i="9" s="1"/>
  <c r="G44" i="9"/>
  <c r="G43" i="9" s="1"/>
  <c r="C43" i="9"/>
  <c r="Y306" i="8"/>
  <c r="AC84" i="9"/>
  <c r="M84" i="9"/>
  <c r="F91" i="12"/>
  <c r="G86" i="12"/>
  <c r="F313" i="12"/>
  <c r="D328" i="12"/>
  <c r="I353" i="12"/>
  <c r="I373" i="12" s="1"/>
  <c r="R365" i="12"/>
  <c r="R361" i="12" s="1"/>
  <c r="D335" i="12"/>
  <c r="D18" i="12"/>
  <c r="G223" i="12"/>
  <c r="Z365" i="12"/>
  <c r="Z361" i="12" s="1"/>
  <c r="E310" i="12"/>
  <c r="G310" i="12" s="1"/>
  <c r="G211" i="12"/>
  <c r="C205" i="12"/>
  <c r="G208" i="12"/>
  <c r="L356" i="12"/>
  <c r="G199" i="12"/>
  <c r="C334" i="12"/>
  <c r="E85" i="12"/>
  <c r="G247" i="12"/>
  <c r="F337" i="12"/>
  <c r="G276" i="12"/>
  <c r="F278" i="12"/>
  <c r="F177" i="12"/>
  <c r="E358" i="12"/>
  <c r="G358" i="12" s="1"/>
  <c r="G176" i="12"/>
  <c r="B174" i="12"/>
  <c r="F174" i="12" s="1"/>
  <c r="W355" i="12"/>
  <c r="W375" i="12" s="1"/>
  <c r="F256" i="12"/>
  <c r="F176" i="12"/>
  <c r="U79" i="12"/>
  <c r="AB358" i="12"/>
  <c r="AB356" i="12" s="1"/>
  <c r="S356" i="12"/>
  <c r="X356" i="12"/>
  <c r="W356" i="12"/>
  <c r="C363" i="12"/>
  <c r="T356" i="12"/>
  <c r="P356" i="12"/>
  <c r="H356" i="12"/>
  <c r="G32" i="12"/>
  <c r="F88" i="12"/>
  <c r="F33" i="12"/>
  <c r="G148" i="12"/>
  <c r="C187" i="12"/>
  <c r="B357" i="12"/>
  <c r="AG357" i="12" s="1"/>
  <c r="E255" i="12"/>
  <c r="G255" i="12" s="1"/>
  <c r="G81" i="12"/>
  <c r="G190" i="12"/>
  <c r="AA355" i="12"/>
  <c r="AG148" i="12"/>
  <c r="E205" i="12"/>
  <c r="T368" i="12"/>
  <c r="G130" i="12"/>
  <c r="E187" i="12"/>
  <c r="G74" i="9"/>
  <c r="F67" i="9"/>
  <c r="K84" i="9"/>
  <c r="Y84" i="9"/>
  <c r="U84" i="9"/>
  <c r="J307" i="8"/>
  <c r="J315" i="8"/>
  <c r="S355" i="12"/>
  <c r="P297" i="8"/>
  <c r="I135" i="8"/>
  <c r="I289" i="8"/>
  <c r="I314" i="8" s="1"/>
  <c r="G18" i="8"/>
  <c r="F144" i="8"/>
  <c r="AG144" i="8"/>
  <c r="AG275" i="12"/>
  <c r="B274" i="12"/>
  <c r="AG274" i="12" s="1"/>
  <c r="AG311" i="12"/>
  <c r="B310" i="12"/>
  <c r="AG310" i="12" s="1"/>
  <c r="AG17" i="13"/>
  <c r="D22" i="13"/>
  <c r="D27" i="13" s="1"/>
  <c r="AE355" i="12"/>
  <c r="AE351" i="12" s="1"/>
  <c r="O355" i="12"/>
  <c r="L368" i="12"/>
  <c r="AG13" i="12"/>
  <c r="AA356" i="12"/>
  <c r="AD298" i="12"/>
  <c r="AD365" i="12"/>
  <c r="AD361" i="12" s="1"/>
  <c r="V298" i="12"/>
  <c r="V365" i="12"/>
  <c r="V361" i="12" s="1"/>
  <c r="N298" i="12"/>
  <c r="N365" i="12"/>
  <c r="N361" i="12" s="1"/>
  <c r="B88" i="9"/>
  <c r="AG88" i="9" s="1"/>
  <c r="B83" i="9"/>
  <c r="B94" i="9" s="1"/>
  <c r="AC305" i="8"/>
  <c r="X297" i="8"/>
  <c r="B141" i="8"/>
  <c r="F141" i="8" s="1"/>
  <c r="E269" i="8"/>
  <c r="F269" i="8" s="1"/>
  <c r="F76" i="11"/>
  <c r="AG49" i="11"/>
  <c r="S135" i="8"/>
  <c r="S289" i="8"/>
  <c r="S306" i="8" s="1"/>
  <c r="F275" i="12"/>
  <c r="D32" i="12"/>
  <c r="F32" i="12"/>
  <c r="J302" i="8"/>
  <c r="L302" i="8"/>
  <c r="H304" i="8"/>
  <c r="V135" i="8"/>
  <c r="V289" i="8"/>
  <c r="V306" i="8" s="1"/>
  <c r="D107" i="15"/>
  <c r="D118" i="15"/>
  <c r="E134" i="11"/>
  <c r="E154" i="11" s="1"/>
  <c r="G21" i="11"/>
  <c r="I84" i="9"/>
  <c r="G277" i="12"/>
  <c r="F277" i="12"/>
  <c r="C30" i="13"/>
  <c r="AH25" i="13"/>
  <c r="C353" i="12"/>
  <c r="C373" i="12" s="1"/>
  <c r="T84" i="9"/>
  <c r="E193" i="8"/>
  <c r="F196" i="8"/>
  <c r="D80" i="12"/>
  <c r="F80" i="12"/>
  <c r="X304" i="8"/>
  <c r="AG234" i="8"/>
  <c r="B231" i="8"/>
  <c r="AG231" i="8" s="1"/>
  <c r="Q122" i="15"/>
  <c r="G29" i="13"/>
  <c r="AH29" i="13"/>
  <c r="O356" i="12"/>
  <c r="G33" i="12"/>
  <c r="B73" i="11"/>
  <c r="AG73" i="11" s="1"/>
  <c r="AA307" i="8"/>
  <c r="K307" i="8"/>
  <c r="F276" i="12"/>
  <c r="G92" i="9"/>
  <c r="AG61" i="9"/>
  <c r="F234" i="8"/>
  <c r="C16" i="13"/>
  <c r="AH16" i="13" s="1"/>
  <c r="AH17" i="13"/>
  <c r="F29" i="13"/>
  <c r="AG29" i="13"/>
  <c r="X312" i="8"/>
  <c r="G61" i="12"/>
  <c r="N307" i="8"/>
  <c r="N315" i="8"/>
  <c r="E82" i="9"/>
  <c r="E93" i="9" s="1"/>
  <c r="E87" i="9"/>
  <c r="E84" i="9" s="1"/>
  <c r="Z156" i="8"/>
  <c r="Z289" i="8"/>
  <c r="Z306" i="8" s="1"/>
  <c r="AC156" i="8"/>
  <c r="AC287" i="8"/>
  <c r="AC312" i="8" s="1"/>
  <c r="AC138" i="8"/>
  <c r="AC135" i="8" s="1"/>
  <c r="F238" i="12"/>
  <c r="E235" i="12"/>
  <c r="V84" i="9"/>
  <c r="P84" i="9"/>
  <c r="H297" i="8"/>
  <c r="AA306" i="8"/>
  <c r="AB307" i="8"/>
  <c r="D112" i="15"/>
  <c r="D106" i="15"/>
  <c r="G75" i="8"/>
  <c r="E19" i="11"/>
  <c r="V122" i="15"/>
  <c r="D110" i="15"/>
  <c r="D286" i="12"/>
  <c r="D121" i="12"/>
  <c r="AG67" i="11"/>
  <c r="K356" i="12"/>
  <c r="C364" i="12"/>
  <c r="V150" i="11"/>
  <c r="AC149" i="11"/>
  <c r="M149" i="11"/>
  <c r="AB84" i="9"/>
  <c r="L84" i="9"/>
  <c r="AB297" i="8"/>
  <c r="X307" i="8"/>
  <c r="T307" i="8"/>
  <c r="AG160" i="8"/>
  <c r="C235" i="12"/>
  <c r="F34" i="12"/>
  <c r="J156" i="8"/>
  <c r="B66" i="10"/>
  <c r="B65" i="10" s="1"/>
  <c r="G241" i="12"/>
  <c r="G106" i="15"/>
  <c r="F107" i="15"/>
  <c r="G107" i="15"/>
  <c r="D108" i="15"/>
  <c r="G121" i="15"/>
  <c r="G120" i="15"/>
  <c r="F120" i="15"/>
  <c r="J122" i="15"/>
  <c r="D18" i="15"/>
  <c r="B116" i="15"/>
  <c r="AG116" i="15" s="1"/>
  <c r="F12" i="15"/>
  <c r="D93" i="11"/>
  <c r="F312" i="12"/>
  <c r="D277" i="12"/>
  <c r="D274" i="12" s="1"/>
  <c r="E274" i="12"/>
  <c r="G274" i="12" s="1"/>
  <c r="V307" i="8"/>
  <c r="V315" i="8"/>
  <c r="G121" i="12"/>
  <c r="G88" i="12"/>
  <c r="G58" i="10"/>
  <c r="G57" i="10" s="1"/>
  <c r="E57" i="10"/>
  <c r="AH57" i="10" s="1"/>
  <c r="K306" i="8"/>
  <c r="C85" i="12"/>
  <c r="AG87" i="12"/>
  <c r="F87" i="12"/>
  <c r="G34" i="12"/>
  <c r="G37" i="12"/>
  <c r="G238" i="12"/>
  <c r="B359" i="12"/>
  <c r="AG359" i="12" s="1"/>
  <c r="F258" i="12"/>
  <c r="E363" i="12"/>
  <c r="F81" i="12"/>
  <c r="B79" i="12"/>
  <c r="AG79" i="12" s="1"/>
  <c r="G67" i="12"/>
  <c r="G64" i="12"/>
  <c r="B31" i="12"/>
  <c r="AG31" i="12" s="1"/>
  <c r="AD312" i="8"/>
  <c r="AD304" i="8"/>
  <c r="AD307" i="8"/>
  <c r="AD315" i="8"/>
  <c r="R307" i="8"/>
  <c r="R315" i="8"/>
  <c r="D82" i="12"/>
  <c r="E79" i="12"/>
  <c r="G82" i="12"/>
  <c r="F82" i="12"/>
  <c r="Z307" i="8"/>
  <c r="Z315" i="8"/>
  <c r="AG23" i="13"/>
  <c r="B22" i="13"/>
  <c r="B27" i="13" s="1"/>
  <c r="AG27" i="13" s="1"/>
  <c r="AD138" i="8"/>
  <c r="E22" i="13"/>
  <c r="E27" i="13" s="1"/>
  <c r="F25" i="13"/>
  <c r="G25" i="13"/>
  <c r="G30" i="13" s="1"/>
  <c r="E30" i="13"/>
  <c r="D322" i="12"/>
  <c r="D123" i="8"/>
  <c r="D292" i="12"/>
  <c r="P368" i="12"/>
  <c r="D69" i="8"/>
  <c r="N287" i="8"/>
  <c r="E142" i="11"/>
  <c r="G58" i="11"/>
  <c r="G78" i="8"/>
  <c r="AG31" i="13"/>
  <c r="AG11" i="13"/>
  <c r="R304" i="8"/>
  <c r="R312" i="8"/>
  <c r="J312" i="8"/>
  <c r="J304" i="8"/>
  <c r="D92" i="10"/>
  <c r="D89" i="10" s="1"/>
  <c r="D97" i="10"/>
  <c r="D94" i="10" s="1"/>
  <c r="E51" i="10"/>
  <c r="G52" i="10"/>
  <c r="E92" i="10"/>
  <c r="E97" i="10"/>
  <c r="R138" i="8"/>
  <c r="F139" i="11"/>
  <c r="F49" i="10"/>
  <c r="F46" i="10" s="1"/>
  <c r="F45" i="10" s="1"/>
  <c r="J138" i="8"/>
  <c r="E71" i="10"/>
  <c r="G72" i="10"/>
  <c r="AE84" i="9"/>
  <c r="W84" i="9"/>
  <c r="O84" i="9"/>
  <c r="G66" i="10"/>
  <c r="G46" i="10"/>
  <c r="E45" i="10"/>
  <c r="D46" i="10"/>
  <c r="D45" i="10" s="1"/>
  <c r="G143" i="16"/>
  <c r="C305" i="8"/>
  <c r="D280" i="12"/>
  <c r="D35" i="9"/>
  <c r="D44" i="9"/>
  <c r="D43" i="9" s="1"/>
  <c r="D304" i="12"/>
  <c r="D68" i="15"/>
  <c r="D32" i="15"/>
  <c r="D74" i="15"/>
  <c r="D12" i="15"/>
  <c r="Y369" i="12"/>
  <c r="Q369" i="12"/>
  <c r="D267" i="12"/>
  <c r="AG241" i="12"/>
  <c r="F241" i="12"/>
  <c r="AD142" i="11"/>
  <c r="Z142" i="11"/>
  <c r="V142" i="11"/>
  <c r="R142" i="11"/>
  <c r="N142" i="11"/>
  <c r="J142" i="11"/>
  <c r="AC369" i="12"/>
  <c r="U369" i="12"/>
  <c r="M369" i="12"/>
  <c r="C79" i="12"/>
  <c r="G80" i="12"/>
  <c r="D127" i="11"/>
  <c r="D121" i="11"/>
  <c r="D115" i="11"/>
  <c r="D107" i="11"/>
  <c r="D144" i="11"/>
  <c r="D134" i="11"/>
  <c r="D154" i="11" s="1"/>
  <c r="D67" i="11"/>
  <c r="B51" i="10"/>
  <c r="R94" i="10"/>
  <c r="J94" i="10"/>
  <c r="AC297" i="8"/>
  <c r="U297" i="8"/>
  <c r="AG217" i="8"/>
  <c r="D18" i="8"/>
  <c r="AG301" i="8"/>
  <c r="D129" i="8"/>
  <c r="AG133" i="12"/>
  <c r="F133" i="12"/>
  <c r="AG121" i="12"/>
  <c r="F121" i="12"/>
  <c r="AG115" i="12"/>
  <c r="F115" i="12"/>
  <c r="AG109" i="12"/>
  <c r="F109" i="12"/>
  <c r="AG103" i="12"/>
  <c r="F103" i="12"/>
  <c r="AG97" i="12"/>
  <c r="F97" i="12"/>
  <c r="AG73" i="12"/>
  <c r="F73" i="12"/>
  <c r="AG49" i="12"/>
  <c r="F49" i="12"/>
  <c r="C67" i="9"/>
  <c r="G67" i="9" s="1"/>
  <c r="G68" i="9"/>
  <c r="AG211" i="8"/>
  <c r="F211" i="8"/>
  <c r="AG157" i="8"/>
  <c r="B287" i="8"/>
  <c r="B304" i="8" s="1"/>
  <c r="AG175" i="8"/>
  <c r="F175" i="8"/>
  <c r="AG298" i="8"/>
  <c r="AG99" i="8"/>
  <c r="F99" i="8"/>
  <c r="AG87" i="8"/>
  <c r="F87" i="8"/>
  <c r="AG18" i="8"/>
  <c r="F18" i="8"/>
  <c r="AG12" i="8"/>
  <c r="F12" i="8"/>
  <c r="F114" i="15"/>
  <c r="G114" i="15"/>
  <c r="C111" i="15"/>
  <c r="G112" i="15"/>
  <c r="B126" i="15"/>
  <c r="AG126" i="15" s="1"/>
  <c r="AG110" i="15"/>
  <c r="E125" i="15"/>
  <c r="C123" i="15"/>
  <c r="C105" i="15"/>
  <c r="U122" i="15"/>
  <c r="E111" i="15"/>
  <c r="B124" i="15"/>
  <c r="AG124" i="15" s="1"/>
  <c r="AG107" i="15"/>
  <c r="E123" i="15"/>
  <c r="E105" i="15"/>
  <c r="AC122" i="15"/>
  <c r="M122" i="15"/>
  <c r="G100" i="15"/>
  <c r="F100" i="15"/>
  <c r="G94" i="15"/>
  <c r="F94" i="15"/>
  <c r="G88" i="15"/>
  <c r="F88" i="15"/>
  <c r="G46" i="15"/>
  <c r="F46" i="15"/>
  <c r="C116" i="15"/>
  <c r="AG55" i="11"/>
  <c r="F55" i="11"/>
  <c r="D100" i="15"/>
  <c r="D94" i="15"/>
  <c r="D88" i="15"/>
  <c r="D80" i="15"/>
  <c r="D46" i="15"/>
  <c r="G32" i="15"/>
  <c r="F32" i="15"/>
  <c r="C124" i="15"/>
  <c r="D61" i="15"/>
  <c r="D117" i="15"/>
  <c r="D25" i="15"/>
  <c r="F117" i="15"/>
  <c r="G117" i="15"/>
  <c r="E116" i="15"/>
  <c r="G115" i="15"/>
  <c r="F115" i="15"/>
  <c r="E124" i="15"/>
  <c r="AG30" i="13"/>
  <c r="AG28" i="13"/>
  <c r="V369" i="12"/>
  <c r="N369" i="12"/>
  <c r="Y368" i="12"/>
  <c r="Q368" i="12"/>
  <c r="AB367" i="12"/>
  <c r="T367" i="12"/>
  <c r="T351" i="12"/>
  <c r="L367" i="12"/>
  <c r="L351" i="12"/>
  <c r="G304" i="12"/>
  <c r="F304" i="12"/>
  <c r="G286" i="12"/>
  <c r="F286" i="12"/>
  <c r="G261" i="12"/>
  <c r="AC361" i="12"/>
  <c r="Y361" i="12"/>
  <c r="U361" i="12"/>
  <c r="Q361" i="12"/>
  <c r="M361" i="12"/>
  <c r="I361" i="12"/>
  <c r="G360" i="12"/>
  <c r="F360" i="12"/>
  <c r="G39" i="15"/>
  <c r="F39" i="15"/>
  <c r="B105" i="15"/>
  <c r="B123" i="15"/>
  <c r="AG123" i="15" s="1"/>
  <c r="AG106" i="15"/>
  <c r="X368" i="12"/>
  <c r="AB361" i="12"/>
  <c r="L361" i="12"/>
  <c r="U370" i="12"/>
  <c r="AB369" i="12"/>
  <c r="L369" i="12"/>
  <c r="S368" i="12"/>
  <c r="R367" i="12"/>
  <c r="G340" i="12"/>
  <c r="F340" i="12"/>
  <c r="B235" i="12"/>
  <c r="AG236" i="12"/>
  <c r="F223" i="12"/>
  <c r="D211" i="12"/>
  <c r="D207" i="12"/>
  <c r="D205" i="12" s="1"/>
  <c r="F211" i="12"/>
  <c r="B205" i="12"/>
  <c r="AG206" i="12"/>
  <c r="D193" i="12"/>
  <c r="D189" i="12"/>
  <c r="D187" i="12" s="1"/>
  <c r="F193" i="12"/>
  <c r="B187" i="12"/>
  <c r="AG188" i="12"/>
  <c r="D177" i="12"/>
  <c r="D174" i="12" s="1"/>
  <c r="D180" i="12"/>
  <c r="G177" i="12"/>
  <c r="F165" i="12"/>
  <c r="G165" i="12"/>
  <c r="F164" i="12"/>
  <c r="B162" i="12"/>
  <c r="AG162" i="12" s="1"/>
  <c r="AG164" i="12"/>
  <c r="F151" i="12"/>
  <c r="AG151" i="12"/>
  <c r="F130" i="12"/>
  <c r="AG130" i="12"/>
  <c r="G87" i="12"/>
  <c r="F64" i="12"/>
  <c r="AG64" i="12"/>
  <c r="F37" i="12"/>
  <c r="J361" i="12"/>
  <c r="C362" i="12"/>
  <c r="C31" i="12"/>
  <c r="D360" i="12"/>
  <c r="D358" i="12"/>
  <c r="E357" i="12"/>
  <c r="F13" i="12"/>
  <c r="E12" i="12"/>
  <c r="G13" i="12"/>
  <c r="B135" i="11"/>
  <c r="G85" i="11"/>
  <c r="F85" i="11"/>
  <c r="D76" i="11"/>
  <c r="D73" i="11" s="1"/>
  <c r="D79" i="11"/>
  <c r="G76" i="11"/>
  <c r="F67" i="11"/>
  <c r="G67" i="11"/>
  <c r="G37" i="11"/>
  <c r="F37" i="11"/>
  <c r="G25" i="11"/>
  <c r="F25" i="11"/>
  <c r="AD156" i="11"/>
  <c r="AD151" i="11"/>
  <c r="AB156" i="11"/>
  <c r="AB151" i="11"/>
  <c r="Z156" i="11"/>
  <c r="Z151" i="11"/>
  <c r="X156" i="11"/>
  <c r="X151" i="11"/>
  <c r="V156" i="11"/>
  <c r="V151" i="11"/>
  <c r="T156" i="11"/>
  <c r="T151" i="11"/>
  <c r="R156" i="11"/>
  <c r="R151" i="11"/>
  <c r="P156" i="11"/>
  <c r="P151" i="11"/>
  <c r="N156" i="11"/>
  <c r="N151" i="11"/>
  <c r="L156" i="11"/>
  <c r="L151" i="11"/>
  <c r="J156" i="11"/>
  <c r="J151" i="11"/>
  <c r="H156" i="11"/>
  <c r="H151" i="11"/>
  <c r="AE155" i="11"/>
  <c r="AE150" i="11"/>
  <c r="AC155" i="11"/>
  <c r="AC150" i="11"/>
  <c r="AA155" i="11"/>
  <c r="AA150" i="11"/>
  <c r="Y155" i="11"/>
  <c r="Y150" i="11"/>
  <c r="W155" i="11"/>
  <c r="W150" i="11"/>
  <c r="U155" i="11"/>
  <c r="U150" i="11"/>
  <c r="S155" i="11"/>
  <c r="S150" i="11"/>
  <c r="Q155" i="11"/>
  <c r="Q150" i="11"/>
  <c r="O155" i="11"/>
  <c r="O150" i="11"/>
  <c r="M155" i="11"/>
  <c r="M150" i="11"/>
  <c r="K155" i="11"/>
  <c r="K150" i="11"/>
  <c r="I155" i="11"/>
  <c r="I150" i="11"/>
  <c r="AD154" i="11"/>
  <c r="AD149" i="11"/>
  <c r="AB154" i="11"/>
  <c r="AB149" i="11"/>
  <c r="Z154" i="11"/>
  <c r="Z149" i="11"/>
  <c r="X154" i="11"/>
  <c r="X149" i="11"/>
  <c r="V154" i="11"/>
  <c r="V149" i="11"/>
  <c r="T154" i="11"/>
  <c r="T149" i="11"/>
  <c r="R154" i="11"/>
  <c r="R149" i="11"/>
  <c r="P154" i="11"/>
  <c r="P149" i="11"/>
  <c r="N154" i="11"/>
  <c r="N149" i="11"/>
  <c r="L154" i="11"/>
  <c r="L149" i="11"/>
  <c r="J154" i="11"/>
  <c r="J149" i="11"/>
  <c r="H154" i="11"/>
  <c r="H149" i="11"/>
  <c r="AE148" i="11"/>
  <c r="AE132" i="11"/>
  <c r="AE153" i="11"/>
  <c r="AC153" i="11"/>
  <c r="AC148" i="11"/>
  <c r="AC132" i="11"/>
  <c r="AA148" i="11"/>
  <c r="AA132" i="11"/>
  <c r="AA153" i="11"/>
  <c r="Y153" i="11"/>
  <c r="Y148" i="11"/>
  <c r="Y132" i="11"/>
  <c r="W148" i="11"/>
  <c r="W132" i="11"/>
  <c r="W153" i="11"/>
  <c r="U153" i="11"/>
  <c r="U148" i="11"/>
  <c r="U132" i="11"/>
  <c r="S148" i="11"/>
  <c r="S132" i="11"/>
  <c r="S153" i="11"/>
  <c r="Q153" i="11"/>
  <c r="Q148" i="11"/>
  <c r="Q132" i="11"/>
  <c r="O148" i="11"/>
  <c r="O132" i="11"/>
  <c r="O153" i="11"/>
  <c r="M153" i="11"/>
  <c r="M148" i="11"/>
  <c r="M132" i="11"/>
  <c r="K148" i="11"/>
  <c r="K132" i="11"/>
  <c r="K153" i="11"/>
  <c r="I153" i="11"/>
  <c r="I148" i="11"/>
  <c r="I132" i="11"/>
  <c r="G143" i="11"/>
  <c r="D140" i="11"/>
  <c r="AG138" i="11"/>
  <c r="B137" i="11"/>
  <c r="AG137" i="11" s="1"/>
  <c r="G12" i="11"/>
  <c r="F12" i="11"/>
  <c r="G295" i="8"/>
  <c r="F295" i="8"/>
  <c r="G293" i="8"/>
  <c r="F293" i="8"/>
  <c r="E292" i="8"/>
  <c r="P361" i="12"/>
  <c r="C356" i="12"/>
  <c r="Q370" i="12"/>
  <c r="X369" i="12"/>
  <c r="W368" i="12"/>
  <c r="AD367" i="12"/>
  <c r="N367" i="12"/>
  <c r="G346" i="12"/>
  <c r="F346" i="12"/>
  <c r="D340" i="12"/>
  <c r="G328" i="12"/>
  <c r="F328" i="12"/>
  <c r="J298" i="12"/>
  <c r="B302" i="12"/>
  <c r="I298" i="12"/>
  <c r="E299" i="12"/>
  <c r="E352" i="12" s="1"/>
  <c r="AG263" i="12"/>
  <c r="F263" i="12"/>
  <c r="AG261" i="12"/>
  <c r="B257" i="12"/>
  <c r="B358" i="12" s="1"/>
  <c r="F247" i="12"/>
  <c r="F199" i="12"/>
  <c r="B127" i="12"/>
  <c r="D24" i="12"/>
  <c r="G18" i="12"/>
  <c r="F18" i="12"/>
  <c r="Z355" i="12"/>
  <c r="X370" i="12"/>
  <c r="R355" i="12"/>
  <c r="P370" i="12"/>
  <c r="J355" i="12"/>
  <c r="H370" i="12"/>
  <c r="AE369" i="12"/>
  <c r="AA369" i="12"/>
  <c r="W369" i="12"/>
  <c r="S369" i="12"/>
  <c r="O369" i="12"/>
  <c r="K369" i="12"/>
  <c r="AD368" i="12"/>
  <c r="Z368" i="12"/>
  <c r="V368" i="12"/>
  <c r="R368" i="12"/>
  <c r="N368" i="12"/>
  <c r="J368" i="12"/>
  <c r="AE367" i="12"/>
  <c r="AC356" i="12"/>
  <c r="Y351" i="12"/>
  <c r="Y367" i="12"/>
  <c r="W367" i="12"/>
  <c r="U356" i="12"/>
  <c r="Q351" i="12"/>
  <c r="Q367" i="12"/>
  <c r="O367" i="12"/>
  <c r="M356" i="12"/>
  <c r="I352" i="12"/>
  <c r="I372" i="12" s="1"/>
  <c r="C352" i="12"/>
  <c r="C372" i="12" s="1"/>
  <c r="G144" i="11"/>
  <c r="X142" i="11"/>
  <c r="P142" i="11"/>
  <c r="H142" i="11"/>
  <c r="F140" i="11"/>
  <c r="G140" i="11"/>
  <c r="AB155" i="11"/>
  <c r="AB150" i="11"/>
  <c r="T155" i="11"/>
  <c r="T150" i="11"/>
  <c r="AE149" i="11"/>
  <c r="AE154" i="11"/>
  <c r="W149" i="11"/>
  <c r="W154" i="11"/>
  <c r="O149" i="11"/>
  <c r="O154" i="11"/>
  <c r="Z153" i="11"/>
  <c r="Z148" i="11"/>
  <c r="Z132" i="11"/>
  <c r="R153" i="11"/>
  <c r="R148" i="11"/>
  <c r="R132" i="11"/>
  <c r="J153" i="11"/>
  <c r="J148" i="11"/>
  <c r="J132" i="11"/>
  <c r="G127" i="11"/>
  <c r="F127" i="11"/>
  <c r="G121" i="11"/>
  <c r="F121" i="11"/>
  <c r="G115" i="11"/>
  <c r="F115" i="11"/>
  <c r="G107" i="11"/>
  <c r="F107" i="11"/>
  <c r="D99" i="11"/>
  <c r="AG146" i="11"/>
  <c r="AE79" i="12"/>
  <c r="W79" i="12"/>
  <c r="O79" i="12"/>
  <c r="AB132" i="11"/>
  <c r="X132" i="11"/>
  <c r="T132" i="11"/>
  <c r="P132" i="11"/>
  <c r="H132" i="11"/>
  <c r="C174" i="12"/>
  <c r="G174" i="12" s="1"/>
  <c r="E83" i="12"/>
  <c r="AA365" i="12"/>
  <c r="AA361" i="12" s="1"/>
  <c r="S365" i="12"/>
  <c r="K365" i="12"/>
  <c r="K370" i="12" s="1"/>
  <c r="C148" i="11"/>
  <c r="G134" i="11"/>
  <c r="G154" i="11" s="1"/>
  <c r="F74" i="9"/>
  <c r="G59" i="9"/>
  <c r="AD94" i="10"/>
  <c r="AB94" i="10"/>
  <c r="Z89" i="10"/>
  <c r="X89" i="10"/>
  <c r="V94" i="10"/>
  <c r="T94" i="10"/>
  <c r="R89" i="10"/>
  <c r="P89" i="10"/>
  <c r="N94" i="10"/>
  <c r="L94" i="10"/>
  <c r="F81" i="9"/>
  <c r="F92" i="9" s="1"/>
  <c r="AG74" i="9"/>
  <c r="F73" i="9"/>
  <c r="B50" i="9"/>
  <c r="F44" i="9"/>
  <c r="F43" i="9" s="1"/>
  <c r="AG38" i="9"/>
  <c r="E31" i="9"/>
  <c r="AG85" i="9"/>
  <c r="AD84" i="9"/>
  <c r="Z91" i="9"/>
  <c r="Z79" i="9"/>
  <c r="Z89" i="9" s="1"/>
  <c r="X91" i="9"/>
  <c r="X79" i="9"/>
  <c r="X89" i="9" s="1"/>
  <c r="R91" i="9"/>
  <c r="R79" i="9"/>
  <c r="R89" i="9" s="1"/>
  <c r="P91" i="9"/>
  <c r="P79" i="9"/>
  <c r="P89" i="9" s="1"/>
  <c r="J91" i="9"/>
  <c r="J79" i="9"/>
  <c r="J89" i="9" s="1"/>
  <c r="H91" i="9"/>
  <c r="H79" i="9"/>
  <c r="AE297" i="8"/>
  <c r="W297" i="8"/>
  <c r="O297" i="8"/>
  <c r="G294" i="8"/>
  <c r="B292" i="8"/>
  <c r="AG292" i="8" s="1"/>
  <c r="AG293" i="8"/>
  <c r="G220" i="8"/>
  <c r="D196" i="8"/>
  <c r="D193" i="8" s="1"/>
  <c r="D199" i="8"/>
  <c r="D187" i="8"/>
  <c r="F149" i="8"/>
  <c r="C138" i="8"/>
  <c r="C141" i="8"/>
  <c r="G141" i="8" s="1"/>
  <c r="G114" i="8"/>
  <c r="F114" i="8"/>
  <c r="E111" i="8"/>
  <c r="D117" i="8"/>
  <c r="D114" i="8"/>
  <c r="D111" i="8" s="1"/>
  <c r="B111" i="8"/>
  <c r="AG111" i="8" s="1"/>
  <c r="B75" i="8"/>
  <c r="F78" i="8"/>
  <c r="AG78" i="8"/>
  <c r="F69" i="8"/>
  <c r="G69" i="8"/>
  <c r="G56" i="8"/>
  <c r="D291" i="8"/>
  <c r="D290" i="8"/>
  <c r="D315" i="8" s="1"/>
  <c r="G291" i="8"/>
  <c r="F291" i="8"/>
  <c r="G299" i="8"/>
  <c r="F299" i="8"/>
  <c r="B290" i="8"/>
  <c r="AG41" i="8"/>
  <c r="M289" i="8"/>
  <c r="M286" i="8" s="1"/>
  <c r="E287" i="8"/>
  <c r="F38" i="8"/>
  <c r="E37" i="8"/>
  <c r="G38" i="8"/>
  <c r="C50" i="9"/>
  <c r="AD93" i="9"/>
  <c r="AG81" i="9"/>
  <c r="AE79" i="9"/>
  <c r="AA79" i="9"/>
  <c r="AA89" i="9" s="1"/>
  <c r="W79" i="9"/>
  <c r="W89" i="9" s="1"/>
  <c r="S79" i="9"/>
  <c r="S89" i="9" s="1"/>
  <c r="O79" i="9"/>
  <c r="O89" i="9" s="1"/>
  <c r="K79" i="9"/>
  <c r="K89" i="9" s="1"/>
  <c r="Y297" i="8"/>
  <c r="I297" i="8"/>
  <c r="X289" i="8"/>
  <c r="H289" i="8"/>
  <c r="AG165" i="8"/>
  <c r="B159" i="8"/>
  <c r="B289" i="8" s="1"/>
  <c r="B162" i="8"/>
  <c r="AG162" i="8" s="1"/>
  <c r="F169" i="8"/>
  <c r="G39" i="8"/>
  <c r="E288" i="8"/>
  <c r="F39" i="8"/>
  <c r="G62" i="8"/>
  <c r="F62" i="8"/>
  <c r="G43" i="8"/>
  <c r="F43" i="8"/>
  <c r="AE304" i="8"/>
  <c r="Y304" i="8"/>
  <c r="Q304" i="8"/>
  <c r="M304" i="8"/>
  <c r="I304" i="8"/>
  <c r="C304" i="8"/>
  <c r="AG32" i="10"/>
  <c r="B86" i="9"/>
  <c r="AG86" i="9" s="1"/>
  <c r="M297" i="8"/>
  <c r="L289" i="8"/>
  <c r="G275" i="8"/>
  <c r="F275" i="8"/>
  <c r="D234" i="8"/>
  <c r="D231" i="8" s="1"/>
  <c r="D237" i="8"/>
  <c r="G231" i="8"/>
  <c r="G223" i="8"/>
  <c r="F223" i="8"/>
  <c r="B193" i="8"/>
  <c r="AG193" i="8" s="1"/>
  <c r="AG59" i="8"/>
  <c r="B56" i="8"/>
  <c r="AG56" i="8" s="1"/>
  <c r="B300" i="8"/>
  <c r="D298" i="8"/>
  <c r="D38" i="8"/>
  <c r="C312" i="8"/>
  <c r="H307" i="8"/>
  <c r="AG20" i="9"/>
  <c r="G61" i="15"/>
  <c r="F61" i="15"/>
  <c r="D119" i="15"/>
  <c r="F119" i="15"/>
  <c r="G119" i="15"/>
  <c r="G25" i="15"/>
  <c r="F25" i="15"/>
  <c r="D115" i="15"/>
  <c r="E126" i="15"/>
  <c r="D113" i="15"/>
  <c r="G113" i="15"/>
  <c r="F113" i="15"/>
  <c r="C22" i="13"/>
  <c r="Z369" i="12"/>
  <c r="R369" i="12"/>
  <c r="J369" i="12"/>
  <c r="AC368" i="12"/>
  <c r="U368" i="12"/>
  <c r="M368" i="12"/>
  <c r="X367" i="12"/>
  <c r="X351" i="12"/>
  <c r="P367" i="12"/>
  <c r="P351" i="12"/>
  <c r="G292" i="12"/>
  <c r="F292" i="12"/>
  <c r="G280" i="12"/>
  <c r="F280" i="12"/>
  <c r="D256" i="12"/>
  <c r="D255" i="12" s="1"/>
  <c r="D261" i="12"/>
  <c r="AE361" i="12"/>
  <c r="W361" i="12"/>
  <c r="O361" i="12"/>
  <c r="F18" i="15"/>
  <c r="G18" i="15"/>
  <c r="B125" i="15"/>
  <c r="AG125" i="15" s="1"/>
  <c r="AG108" i="15"/>
  <c r="AG112" i="15"/>
  <c r="B111" i="15"/>
  <c r="AG111" i="15" s="1"/>
  <c r="G28" i="13"/>
  <c r="F28" i="13"/>
  <c r="T361" i="12"/>
  <c r="AG360" i="12"/>
  <c r="AC370" i="12"/>
  <c r="M370" i="12"/>
  <c r="T369" i="12"/>
  <c r="AA368" i="12"/>
  <c r="K368" i="12"/>
  <c r="Z367" i="12"/>
  <c r="J367" i="12"/>
  <c r="G322" i="12"/>
  <c r="F322" i="12"/>
  <c r="D241" i="12"/>
  <c r="D237" i="12"/>
  <c r="D235" i="12" s="1"/>
  <c r="F208" i="12"/>
  <c r="AG208" i="12"/>
  <c r="F190" i="12"/>
  <c r="AG190" i="12"/>
  <c r="G180" i="12"/>
  <c r="F180" i="12"/>
  <c r="F163" i="12"/>
  <c r="E162" i="12"/>
  <c r="G163" i="12"/>
  <c r="C127" i="12"/>
  <c r="G127" i="12" s="1"/>
  <c r="G129" i="12"/>
  <c r="D103" i="12"/>
  <c r="D87" i="12"/>
  <c r="F35" i="12"/>
  <c r="D35" i="12"/>
  <c r="G35" i="12"/>
  <c r="E31" i="12"/>
  <c r="F15" i="12"/>
  <c r="E359" i="12"/>
  <c r="G15" i="12"/>
  <c r="F14" i="12"/>
  <c r="B12" i="12"/>
  <c r="AG12" i="12" s="1"/>
  <c r="AG14" i="12"/>
  <c r="F146" i="11"/>
  <c r="G146" i="11"/>
  <c r="F138" i="11"/>
  <c r="E137" i="11"/>
  <c r="G138" i="11"/>
  <c r="G93" i="11"/>
  <c r="F93" i="11"/>
  <c r="G79" i="11"/>
  <c r="F79" i="11"/>
  <c r="F58" i="11"/>
  <c r="AG58" i="11"/>
  <c r="G49" i="11"/>
  <c r="F49" i="11"/>
  <c r="G31" i="11"/>
  <c r="F31" i="11"/>
  <c r="D19" i="11"/>
  <c r="D25" i="11"/>
  <c r="D133" i="11"/>
  <c r="D153" i="11" s="1"/>
  <c r="D143" i="11"/>
  <c r="C145" i="11"/>
  <c r="AH145" i="11" s="1"/>
  <c r="C135" i="11"/>
  <c r="AH135" i="11" s="1"/>
  <c r="B134" i="11"/>
  <c r="AG21" i="11"/>
  <c r="AE142" i="11"/>
  <c r="AC142" i="11"/>
  <c r="AA142" i="11"/>
  <c r="Y142" i="11"/>
  <c r="W142" i="11"/>
  <c r="U142" i="11"/>
  <c r="S142" i="11"/>
  <c r="Q142" i="11"/>
  <c r="O142" i="11"/>
  <c r="M142" i="11"/>
  <c r="K142" i="11"/>
  <c r="I142" i="11"/>
  <c r="G133" i="11"/>
  <c r="G153" i="11" s="1"/>
  <c r="E148" i="11"/>
  <c r="B19" i="11"/>
  <c r="D138" i="11"/>
  <c r="D12" i="11"/>
  <c r="C292" i="8"/>
  <c r="X361" i="12"/>
  <c r="Y370" i="12"/>
  <c r="I370" i="12"/>
  <c r="P369" i="12"/>
  <c r="AE368" i="12"/>
  <c r="O368" i="12"/>
  <c r="V367" i="12"/>
  <c r="AG336" i="12"/>
  <c r="B334" i="12"/>
  <c r="AG334" i="12" s="1"/>
  <c r="G316" i="12"/>
  <c r="F316" i="12"/>
  <c r="F311" i="12"/>
  <c r="D311" i="12"/>
  <c r="G311" i="12"/>
  <c r="F229" i="12"/>
  <c r="F217" i="12"/>
  <c r="G168" i="12"/>
  <c r="F168" i="12"/>
  <c r="D162" i="12"/>
  <c r="B61" i="12"/>
  <c r="G24" i="12"/>
  <c r="F24" i="12"/>
  <c r="D15" i="12"/>
  <c r="D13" i="12"/>
  <c r="AD355" i="12"/>
  <c r="AD375" i="12" s="1"/>
  <c r="AB370" i="12"/>
  <c r="V355" i="12"/>
  <c r="T370" i="12"/>
  <c r="N355" i="12"/>
  <c r="N375" i="12" s="1"/>
  <c r="L370" i="12"/>
  <c r="AD356" i="12"/>
  <c r="Z356" i="12"/>
  <c r="V356" i="12"/>
  <c r="R356" i="12"/>
  <c r="N356" i="12"/>
  <c r="J356" i="12"/>
  <c r="AC367" i="12"/>
  <c r="AC351" i="12"/>
  <c r="AA367" i="12"/>
  <c r="Y356" i="12"/>
  <c r="U367" i="12"/>
  <c r="U351" i="12"/>
  <c r="S367" i="12"/>
  <c r="Q356" i="12"/>
  <c r="M367" i="12"/>
  <c r="M351" i="12"/>
  <c r="K367" i="12"/>
  <c r="I356" i="12"/>
  <c r="B145" i="11"/>
  <c r="AG145" i="11" s="1"/>
  <c r="AB142" i="11"/>
  <c r="T142" i="11"/>
  <c r="L142" i="11"/>
  <c r="AG141" i="11"/>
  <c r="F141" i="11"/>
  <c r="E151" i="11"/>
  <c r="F136" i="11"/>
  <c r="F156" i="11" s="1"/>
  <c r="G136" i="11"/>
  <c r="G156" i="11" s="1"/>
  <c r="E156" i="11"/>
  <c r="X155" i="11"/>
  <c r="X150" i="11"/>
  <c r="P155" i="11"/>
  <c r="P150" i="11"/>
  <c r="H155" i="11"/>
  <c r="H150" i="11"/>
  <c r="AA149" i="11"/>
  <c r="AA154" i="11"/>
  <c r="S149" i="11"/>
  <c r="S154" i="11"/>
  <c r="K149" i="11"/>
  <c r="K154" i="11"/>
  <c r="AD153" i="11"/>
  <c r="AD148" i="11"/>
  <c r="AD132" i="11"/>
  <c r="V153" i="11"/>
  <c r="V148" i="11"/>
  <c r="V132" i="11"/>
  <c r="N153" i="11"/>
  <c r="N148" i="11"/>
  <c r="N132" i="11"/>
  <c r="G73" i="11"/>
  <c r="G43" i="11"/>
  <c r="F43" i="11"/>
  <c r="AG136" i="11"/>
  <c r="B151" i="11"/>
  <c r="B156" i="11"/>
  <c r="D168" i="12"/>
  <c r="F148" i="12"/>
  <c r="AB148" i="11"/>
  <c r="X148" i="11"/>
  <c r="T148" i="11"/>
  <c r="P148" i="11"/>
  <c r="L148" i="11"/>
  <c r="H148" i="11"/>
  <c r="AG143" i="11"/>
  <c r="C19" i="11"/>
  <c r="AH19" i="11" s="1"/>
  <c r="AD11" i="10"/>
  <c r="F85" i="9"/>
  <c r="G85" i="9"/>
  <c r="D74" i="9"/>
  <c r="D73" i="9" s="1"/>
  <c r="D80" i="9"/>
  <c r="G80" i="9"/>
  <c r="G91" i="9" s="1"/>
  <c r="AD89" i="10"/>
  <c r="AD45" i="10"/>
  <c r="AB89" i="10"/>
  <c r="Z94" i="10"/>
  <c r="X94" i="10"/>
  <c r="V89" i="10"/>
  <c r="T89" i="10"/>
  <c r="P94" i="10"/>
  <c r="N89" i="10"/>
  <c r="L89" i="10"/>
  <c r="H45" i="10"/>
  <c r="B46" i="10"/>
  <c r="B45" i="10" s="1"/>
  <c r="AG38" i="10"/>
  <c r="F53" i="9"/>
  <c r="F50" i="9" s="1"/>
  <c r="F49" i="9" s="1"/>
  <c r="AG53" i="9"/>
  <c r="B35" i="9"/>
  <c r="G86" i="9"/>
  <c r="AD91" i="9"/>
  <c r="AD79" i="9"/>
  <c r="AB91" i="9"/>
  <c r="AB79" i="9"/>
  <c r="AB89" i="9" s="1"/>
  <c r="V91" i="9"/>
  <c r="V79" i="9"/>
  <c r="V89" i="9" s="1"/>
  <c r="T91" i="9"/>
  <c r="T79" i="9"/>
  <c r="T89" i="9" s="1"/>
  <c r="N91" i="9"/>
  <c r="N79" i="9"/>
  <c r="N89" i="9" s="1"/>
  <c r="L91" i="9"/>
  <c r="L79" i="9"/>
  <c r="L89" i="9" s="1"/>
  <c r="AA297" i="8"/>
  <c r="S297" i="8"/>
  <c r="K297" i="8"/>
  <c r="F296" i="8"/>
  <c r="G296" i="8"/>
  <c r="F187" i="8"/>
  <c r="G123" i="8"/>
  <c r="F123" i="8"/>
  <c r="G117" i="8"/>
  <c r="F117" i="8"/>
  <c r="G41" i="8"/>
  <c r="F41" i="8"/>
  <c r="O289" i="8"/>
  <c r="O286" i="8" s="1"/>
  <c r="B288" i="8"/>
  <c r="AG39" i="8"/>
  <c r="D296" i="8"/>
  <c r="D294" i="8"/>
  <c r="D292" i="8" s="1"/>
  <c r="D12" i="8"/>
  <c r="AG12" i="9"/>
  <c r="C300" i="8"/>
  <c r="C297" i="8" s="1"/>
  <c r="Q297" i="8"/>
  <c r="P289" i="8"/>
  <c r="G243" i="8"/>
  <c r="F243" i="8"/>
  <c r="C196" i="8"/>
  <c r="K314" i="8"/>
  <c r="D288" i="8"/>
  <c r="D313" i="8" s="1"/>
  <c r="G50" i="8"/>
  <c r="F50" i="8"/>
  <c r="D40" i="8"/>
  <c r="AE289" i="8"/>
  <c r="C37" i="8"/>
  <c r="AC79" i="9"/>
  <c r="AC89" i="9" s="1"/>
  <c r="Y79" i="9"/>
  <c r="Y89" i="9" s="1"/>
  <c r="U79" i="9"/>
  <c r="U89" i="9" s="1"/>
  <c r="Q79" i="9"/>
  <c r="Q89" i="9" s="1"/>
  <c r="M79" i="9"/>
  <c r="M89" i="9" s="1"/>
  <c r="I79" i="9"/>
  <c r="I89" i="9" s="1"/>
  <c r="F298" i="8"/>
  <c r="G298" i="8"/>
  <c r="AB289" i="8"/>
  <c r="G281" i="8"/>
  <c r="F281" i="8"/>
  <c r="D272" i="8"/>
  <c r="D269" i="8" s="1"/>
  <c r="D275" i="8"/>
  <c r="G261" i="8"/>
  <c r="F261" i="8"/>
  <c r="G237" i="8"/>
  <c r="F237" i="8"/>
  <c r="F217" i="8"/>
  <c r="AE312" i="8"/>
  <c r="M312" i="8"/>
  <c r="I312" i="8"/>
  <c r="G129" i="8"/>
  <c r="F129" i="8"/>
  <c r="T289" i="8"/>
  <c r="T37" i="8"/>
  <c r="T297" i="8"/>
  <c r="W289" i="8"/>
  <c r="W286" i="8" s="1"/>
  <c r="E289" i="8"/>
  <c r="AA286" i="8"/>
  <c r="AA304" i="8"/>
  <c r="W304" i="8"/>
  <c r="S304" i="8"/>
  <c r="O304" i="8"/>
  <c r="K286" i="8"/>
  <c r="K304" i="8"/>
  <c r="AG26" i="9"/>
  <c r="P307" i="8"/>
  <c r="D299" i="8"/>
  <c r="C289" i="8" l="1"/>
  <c r="B286" i="8"/>
  <c r="V314" i="8"/>
  <c r="B355" i="12"/>
  <c r="B375" i="12"/>
  <c r="B352" i="12"/>
  <c r="AG352" i="12" s="1"/>
  <c r="B353" i="12"/>
  <c r="B373" i="12" s="1"/>
  <c r="E354" i="12"/>
  <c r="G22" i="11"/>
  <c r="AH51" i="10"/>
  <c r="AH71" i="10"/>
  <c r="E89" i="10"/>
  <c r="E94" i="10"/>
  <c r="AH137" i="11"/>
  <c r="AH134" i="11"/>
  <c r="G55" i="11"/>
  <c r="G205" i="12"/>
  <c r="V286" i="8"/>
  <c r="D162" i="8"/>
  <c r="K351" i="12"/>
  <c r="U289" i="8"/>
  <c r="U286" i="8" s="1"/>
  <c r="U303" i="8" s="1"/>
  <c r="B364" i="12"/>
  <c r="AG364" i="12" s="1"/>
  <c r="H369" i="12"/>
  <c r="D310" i="12"/>
  <c r="W370" i="12"/>
  <c r="B354" i="12"/>
  <c r="B374" i="12" s="1"/>
  <c r="S286" i="8"/>
  <c r="S303" i="8" s="1"/>
  <c r="G269" i="8"/>
  <c r="E290" i="8"/>
  <c r="F290" i="8" s="1"/>
  <c r="F315" i="8" s="1"/>
  <c r="F160" i="8"/>
  <c r="G19" i="11"/>
  <c r="F73" i="11"/>
  <c r="H351" i="12"/>
  <c r="F300" i="8"/>
  <c r="F231" i="8"/>
  <c r="Z314" i="8"/>
  <c r="L132" i="11"/>
  <c r="L147" i="11" s="1"/>
  <c r="R147" i="11"/>
  <c r="B362" i="12"/>
  <c r="B367" i="12" s="1"/>
  <c r="I369" i="12"/>
  <c r="C369" i="12"/>
  <c r="H361" i="12"/>
  <c r="C315" i="8"/>
  <c r="F301" i="8"/>
  <c r="AG80" i="9"/>
  <c r="F80" i="9"/>
  <c r="F91" i="9" s="1"/>
  <c r="B148" i="11"/>
  <c r="AG148" i="11" s="1"/>
  <c r="N286" i="8"/>
  <c r="N303" i="8" s="1"/>
  <c r="Q314" i="8"/>
  <c r="V303" i="8"/>
  <c r="N314" i="8"/>
  <c r="AG133" i="11"/>
  <c r="F133" i="11"/>
  <c r="F153" i="11" s="1"/>
  <c r="H89" i="9"/>
  <c r="J147" i="11"/>
  <c r="Z147" i="11"/>
  <c r="AB351" i="12"/>
  <c r="AB366" i="12" s="1"/>
  <c r="F301" i="12"/>
  <c r="D300" i="8"/>
  <c r="D297" i="8" s="1"/>
  <c r="E79" i="9"/>
  <c r="E89" i="9" s="1"/>
  <c r="U304" i="8"/>
  <c r="D334" i="12"/>
  <c r="B363" i="12"/>
  <c r="AG363" i="12" s="1"/>
  <c r="F310" i="12"/>
  <c r="G334" i="12"/>
  <c r="K303" i="8"/>
  <c r="AA303" i="8"/>
  <c r="W303" i="8"/>
  <c r="S314" i="8"/>
  <c r="F86" i="9"/>
  <c r="AG151" i="11"/>
  <c r="B132" i="11"/>
  <c r="E374" i="12"/>
  <c r="H367" i="12"/>
  <c r="Q286" i="8"/>
  <c r="Q303" i="8" s="1"/>
  <c r="AC304" i="8"/>
  <c r="I306" i="8"/>
  <c r="B135" i="8"/>
  <c r="F135" i="8" s="1"/>
  <c r="AG83" i="9"/>
  <c r="W351" i="12"/>
  <c r="W366" i="12" s="1"/>
  <c r="H368" i="12"/>
  <c r="I368" i="12"/>
  <c r="E364" i="12"/>
  <c r="G364" i="12" s="1"/>
  <c r="C149" i="11"/>
  <c r="C154" i="11"/>
  <c r="J351" i="12"/>
  <c r="J366" i="12" s="1"/>
  <c r="J375" i="12"/>
  <c r="Z351" i="12"/>
  <c r="Z366" i="12" s="1"/>
  <c r="Z375" i="12"/>
  <c r="O351" i="12"/>
  <c r="O366" i="12" s="1"/>
  <c r="O375" i="12"/>
  <c r="AE370" i="12"/>
  <c r="AE375" i="12"/>
  <c r="B372" i="12"/>
  <c r="G301" i="12"/>
  <c r="R351" i="12"/>
  <c r="R366" i="12" s="1"/>
  <c r="R375" i="12"/>
  <c r="S351" i="12"/>
  <c r="S375" i="12"/>
  <c r="V351" i="12"/>
  <c r="V366" i="12" s="1"/>
  <c r="V375" i="12"/>
  <c r="AA351" i="12"/>
  <c r="AA366" i="12" s="1"/>
  <c r="AA375" i="12"/>
  <c r="AD351" i="12"/>
  <c r="AD366" i="12" s="1"/>
  <c r="E132" i="11"/>
  <c r="E147" i="11" s="1"/>
  <c r="L150" i="11"/>
  <c r="Z304" i="8"/>
  <c r="Z312" i="8"/>
  <c r="Z286" i="8"/>
  <c r="Z303" i="8" s="1"/>
  <c r="AG141" i="8"/>
  <c r="V147" i="11"/>
  <c r="G135" i="11"/>
  <c r="G155" i="11" s="1"/>
  <c r="D85" i="12"/>
  <c r="Y286" i="8"/>
  <c r="Y303" i="8" s="1"/>
  <c r="E149" i="11"/>
  <c r="F135" i="11"/>
  <c r="F155" i="11" s="1"/>
  <c r="D149" i="11"/>
  <c r="G22" i="13"/>
  <c r="G27" i="13" s="1"/>
  <c r="G50" i="9"/>
  <c r="G49" i="9" s="1"/>
  <c r="C49" i="9"/>
  <c r="AG138" i="8"/>
  <c r="AG50" i="9"/>
  <c r="B49" i="9"/>
  <c r="AG49" i="9" s="1"/>
  <c r="B302" i="8"/>
  <c r="AG302" i="8" s="1"/>
  <c r="W302" i="8" s="1"/>
  <c r="AG174" i="12"/>
  <c r="G85" i="12"/>
  <c r="F274" i="12"/>
  <c r="AB368" i="12"/>
  <c r="E355" i="12"/>
  <c r="E370" i="12" s="1"/>
  <c r="AG358" i="12"/>
  <c r="P366" i="12"/>
  <c r="C368" i="12"/>
  <c r="M366" i="12"/>
  <c r="D31" i="12"/>
  <c r="S370" i="12"/>
  <c r="D79" i="12"/>
  <c r="F85" i="12"/>
  <c r="G235" i="12"/>
  <c r="G187" i="12"/>
  <c r="C361" i="12"/>
  <c r="D364" i="12"/>
  <c r="G363" i="12"/>
  <c r="O370" i="12"/>
  <c r="AC366" i="12"/>
  <c r="AA370" i="12"/>
  <c r="AD147" i="11"/>
  <c r="D111" i="15"/>
  <c r="I286" i="8"/>
  <c r="I303" i="8" s="1"/>
  <c r="AH30" i="13"/>
  <c r="C27" i="13"/>
  <c r="AH27" i="13" s="1"/>
  <c r="AH22" i="13"/>
  <c r="AC289" i="8"/>
  <c r="AC286" i="8" s="1"/>
  <c r="AC303" i="8" s="1"/>
  <c r="D302" i="8"/>
  <c r="O303" i="8"/>
  <c r="N147" i="11"/>
  <c r="D137" i="11"/>
  <c r="K361" i="12"/>
  <c r="AG22" i="13"/>
  <c r="F145" i="11"/>
  <c r="E150" i="11"/>
  <c r="G145" i="11"/>
  <c r="F79" i="12"/>
  <c r="E368" i="12"/>
  <c r="G353" i="12"/>
  <c r="G373" i="12" s="1"/>
  <c r="U366" i="12"/>
  <c r="G79" i="12"/>
  <c r="N304" i="8"/>
  <c r="N312" i="8"/>
  <c r="AD135" i="8"/>
  <c r="AD289" i="8"/>
  <c r="F30" i="13"/>
  <c r="F22" i="13"/>
  <c r="F27" i="13" s="1"/>
  <c r="D125" i="15"/>
  <c r="S361" i="12"/>
  <c r="C65" i="10"/>
  <c r="AH65" i="10" s="1"/>
  <c r="C142" i="11"/>
  <c r="C159" i="11" s="1"/>
  <c r="J135" i="8"/>
  <c r="J289" i="8"/>
  <c r="H147" i="11"/>
  <c r="X147" i="11"/>
  <c r="R135" i="8"/>
  <c r="R289" i="8"/>
  <c r="D87" i="9"/>
  <c r="D84" i="9" s="1"/>
  <c r="D82" i="9"/>
  <c r="D93" i="9" s="1"/>
  <c r="D32" i="9"/>
  <c r="D31" i="9" s="1"/>
  <c r="D289" i="8"/>
  <c r="D124" i="15"/>
  <c r="AG287" i="8"/>
  <c r="B312" i="8"/>
  <c r="AE306" i="8"/>
  <c r="AE314" i="8"/>
  <c r="G300" i="8"/>
  <c r="E306" i="8"/>
  <c r="E314" i="8"/>
  <c r="T306" i="8"/>
  <c r="T314" i="8"/>
  <c r="T286" i="8"/>
  <c r="T303" i="8" s="1"/>
  <c r="AB306" i="8"/>
  <c r="AB314" i="8"/>
  <c r="AB286" i="8"/>
  <c r="AB303" i="8" s="1"/>
  <c r="G297" i="8"/>
  <c r="D305" i="8"/>
  <c r="AG37" i="8"/>
  <c r="O306" i="8"/>
  <c r="O314" i="8"/>
  <c r="D91" i="9"/>
  <c r="AD89" i="9"/>
  <c r="B82" i="9"/>
  <c r="F35" i="9"/>
  <c r="F32" i="9" s="1"/>
  <c r="F31" i="9" s="1"/>
  <c r="B87" i="9"/>
  <c r="AG35" i="9"/>
  <c r="C45" i="10"/>
  <c r="AH45" i="10" s="1"/>
  <c r="G45" i="10"/>
  <c r="V370" i="12"/>
  <c r="D363" i="12"/>
  <c r="AG144" i="11"/>
  <c r="B142" i="11"/>
  <c r="B159" i="11" s="1"/>
  <c r="F31" i="12"/>
  <c r="G31" i="12"/>
  <c r="D123" i="15"/>
  <c r="D105" i="15"/>
  <c r="D126" i="15"/>
  <c r="L306" i="8"/>
  <c r="L314" i="8"/>
  <c r="L286" i="8"/>
  <c r="L303" i="8" s="1"/>
  <c r="AE286" i="8"/>
  <c r="AE303" i="8" s="1"/>
  <c r="AG159" i="8"/>
  <c r="B156" i="8"/>
  <c r="F159" i="8"/>
  <c r="X306" i="8"/>
  <c r="X314" i="8"/>
  <c r="X286" i="8"/>
  <c r="X303" i="8" s="1"/>
  <c r="G37" i="8"/>
  <c r="F37" i="8"/>
  <c r="G287" i="8"/>
  <c r="G312" i="8" s="1"/>
  <c r="E304" i="8"/>
  <c r="F287" i="8"/>
  <c r="F312" i="8" s="1"/>
  <c r="E286" i="8"/>
  <c r="E312" i="8"/>
  <c r="AG290" i="8"/>
  <c r="B307" i="8"/>
  <c r="AG307" i="8" s="1"/>
  <c r="D307" i="8"/>
  <c r="F56" i="8"/>
  <c r="AG75" i="8"/>
  <c r="F75" i="8"/>
  <c r="F111" i="8"/>
  <c r="G111" i="8"/>
  <c r="C135" i="8"/>
  <c r="G135" i="8" s="1"/>
  <c r="G138" i="8"/>
  <c r="F162" i="8"/>
  <c r="B32" i="9"/>
  <c r="P147" i="11"/>
  <c r="F144" i="11"/>
  <c r="I351" i="12"/>
  <c r="I366" i="12" s="1"/>
  <c r="I367" i="12"/>
  <c r="Q366" i="12"/>
  <c r="AE366" i="12"/>
  <c r="J370" i="12"/>
  <c r="Z370" i="12"/>
  <c r="F257" i="12"/>
  <c r="B255" i="12"/>
  <c r="AG257" i="12"/>
  <c r="D299" i="12"/>
  <c r="D352" i="12" s="1"/>
  <c r="D372" i="12" s="1"/>
  <c r="E298" i="12"/>
  <c r="E362" i="12"/>
  <c r="AG302" i="12"/>
  <c r="B298" i="12"/>
  <c r="AG298" i="12" s="1"/>
  <c r="AG365" i="12"/>
  <c r="F292" i="8"/>
  <c r="G292" i="8"/>
  <c r="B150" i="11"/>
  <c r="AG135" i="11"/>
  <c r="B155" i="11"/>
  <c r="G12" i="12"/>
  <c r="F12" i="12"/>
  <c r="F357" i="12"/>
  <c r="E356" i="12"/>
  <c r="G357" i="12"/>
  <c r="AG187" i="12"/>
  <c r="F187" i="12"/>
  <c r="B122" i="15"/>
  <c r="AG122" i="15" s="1"/>
  <c r="AG105" i="15"/>
  <c r="L366" i="12"/>
  <c r="F116" i="15"/>
  <c r="G116" i="15"/>
  <c r="D116" i="15"/>
  <c r="E122" i="15"/>
  <c r="F105" i="15"/>
  <c r="G105" i="15"/>
  <c r="W306" i="8"/>
  <c r="W314" i="8"/>
  <c r="C193" i="8"/>
  <c r="G196" i="8"/>
  <c r="P306" i="8"/>
  <c r="P314" i="8"/>
  <c r="P286" i="8"/>
  <c r="P303" i="8" s="1"/>
  <c r="AG288" i="8"/>
  <c r="B305" i="8"/>
  <c r="AG305" i="8" s="1"/>
  <c r="B313" i="8"/>
  <c r="N370" i="12"/>
  <c r="AD370" i="12"/>
  <c r="D357" i="12"/>
  <c r="D12" i="12"/>
  <c r="D359" i="12"/>
  <c r="D354" i="12"/>
  <c r="D374" i="12" s="1"/>
  <c r="AG61" i="12"/>
  <c r="F61" i="12"/>
  <c r="AG19" i="11"/>
  <c r="F19" i="11"/>
  <c r="AG134" i="11"/>
  <c r="B149" i="11"/>
  <c r="AG149" i="11" s="1"/>
  <c r="F134" i="11"/>
  <c r="F154" i="11" s="1"/>
  <c r="B154" i="11"/>
  <c r="C150" i="11"/>
  <c r="C155" i="11"/>
  <c r="D148" i="11"/>
  <c r="D145" i="11"/>
  <c r="D142" i="11" s="1"/>
  <c r="E159" i="11" s="1"/>
  <c r="D135" i="11"/>
  <c r="G137" i="11"/>
  <c r="F137" i="11"/>
  <c r="F359" i="12"/>
  <c r="G359" i="12"/>
  <c r="G365" i="12"/>
  <c r="G162" i="12"/>
  <c r="F162" i="12"/>
  <c r="F334" i="12"/>
  <c r="X366" i="12"/>
  <c r="D287" i="8"/>
  <c r="D37" i="8"/>
  <c r="AG300" i="8"/>
  <c r="B297" i="8"/>
  <c r="AG297" i="8" s="1"/>
  <c r="AG40" i="8"/>
  <c r="F40" i="8"/>
  <c r="M303" i="8"/>
  <c r="U306" i="8"/>
  <c r="E305" i="8"/>
  <c r="F288" i="8"/>
  <c r="F313" i="8" s="1"/>
  <c r="G288" i="8"/>
  <c r="G313" i="8" s="1"/>
  <c r="E313" i="8"/>
  <c r="H306" i="8"/>
  <c r="H314" i="8"/>
  <c r="H286" i="8"/>
  <c r="H303" i="8" s="1"/>
  <c r="G35" i="9"/>
  <c r="C32" i="9"/>
  <c r="C82" i="9"/>
  <c r="C87" i="9"/>
  <c r="M306" i="8"/>
  <c r="M314" i="8"/>
  <c r="C132" i="11"/>
  <c r="F83" i="12"/>
  <c r="D83" i="12"/>
  <c r="G83" i="12"/>
  <c r="T147" i="11"/>
  <c r="AB147" i="11"/>
  <c r="C351" i="12"/>
  <c r="C367" i="12"/>
  <c r="Y366" i="12"/>
  <c r="R370" i="12"/>
  <c r="AG127" i="12"/>
  <c r="F127" i="12"/>
  <c r="N351" i="12"/>
  <c r="N366" i="12" s="1"/>
  <c r="I147" i="11"/>
  <c r="K147" i="11"/>
  <c r="M147" i="11"/>
  <c r="O147" i="11"/>
  <c r="Q147" i="11"/>
  <c r="S147" i="11"/>
  <c r="U147" i="11"/>
  <c r="W147" i="11"/>
  <c r="Y147" i="11"/>
  <c r="AA147" i="11"/>
  <c r="AC147" i="11"/>
  <c r="AE147" i="11"/>
  <c r="E372" i="12"/>
  <c r="D353" i="12"/>
  <c r="D373" i="12" s="1"/>
  <c r="AG205" i="12"/>
  <c r="F205" i="12"/>
  <c r="AG235" i="12"/>
  <c r="F235" i="12"/>
  <c r="B356" i="12"/>
  <c r="AG356" i="12" s="1"/>
  <c r="F358" i="12"/>
  <c r="F261" i="12"/>
  <c r="T366" i="12"/>
  <c r="G111" i="15"/>
  <c r="F111" i="15"/>
  <c r="C122" i="15"/>
  <c r="AG142" i="11" l="1"/>
  <c r="AH132" i="11"/>
  <c r="G142" i="11"/>
  <c r="AH142" i="11"/>
  <c r="F364" i="12"/>
  <c r="U314" i="8"/>
  <c r="AG132" i="11"/>
  <c r="B369" i="12"/>
  <c r="AG369" i="12" s="1"/>
  <c r="F354" i="12"/>
  <c r="F374" i="12" s="1"/>
  <c r="AG150" i="11"/>
  <c r="K366" i="12"/>
  <c r="C147" i="11"/>
  <c r="AG362" i="12"/>
  <c r="E307" i="8"/>
  <c r="D306" i="8"/>
  <c r="G290" i="8"/>
  <c r="G315" i="8" s="1"/>
  <c r="F363" i="12"/>
  <c r="S366" i="12"/>
  <c r="AG354" i="12"/>
  <c r="H366" i="12"/>
  <c r="AA302" i="8"/>
  <c r="U302" i="8" s="1"/>
  <c r="AG304" i="8"/>
  <c r="E369" i="12"/>
  <c r="E315" i="8"/>
  <c r="F132" i="11"/>
  <c r="AG367" i="12"/>
  <c r="AG135" i="8"/>
  <c r="Y302" i="8"/>
  <c r="F142" i="11"/>
  <c r="G354" i="12"/>
  <c r="G374" i="12" s="1"/>
  <c r="B351" i="12"/>
  <c r="AG351" i="12" s="1"/>
  <c r="G355" i="12"/>
  <c r="G375" i="12" s="1"/>
  <c r="E375" i="12"/>
  <c r="F353" i="12"/>
  <c r="F373" i="12" s="1"/>
  <c r="B147" i="11"/>
  <c r="AG147" i="11" s="1"/>
  <c r="AG353" i="12"/>
  <c r="B368" i="12"/>
  <c r="AG368" i="12" s="1"/>
  <c r="C366" i="12"/>
  <c r="F365" i="12"/>
  <c r="B361" i="12"/>
  <c r="AG361" i="12" s="1"/>
  <c r="AC314" i="8"/>
  <c r="AC306" i="8"/>
  <c r="D79" i="9"/>
  <c r="D89" i="9" s="1"/>
  <c r="AD314" i="8"/>
  <c r="AD286" i="8"/>
  <c r="AD303" i="8" s="1"/>
  <c r="AD306" i="8"/>
  <c r="D314" i="8"/>
  <c r="R306" i="8"/>
  <c r="R314" i="8"/>
  <c r="R286" i="8"/>
  <c r="R303" i="8" s="1"/>
  <c r="J306" i="8"/>
  <c r="J286" i="8"/>
  <c r="J303" i="8" s="1"/>
  <c r="J314" i="8"/>
  <c r="D365" i="12"/>
  <c r="D355" i="12"/>
  <c r="D375" i="12" s="1"/>
  <c r="D368" i="12"/>
  <c r="C306" i="8"/>
  <c r="C286" i="8"/>
  <c r="C303" i="8" s="1"/>
  <c r="C314" i="8"/>
  <c r="G82" i="9"/>
  <c r="G93" i="9" s="1"/>
  <c r="C79" i="9"/>
  <c r="C93" i="9"/>
  <c r="B306" i="8"/>
  <c r="AG289" i="8"/>
  <c r="B314" i="8"/>
  <c r="D150" i="11"/>
  <c r="D155" i="11"/>
  <c r="D132" i="11"/>
  <c r="D147" i="11" s="1"/>
  <c r="D351" i="12"/>
  <c r="F286" i="8"/>
  <c r="G356" i="12"/>
  <c r="F356" i="12"/>
  <c r="AG355" i="12"/>
  <c r="B370" i="12"/>
  <c r="AG370" i="12" s="1"/>
  <c r="G298" i="12"/>
  <c r="F298" i="12"/>
  <c r="B31" i="9"/>
  <c r="AG31" i="9" s="1"/>
  <c r="AG32" i="9"/>
  <c r="D122" i="15"/>
  <c r="F297" i="8"/>
  <c r="G352" i="12"/>
  <c r="G372" i="12" s="1"/>
  <c r="E367" i="12"/>
  <c r="F352" i="12"/>
  <c r="F372" i="12" s="1"/>
  <c r="E351" i="12"/>
  <c r="G87" i="9"/>
  <c r="C84" i="9"/>
  <c r="G84" i="9" s="1"/>
  <c r="C31" i="9"/>
  <c r="G32" i="9"/>
  <c r="G31" i="9" s="1"/>
  <c r="D304" i="8"/>
  <c r="D286" i="8"/>
  <c r="D303" i="8" s="1"/>
  <c r="D312" i="8"/>
  <c r="D369" i="12"/>
  <c r="D356" i="12"/>
  <c r="G362" i="12"/>
  <c r="F362" i="12"/>
  <c r="E361" i="12"/>
  <c r="D298" i="12"/>
  <c r="D362" i="12"/>
  <c r="D361" i="12" s="1"/>
  <c r="AG255" i="12"/>
  <c r="F255" i="12"/>
  <c r="E303" i="8"/>
  <c r="AG156" i="8"/>
  <c r="F156" i="8"/>
  <c r="F355" i="12"/>
  <c r="F375" i="12" s="1"/>
  <c r="G132" i="11"/>
  <c r="B84" i="9"/>
  <c r="F87" i="9"/>
  <c r="AG87" i="9"/>
  <c r="F82" i="9"/>
  <c r="F93" i="9" s="1"/>
  <c r="B93" i="9"/>
  <c r="AG82" i="9"/>
  <c r="B79" i="9"/>
  <c r="F289" i="8"/>
  <c r="G289" i="8"/>
  <c r="G314" i="8" s="1"/>
  <c r="O302" i="8" l="1"/>
  <c r="S302" i="8"/>
  <c r="M302" i="8" s="1"/>
  <c r="AG306" i="8"/>
  <c r="Q302" i="8"/>
  <c r="K302" i="8" s="1"/>
  <c r="D370" i="12"/>
  <c r="G286" i="8"/>
  <c r="B89" i="9"/>
  <c r="B90" i="9"/>
  <c r="AG79" i="9"/>
  <c r="F79" i="9"/>
  <c r="F89" i="9" s="1"/>
  <c r="AG84" i="9"/>
  <c r="F84" i="9"/>
  <c r="B366" i="12"/>
  <c r="AG366" i="12" s="1"/>
  <c r="F361" i="12"/>
  <c r="G361" i="12"/>
  <c r="E366" i="12"/>
  <c r="F351" i="12"/>
  <c r="G351" i="12"/>
  <c r="D366" i="12"/>
  <c r="B310" i="8"/>
  <c r="AG286" i="8"/>
  <c r="B303" i="8"/>
  <c r="AG303" i="8" s="1"/>
  <c r="D367" i="12"/>
  <c r="C89" i="9"/>
  <c r="G79" i="9"/>
  <c r="G89" i="9" s="1"/>
  <c r="E302" i="8" l="1"/>
  <c r="F302" i="8" s="1"/>
  <c r="I302" i="8"/>
  <c r="C302" i="8" s="1"/>
  <c r="I28" i="7"/>
  <c r="J28" i="7"/>
  <c r="K28" i="7"/>
  <c r="L28" i="7"/>
  <c r="M28" i="7"/>
  <c r="N28" i="7"/>
  <c r="O28" i="7"/>
  <c r="P28" i="7"/>
  <c r="Q28" i="7"/>
  <c r="R28" i="7"/>
  <c r="S28" i="7"/>
  <c r="T28" i="7"/>
  <c r="U28" i="7"/>
  <c r="V28" i="7"/>
  <c r="W28" i="7"/>
  <c r="X28" i="7"/>
  <c r="Y28" i="7"/>
  <c r="Z28" i="7"/>
  <c r="AA28" i="7"/>
  <c r="AB28" i="7"/>
  <c r="AC28" i="7"/>
  <c r="AD28" i="7"/>
  <c r="AE28" i="7"/>
  <c r="H28" i="7"/>
  <c r="I113" i="7"/>
  <c r="J113" i="7"/>
  <c r="K113" i="7"/>
  <c r="L113" i="7"/>
  <c r="M113" i="7"/>
  <c r="N113" i="7"/>
  <c r="O113" i="7"/>
  <c r="P113" i="7"/>
  <c r="Q113" i="7"/>
  <c r="R113" i="7"/>
  <c r="S113" i="7"/>
  <c r="T113" i="7"/>
  <c r="U113" i="7"/>
  <c r="V113" i="7"/>
  <c r="W113" i="7"/>
  <c r="X113" i="7"/>
  <c r="Y113" i="7"/>
  <c r="Z113" i="7"/>
  <c r="AA113" i="7"/>
  <c r="AB113" i="7"/>
  <c r="AC113" i="7"/>
  <c r="AD113" i="7"/>
  <c r="AE113" i="7"/>
  <c r="H113" i="7"/>
  <c r="I107" i="7"/>
  <c r="J107" i="7"/>
  <c r="K107" i="7"/>
  <c r="L107" i="7"/>
  <c r="M107" i="7"/>
  <c r="N107" i="7"/>
  <c r="O107" i="7"/>
  <c r="P107" i="7"/>
  <c r="Q107" i="7"/>
  <c r="R107" i="7"/>
  <c r="S107" i="7"/>
  <c r="T107" i="7"/>
  <c r="U107" i="7"/>
  <c r="V107" i="7"/>
  <c r="W107" i="7"/>
  <c r="X107" i="7"/>
  <c r="Y107" i="7"/>
  <c r="Z107" i="7"/>
  <c r="AA107" i="7"/>
  <c r="AB107" i="7"/>
  <c r="AC107" i="7"/>
  <c r="AD107" i="7"/>
  <c r="AE107" i="7"/>
  <c r="H107" i="7"/>
  <c r="B108" i="7"/>
  <c r="B107" i="7" s="1"/>
  <c r="I93" i="7"/>
  <c r="J93" i="7"/>
  <c r="K93" i="7"/>
  <c r="L93" i="7"/>
  <c r="M93" i="7"/>
  <c r="N93" i="7"/>
  <c r="O93" i="7"/>
  <c r="P93" i="7"/>
  <c r="Q93" i="7"/>
  <c r="R93" i="7"/>
  <c r="S93" i="7"/>
  <c r="T93" i="7"/>
  <c r="U93" i="7"/>
  <c r="V93" i="7"/>
  <c r="W93" i="7"/>
  <c r="X93" i="7"/>
  <c r="Y93" i="7"/>
  <c r="Z93" i="7"/>
  <c r="AA93" i="7"/>
  <c r="AB93" i="7"/>
  <c r="AC93" i="7"/>
  <c r="AD93" i="7"/>
  <c r="AE93" i="7"/>
  <c r="H93" i="7"/>
  <c r="I91" i="7"/>
  <c r="I90" i="7" s="1"/>
  <c r="J91" i="7"/>
  <c r="J90" i="7" s="1"/>
  <c r="K91" i="7"/>
  <c r="K90" i="7" s="1"/>
  <c r="L91" i="7"/>
  <c r="L90" i="7" s="1"/>
  <c r="M91" i="7"/>
  <c r="M90" i="7" s="1"/>
  <c r="N91" i="7"/>
  <c r="N90" i="7" s="1"/>
  <c r="O91" i="7"/>
  <c r="O90" i="7" s="1"/>
  <c r="P91" i="7"/>
  <c r="P90" i="7" s="1"/>
  <c r="Q91" i="7"/>
  <c r="Q90" i="7" s="1"/>
  <c r="R91" i="7"/>
  <c r="R90" i="7" s="1"/>
  <c r="S91" i="7"/>
  <c r="S90" i="7" s="1"/>
  <c r="T91" i="7"/>
  <c r="T90" i="7" s="1"/>
  <c r="U91" i="7"/>
  <c r="U90" i="7" s="1"/>
  <c r="V91" i="7"/>
  <c r="V90" i="7" s="1"/>
  <c r="W91" i="7"/>
  <c r="W90" i="7" s="1"/>
  <c r="X91" i="7"/>
  <c r="X90" i="7" s="1"/>
  <c r="Y91" i="7"/>
  <c r="Y90" i="7" s="1"/>
  <c r="Z91" i="7"/>
  <c r="Z90" i="7" s="1"/>
  <c r="AA91" i="7"/>
  <c r="AA90" i="7" s="1"/>
  <c r="AB91" i="7"/>
  <c r="AB90" i="7" s="1"/>
  <c r="AC91" i="7"/>
  <c r="AC90" i="7" s="1"/>
  <c r="AD91" i="7"/>
  <c r="AD90" i="7" s="1"/>
  <c r="AE91" i="7"/>
  <c r="AE90" i="7" s="1"/>
  <c r="H91" i="7"/>
  <c r="H90" i="7" s="1"/>
  <c r="D91" i="7"/>
  <c r="I87" i="7"/>
  <c r="J87" i="7"/>
  <c r="K87" i="7"/>
  <c r="L87" i="7"/>
  <c r="M87" i="7"/>
  <c r="N87" i="7"/>
  <c r="O87" i="7"/>
  <c r="P87" i="7"/>
  <c r="Q87" i="7"/>
  <c r="R87" i="7"/>
  <c r="S87" i="7"/>
  <c r="T87" i="7"/>
  <c r="U87" i="7"/>
  <c r="V87" i="7"/>
  <c r="W87" i="7"/>
  <c r="X87" i="7"/>
  <c r="Y87" i="7"/>
  <c r="Z87" i="7"/>
  <c r="AA87" i="7"/>
  <c r="AB87" i="7"/>
  <c r="AC87" i="7"/>
  <c r="AD87" i="7"/>
  <c r="AE87" i="7"/>
  <c r="H87" i="7"/>
  <c r="I84" i="7"/>
  <c r="J84" i="7"/>
  <c r="K84" i="7"/>
  <c r="L84" i="7"/>
  <c r="M84" i="7"/>
  <c r="N84" i="7"/>
  <c r="O84" i="7"/>
  <c r="P84" i="7"/>
  <c r="Q84" i="7"/>
  <c r="R84" i="7"/>
  <c r="S84" i="7"/>
  <c r="T84" i="7"/>
  <c r="U84" i="7"/>
  <c r="V84" i="7"/>
  <c r="W84" i="7"/>
  <c r="X84" i="7"/>
  <c r="Y84" i="7"/>
  <c r="Z84" i="7"/>
  <c r="AA84" i="7"/>
  <c r="AB84" i="7"/>
  <c r="AC84" i="7"/>
  <c r="AD84" i="7"/>
  <c r="AE84" i="7"/>
  <c r="H84" i="7"/>
  <c r="I82" i="7"/>
  <c r="I81" i="7" s="1"/>
  <c r="J82" i="7"/>
  <c r="J81" i="7" s="1"/>
  <c r="K82" i="7"/>
  <c r="K81" i="7" s="1"/>
  <c r="L82" i="7"/>
  <c r="L81" i="7" s="1"/>
  <c r="M82" i="7"/>
  <c r="M81" i="7" s="1"/>
  <c r="N82" i="7"/>
  <c r="N81" i="7" s="1"/>
  <c r="O82" i="7"/>
  <c r="O81" i="7" s="1"/>
  <c r="P82" i="7"/>
  <c r="P81" i="7" s="1"/>
  <c r="Q82" i="7"/>
  <c r="Q81" i="7" s="1"/>
  <c r="R82" i="7"/>
  <c r="R81" i="7" s="1"/>
  <c r="S82" i="7"/>
  <c r="S81" i="7" s="1"/>
  <c r="T82" i="7"/>
  <c r="T81" i="7" s="1"/>
  <c r="U82" i="7"/>
  <c r="U81" i="7" s="1"/>
  <c r="V82" i="7"/>
  <c r="V81" i="7" s="1"/>
  <c r="W82" i="7"/>
  <c r="W81" i="7" s="1"/>
  <c r="X82" i="7"/>
  <c r="X81" i="7" s="1"/>
  <c r="Y82" i="7"/>
  <c r="Y81" i="7" s="1"/>
  <c r="Z82" i="7"/>
  <c r="Z81" i="7" s="1"/>
  <c r="AA82" i="7"/>
  <c r="AA81" i="7" s="1"/>
  <c r="AB82" i="7"/>
  <c r="AB81" i="7" s="1"/>
  <c r="AC82" i="7"/>
  <c r="AC81" i="7" s="1"/>
  <c r="AD82" i="7"/>
  <c r="AD81" i="7" s="1"/>
  <c r="AE82" i="7"/>
  <c r="AE81" i="7" s="1"/>
  <c r="H82" i="7"/>
  <c r="H81" i="7" s="1"/>
  <c r="I64" i="7"/>
  <c r="I63" i="7" s="1"/>
  <c r="J64" i="7"/>
  <c r="J63" i="7" s="1"/>
  <c r="K64" i="7"/>
  <c r="K63" i="7" s="1"/>
  <c r="L64" i="7"/>
  <c r="L63" i="7" s="1"/>
  <c r="M64" i="7"/>
  <c r="M63" i="7" s="1"/>
  <c r="N64" i="7"/>
  <c r="N63" i="7" s="1"/>
  <c r="O64" i="7"/>
  <c r="O63" i="7" s="1"/>
  <c r="P64" i="7"/>
  <c r="P63" i="7" s="1"/>
  <c r="Q64" i="7"/>
  <c r="Q63" i="7" s="1"/>
  <c r="R64" i="7"/>
  <c r="R63" i="7" s="1"/>
  <c r="S64" i="7"/>
  <c r="S63" i="7" s="1"/>
  <c r="T64" i="7"/>
  <c r="T63" i="7" s="1"/>
  <c r="U64" i="7"/>
  <c r="U63" i="7" s="1"/>
  <c r="V64" i="7"/>
  <c r="V63" i="7" s="1"/>
  <c r="W64" i="7"/>
  <c r="W63" i="7" s="1"/>
  <c r="X64" i="7"/>
  <c r="X63" i="7" s="1"/>
  <c r="Y64" i="7"/>
  <c r="Y63" i="7" s="1"/>
  <c r="Z64" i="7"/>
  <c r="Z63" i="7" s="1"/>
  <c r="AA64" i="7"/>
  <c r="AA63" i="7" s="1"/>
  <c r="AB64" i="7"/>
  <c r="AB63" i="7" s="1"/>
  <c r="AC64" i="7"/>
  <c r="AC63" i="7" s="1"/>
  <c r="AD64" i="7"/>
  <c r="AD63" i="7" s="1"/>
  <c r="AE64" i="7"/>
  <c r="AE63" i="7" s="1"/>
  <c r="H64" i="7"/>
  <c r="H63" i="7" s="1"/>
  <c r="I52" i="7"/>
  <c r="J52" i="7"/>
  <c r="J57" i="7" s="1"/>
  <c r="K52" i="7"/>
  <c r="L52" i="7"/>
  <c r="L57" i="7" s="1"/>
  <c r="M52" i="7"/>
  <c r="N52" i="7"/>
  <c r="N57" i="7" s="1"/>
  <c r="O52" i="7"/>
  <c r="P52" i="7"/>
  <c r="P57" i="7" s="1"/>
  <c r="Q52" i="7"/>
  <c r="R52" i="7"/>
  <c r="R57" i="7" s="1"/>
  <c r="S52" i="7"/>
  <c r="T52" i="7"/>
  <c r="T57" i="7" s="1"/>
  <c r="U52" i="7"/>
  <c r="V52" i="7"/>
  <c r="V57" i="7" s="1"/>
  <c r="W52" i="7"/>
  <c r="X52" i="7"/>
  <c r="X57" i="7" s="1"/>
  <c r="Y52" i="7"/>
  <c r="Z52" i="7"/>
  <c r="Z57" i="7" s="1"/>
  <c r="AA52" i="7"/>
  <c r="AB52" i="7"/>
  <c r="AB57" i="7" s="1"/>
  <c r="AC52" i="7"/>
  <c r="AD52" i="7"/>
  <c r="AD57" i="7" s="1"/>
  <c r="AE52" i="7"/>
  <c r="I54" i="7"/>
  <c r="I59" i="7" s="1"/>
  <c r="J54" i="7"/>
  <c r="J59" i="7" s="1"/>
  <c r="K54" i="7"/>
  <c r="K59" i="7" s="1"/>
  <c r="L54" i="7"/>
  <c r="L59" i="7" s="1"/>
  <c r="M54" i="7"/>
  <c r="M59" i="7" s="1"/>
  <c r="N54" i="7"/>
  <c r="N59" i="7" s="1"/>
  <c r="O54" i="7"/>
  <c r="O59" i="7" s="1"/>
  <c r="P54" i="7"/>
  <c r="P59" i="7" s="1"/>
  <c r="Q54" i="7"/>
  <c r="Q59" i="7" s="1"/>
  <c r="R54" i="7"/>
  <c r="R59" i="7" s="1"/>
  <c r="S54" i="7"/>
  <c r="S59" i="7" s="1"/>
  <c r="T54" i="7"/>
  <c r="T59" i="7" s="1"/>
  <c r="U54" i="7"/>
  <c r="U59" i="7" s="1"/>
  <c r="V54" i="7"/>
  <c r="V59" i="7" s="1"/>
  <c r="W54" i="7"/>
  <c r="W59" i="7" s="1"/>
  <c r="X54" i="7"/>
  <c r="X59" i="7" s="1"/>
  <c r="Y54" i="7"/>
  <c r="Y59" i="7" s="1"/>
  <c r="Z54" i="7"/>
  <c r="Z59" i="7" s="1"/>
  <c r="AA54" i="7"/>
  <c r="AA59" i="7" s="1"/>
  <c r="AB54" i="7"/>
  <c r="AB59" i="7" s="1"/>
  <c r="AC54" i="7"/>
  <c r="AC59" i="7" s="1"/>
  <c r="AD54" i="7"/>
  <c r="AD59" i="7" s="1"/>
  <c r="AE54" i="7"/>
  <c r="AE59" i="7" s="1"/>
  <c r="H54" i="7"/>
  <c r="H59" i="7" s="1"/>
  <c r="H52" i="7"/>
  <c r="H116" i="7" s="1"/>
  <c r="H120" i="7" s="1"/>
  <c r="C52" i="7"/>
  <c r="C57" i="7" s="1"/>
  <c r="D52" i="7"/>
  <c r="D57" i="7" s="1"/>
  <c r="E52" i="7"/>
  <c r="E57" i="7" s="1"/>
  <c r="D54" i="7"/>
  <c r="D59" i="7" s="1"/>
  <c r="I40" i="7"/>
  <c r="J40" i="7"/>
  <c r="K40" i="7"/>
  <c r="M40" i="7"/>
  <c r="N40" i="7"/>
  <c r="O40" i="7"/>
  <c r="P40" i="7"/>
  <c r="Q40" i="7"/>
  <c r="R40" i="7"/>
  <c r="S40" i="7"/>
  <c r="T40" i="7"/>
  <c r="U40" i="7"/>
  <c r="V40" i="7"/>
  <c r="W40" i="7"/>
  <c r="X40" i="7"/>
  <c r="Y40" i="7"/>
  <c r="Z40" i="7"/>
  <c r="AA40" i="7"/>
  <c r="AB40" i="7"/>
  <c r="AC40" i="7"/>
  <c r="AD40" i="7"/>
  <c r="AE40" i="7"/>
  <c r="H40" i="7"/>
  <c r="B43" i="7"/>
  <c r="B54" i="7" s="1"/>
  <c r="B59" i="7" s="1"/>
  <c r="C32" i="7"/>
  <c r="B32" i="7"/>
  <c r="I26" i="7"/>
  <c r="I25" i="7" s="1"/>
  <c r="J26" i="7"/>
  <c r="J25" i="7" s="1"/>
  <c r="L26" i="7"/>
  <c r="M26" i="7"/>
  <c r="M25" i="7" s="1"/>
  <c r="N26" i="7"/>
  <c r="N25" i="7" s="1"/>
  <c r="O26" i="7"/>
  <c r="O25" i="7" s="1"/>
  <c r="P26" i="7"/>
  <c r="P25" i="7" s="1"/>
  <c r="Q26" i="7"/>
  <c r="Q25" i="7" s="1"/>
  <c r="R26" i="7"/>
  <c r="R25" i="7" s="1"/>
  <c r="S26" i="7"/>
  <c r="S25" i="7" s="1"/>
  <c r="T26" i="7"/>
  <c r="T25" i="7" s="1"/>
  <c r="U26" i="7"/>
  <c r="U25" i="7" s="1"/>
  <c r="V26" i="7"/>
  <c r="V25" i="7" s="1"/>
  <c r="W26" i="7"/>
  <c r="W25" i="7" s="1"/>
  <c r="X26" i="7"/>
  <c r="X25" i="7" s="1"/>
  <c r="Y26" i="7"/>
  <c r="Y25" i="7" s="1"/>
  <c r="Z26" i="7"/>
  <c r="Z25" i="7" s="1"/>
  <c r="AA26" i="7"/>
  <c r="AA25" i="7" s="1"/>
  <c r="AB26" i="7"/>
  <c r="AC26" i="7"/>
  <c r="AC25" i="7" s="1"/>
  <c r="AD26" i="7"/>
  <c r="AD25" i="7" s="1"/>
  <c r="AE26" i="7"/>
  <c r="AE25" i="7" s="1"/>
  <c r="H26" i="7"/>
  <c r="H25" i="7" s="1"/>
  <c r="D26" i="7"/>
  <c r="D25" i="7" s="1"/>
  <c r="C20" i="7"/>
  <c r="C19" i="7" s="1"/>
  <c r="B20" i="7"/>
  <c r="B19" i="7" s="1"/>
  <c r="C17" i="7"/>
  <c r="C16" i="7" s="1"/>
  <c r="D16" i="7"/>
  <c r="C14" i="7"/>
  <c r="B14" i="7"/>
  <c r="E11" i="7"/>
  <c r="E10" i="7" s="1"/>
  <c r="E9" i="7" s="1"/>
  <c r="C11" i="7"/>
  <c r="C10" i="7" s="1"/>
  <c r="B11" i="7"/>
  <c r="B10" i="7" s="1"/>
  <c r="B9" i="7" s="1"/>
  <c r="B41" i="7"/>
  <c r="B52" i="7" s="1"/>
  <c r="B57" i="7" s="1"/>
  <c r="B42" i="7"/>
  <c r="E43" i="7"/>
  <c r="E54" i="7" s="1"/>
  <c r="E59" i="7" s="1"/>
  <c r="C43" i="7"/>
  <c r="C54" i="7" s="1"/>
  <c r="C59" i="7" s="1"/>
  <c r="C46" i="7"/>
  <c r="E88" i="7"/>
  <c r="E87" i="7" s="1"/>
  <c r="C88" i="7"/>
  <c r="C87" i="7" s="1"/>
  <c r="B88" i="7"/>
  <c r="F88" i="7" s="1"/>
  <c r="D87" i="7"/>
  <c r="B85" i="7"/>
  <c r="E79" i="7"/>
  <c r="E78" i="7" s="1"/>
  <c r="C79" i="7"/>
  <c r="C78" i="7" s="1"/>
  <c r="B79" i="7"/>
  <c r="F79" i="7" s="1"/>
  <c r="D78" i="7"/>
  <c r="E76" i="7"/>
  <c r="C76" i="7"/>
  <c r="C75" i="7" s="1"/>
  <c r="B76" i="7"/>
  <c r="F76" i="7" s="1"/>
  <c r="D75" i="7"/>
  <c r="G302" i="8" l="1"/>
  <c r="B82" i="7"/>
  <c r="B81" i="7" s="1"/>
  <c r="B78" i="7"/>
  <c r="F78" i="7" s="1"/>
  <c r="AB25" i="7"/>
  <c r="AB53" i="7"/>
  <c r="AB117" i="7" s="1"/>
  <c r="AB121" i="7" s="1"/>
  <c r="L25" i="7"/>
  <c r="L53" i="7"/>
  <c r="L117" i="7" s="1"/>
  <c r="L121" i="7" s="1"/>
  <c r="AE57" i="7"/>
  <c r="AE116" i="7"/>
  <c r="AE120" i="7" s="1"/>
  <c r="AC57" i="7"/>
  <c r="AC116" i="7"/>
  <c r="AC120" i="7" s="1"/>
  <c r="AA57" i="7"/>
  <c r="AA116" i="7"/>
  <c r="AA120" i="7" s="1"/>
  <c r="Y57" i="7"/>
  <c r="Y116" i="7"/>
  <c r="Y120" i="7" s="1"/>
  <c r="W57" i="7"/>
  <c r="W116" i="7"/>
  <c r="W120" i="7" s="1"/>
  <c r="U57" i="7"/>
  <c r="U116" i="7"/>
  <c r="U120" i="7" s="1"/>
  <c r="S57" i="7"/>
  <c r="S116" i="7"/>
  <c r="S120" i="7" s="1"/>
  <c r="Q57" i="7"/>
  <c r="Q116" i="7"/>
  <c r="Q120" i="7" s="1"/>
  <c r="O57" i="7"/>
  <c r="O116" i="7"/>
  <c r="O120" i="7" s="1"/>
  <c r="M57" i="7"/>
  <c r="M116" i="7"/>
  <c r="M120" i="7" s="1"/>
  <c r="K57" i="7"/>
  <c r="K116" i="7"/>
  <c r="K120" i="7" s="1"/>
  <c r="I57" i="7"/>
  <c r="I116" i="7"/>
  <c r="I120" i="7" s="1"/>
  <c r="B116" i="7"/>
  <c r="B120" i="7" s="1"/>
  <c r="E116" i="7"/>
  <c r="E120" i="7" s="1"/>
  <c r="C116" i="7"/>
  <c r="C120" i="7" s="1"/>
  <c r="T53" i="7"/>
  <c r="T117" i="7" s="1"/>
  <c r="T121" i="7" s="1"/>
  <c r="D116" i="7"/>
  <c r="D120" i="7" s="1"/>
  <c r="AD116" i="7"/>
  <c r="AD120" i="7" s="1"/>
  <c r="AB116" i="7"/>
  <c r="Z116" i="7"/>
  <c r="Z120" i="7" s="1"/>
  <c r="X116" i="7"/>
  <c r="X120" i="7" s="1"/>
  <c r="V116" i="7"/>
  <c r="V120" i="7" s="1"/>
  <c r="T116" i="7"/>
  <c r="T120" i="7" s="1"/>
  <c r="R116" i="7"/>
  <c r="R120" i="7" s="1"/>
  <c r="P116" i="7"/>
  <c r="P120" i="7" s="1"/>
  <c r="N116" i="7"/>
  <c r="N120" i="7" s="1"/>
  <c r="L116" i="7"/>
  <c r="L120" i="7" s="1"/>
  <c r="J116" i="7"/>
  <c r="J120" i="7" s="1"/>
  <c r="B118" i="7"/>
  <c r="B122" i="7" s="1"/>
  <c r="H57" i="7"/>
  <c r="G59" i="7"/>
  <c r="H53" i="7"/>
  <c r="X53" i="7"/>
  <c r="X51" i="7" s="1"/>
  <c r="P53" i="7"/>
  <c r="P117" i="7" s="1"/>
  <c r="F59" i="7"/>
  <c r="AD53" i="7"/>
  <c r="AD117" i="7" s="1"/>
  <c r="Z53" i="7"/>
  <c r="Z117" i="7" s="1"/>
  <c r="V53" i="7"/>
  <c r="V117" i="7" s="1"/>
  <c r="R53" i="7"/>
  <c r="R117" i="7" s="1"/>
  <c r="N53" i="7"/>
  <c r="N117" i="7" s="1"/>
  <c r="J53" i="7"/>
  <c r="J117" i="7" s="1"/>
  <c r="B111" i="7"/>
  <c r="AE53" i="7"/>
  <c r="AE117" i="7" s="1"/>
  <c r="AC53" i="7"/>
  <c r="AC117" i="7" s="1"/>
  <c r="AA53" i="7"/>
  <c r="AA117" i="7" s="1"/>
  <c r="Y53" i="7"/>
  <c r="Y117" i="7" s="1"/>
  <c r="W53" i="7"/>
  <c r="W117" i="7" s="1"/>
  <c r="U53" i="7"/>
  <c r="U117" i="7" s="1"/>
  <c r="S53" i="7"/>
  <c r="S117" i="7" s="1"/>
  <c r="Q53" i="7"/>
  <c r="Q117" i="7" s="1"/>
  <c r="O53" i="7"/>
  <c r="O117" i="7" s="1"/>
  <c r="M53" i="7"/>
  <c r="M117" i="7" s="1"/>
  <c r="K53" i="7"/>
  <c r="K117" i="7" s="1"/>
  <c r="I53" i="7"/>
  <c r="I117" i="7" s="1"/>
  <c r="B40" i="7"/>
  <c r="F43" i="7"/>
  <c r="G76" i="7"/>
  <c r="B87" i="7"/>
  <c r="F87" i="7" s="1"/>
  <c r="G43" i="7"/>
  <c r="B75" i="7"/>
  <c r="G79" i="7"/>
  <c r="E75" i="7"/>
  <c r="G88" i="7"/>
  <c r="G87" i="7"/>
  <c r="G78" i="7"/>
  <c r="E23" i="7"/>
  <c r="C23" i="7"/>
  <c r="C22" i="7" s="1"/>
  <c r="B23" i="7"/>
  <c r="B22" i="7" s="1"/>
  <c r="E108" i="7"/>
  <c r="E111" i="7" s="1"/>
  <c r="D108" i="7"/>
  <c r="C108" i="7"/>
  <c r="E94" i="7"/>
  <c r="E91" i="7" s="1"/>
  <c r="C94" i="7"/>
  <c r="B94" i="7"/>
  <c r="B91" i="7" s="1"/>
  <c r="D93" i="7"/>
  <c r="F85" i="7"/>
  <c r="E85" i="7"/>
  <c r="E82" i="7" s="1"/>
  <c r="C85" i="7"/>
  <c r="C82" i="7" s="1"/>
  <c r="C81" i="7" s="1"/>
  <c r="D84" i="7"/>
  <c r="B84" i="7"/>
  <c r="D82" i="7"/>
  <c r="D81" i="7" s="1"/>
  <c r="E73" i="7"/>
  <c r="C73" i="7"/>
  <c r="C72" i="7" s="1"/>
  <c r="B73" i="7"/>
  <c r="F73" i="7" s="1"/>
  <c r="D72" i="7"/>
  <c r="E70" i="7"/>
  <c r="D70" i="7"/>
  <c r="D64" i="7" s="1"/>
  <c r="D63" i="7" s="1"/>
  <c r="C70" i="7"/>
  <c r="C69" i="7" s="1"/>
  <c r="B70" i="7"/>
  <c r="B69" i="7" s="1"/>
  <c r="E69" i="7"/>
  <c r="E67" i="7"/>
  <c r="C67" i="7"/>
  <c r="B67" i="7"/>
  <c r="D66" i="7"/>
  <c r="AE118" i="7"/>
  <c r="AE122" i="7" s="1"/>
  <c r="AD118" i="7"/>
  <c r="AD122" i="7" s="1"/>
  <c r="AC118" i="7"/>
  <c r="AC122" i="7" s="1"/>
  <c r="AB118" i="7"/>
  <c r="AB122" i="7" s="1"/>
  <c r="AA118" i="7"/>
  <c r="AA122" i="7" s="1"/>
  <c r="Z118" i="7"/>
  <c r="Z122" i="7" s="1"/>
  <c r="Y118" i="7"/>
  <c r="Y122" i="7" s="1"/>
  <c r="X118" i="7"/>
  <c r="X122" i="7" s="1"/>
  <c r="W118" i="7"/>
  <c r="W122" i="7" s="1"/>
  <c r="V118" i="7"/>
  <c r="V122" i="7" s="1"/>
  <c r="U118" i="7"/>
  <c r="U122" i="7" s="1"/>
  <c r="T118" i="7"/>
  <c r="T122" i="7" s="1"/>
  <c r="S118" i="7"/>
  <c r="S122" i="7" s="1"/>
  <c r="R118" i="7"/>
  <c r="R122" i="7" s="1"/>
  <c r="Q118" i="7"/>
  <c r="Q122" i="7" s="1"/>
  <c r="P118" i="7"/>
  <c r="P122" i="7" s="1"/>
  <c r="O118" i="7"/>
  <c r="O122" i="7" s="1"/>
  <c r="N118" i="7"/>
  <c r="N122" i="7" s="1"/>
  <c r="M118" i="7"/>
  <c r="M122" i="7" s="1"/>
  <c r="L118" i="7"/>
  <c r="L122" i="7" s="1"/>
  <c r="K118" i="7"/>
  <c r="K122" i="7" s="1"/>
  <c r="J118" i="7"/>
  <c r="J122" i="7" s="1"/>
  <c r="I118" i="7"/>
  <c r="I122" i="7" s="1"/>
  <c r="H118" i="7"/>
  <c r="H122" i="7" s="1"/>
  <c r="D118" i="7"/>
  <c r="D122" i="7" s="1"/>
  <c r="E49" i="7"/>
  <c r="C49" i="7"/>
  <c r="C48" i="7" s="1"/>
  <c r="B49" i="7"/>
  <c r="B48" i="7" s="1"/>
  <c r="AE48" i="7"/>
  <c r="E46" i="7"/>
  <c r="C45" i="7"/>
  <c r="B46" i="7"/>
  <c r="AE45" i="7"/>
  <c r="D42" i="7"/>
  <c r="D40" i="7" s="1"/>
  <c r="E38" i="7"/>
  <c r="C38" i="7"/>
  <c r="C37" i="7" s="1"/>
  <c r="B38" i="7"/>
  <c r="B37" i="7" s="1"/>
  <c r="D37" i="7"/>
  <c r="E35" i="7"/>
  <c r="C35" i="7"/>
  <c r="C34" i="7" s="1"/>
  <c r="B35" i="7"/>
  <c r="D34" i="7"/>
  <c r="E32" i="7"/>
  <c r="E31" i="7" s="1"/>
  <c r="C31" i="7"/>
  <c r="E29" i="7"/>
  <c r="C29" i="7"/>
  <c r="C28" i="7" s="1"/>
  <c r="B29" i="7"/>
  <c r="E20" i="7"/>
  <c r="E17" i="7"/>
  <c r="B17" i="7"/>
  <c r="B16" i="7" s="1"/>
  <c r="E14" i="7"/>
  <c r="B13" i="7"/>
  <c r="C13" i="7"/>
  <c r="C118" i="7"/>
  <c r="C122" i="7" s="1"/>
  <c r="D9" i="7"/>
  <c r="I56" i="6"/>
  <c r="I133" i="6" s="1"/>
  <c r="I138" i="6" s="1"/>
  <c r="J56" i="6"/>
  <c r="J133" i="6" s="1"/>
  <c r="J138" i="6" s="1"/>
  <c r="K56" i="6"/>
  <c r="K133" i="6" s="1"/>
  <c r="K138" i="6" s="1"/>
  <c r="L56" i="6"/>
  <c r="L133" i="6" s="1"/>
  <c r="L138" i="6" s="1"/>
  <c r="M56" i="6"/>
  <c r="M133" i="6" s="1"/>
  <c r="M138" i="6" s="1"/>
  <c r="N56" i="6"/>
  <c r="N133" i="6" s="1"/>
  <c r="N138" i="6" s="1"/>
  <c r="O56" i="6"/>
  <c r="O133" i="6" s="1"/>
  <c r="O138" i="6" s="1"/>
  <c r="P56" i="6"/>
  <c r="P133" i="6" s="1"/>
  <c r="P138" i="6" s="1"/>
  <c r="Q56" i="6"/>
  <c r="Q133" i="6" s="1"/>
  <c r="Q138" i="6" s="1"/>
  <c r="R56" i="6"/>
  <c r="R133" i="6" s="1"/>
  <c r="R138" i="6" s="1"/>
  <c r="S56" i="6"/>
  <c r="S133" i="6" s="1"/>
  <c r="S138" i="6" s="1"/>
  <c r="T56" i="6"/>
  <c r="T133" i="6" s="1"/>
  <c r="T138" i="6" s="1"/>
  <c r="U56" i="6"/>
  <c r="U133" i="6" s="1"/>
  <c r="U138" i="6" s="1"/>
  <c r="V56" i="6"/>
  <c r="V133" i="6" s="1"/>
  <c r="V138" i="6" s="1"/>
  <c r="W56" i="6"/>
  <c r="W133" i="6" s="1"/>
  <c r="W138" i="6" s="1"/>
  <c r="X56" i="6"/>
  <c r="X133" i="6" s="1"/>
  <c r="X138" i="6" s="1"/>
  <c r="Y56" i="6"/>
  <c r="Y133" i="6" s="1"/>
  <c r="Y138" i="6" s="1"/>
  <c r="Z56" i="6"/>
  <c r="Z133" i="6" s="1"/>
  <c r="Z138" i="6" s="1"/>
  <c r="AA56" i="6"/>
  <c r="AA133" i="6" s="1"/>
  <c r="AA138" i="6" s="1"/>
  <c r="AB56" i="6"/>
  <c r="AB133" i="6" s="1"/>
  <c r="AB138" i="6" s="1"/>
  <c r="AC56" i="6"/>
  <c r="AC133" i="6" s="1"/>
  <c r="AC138" i="6" s="1"/>
  <c r="AD56" i="6"/>
  <c r="AD133" i="6" s="1"/>
  <c r="AD138" i="6" s="1"/>
  <c r="AE56" i="6"/>
  <c r="AE133" i="6" s="1"/>
  <c r="AE138" i="6" s="1"/>
  <c r="H56" i="6"/>
  <c r="H133" i="6" s="1"/>
  <c r="H138" i="6" s="1"/>
  <c r="B13" i="6"/>
  <c r="B56" i="6" s="1"/>
  <c r="C133" i="6"/>
  <c r="C138" i="6" s="1"/>
  <c r="B12" i="6"/>
  <c r="I53" i="6"/>
  <c r="J53" i="6"/>
  <c r="K53" i="6"/>
  <c r="L53" i="6"/>
  <c r="M53" i="6"/>
  <c r="N53" i="6"/>
  <c r="O53" i="6"/>
  <c r="P53" i="6"/>
  <c r="Q53" i="6"/>
  <c r="R53" i="6"/>
  <c r="S53" i="6"/>
  <c r="T53" i="6"/>
  <c r="U53" i="6"/>
  <c r="V53" i="6"/>
  <c r="W53" i="6"/>
  <c r="X53" i="6"/>
  <c r="Y53" i="6"/>
  <c r="Z53" i="6"/>
  <c r="AA53" i="6"/>
  <c r="AB53" i="6"/>
  <c r="AC53" i="6"/>
  <c r="AD53" i="6"/>
  <c r="AE53" i="6"/>
  <c r="I54" i="6"/>
  <c r="J54" i="6"/>
  <c r="K54" i="6"/>
  <c r="L54" i="6"/>
  <c r="M54" i="6"/>
  <c r="N54" i="6"/>
  <c r="O54" i="6"/>
  <c r="P54" i="6"/>
  <c r="Q54" i="6"/>
  <c r="R54" i="6"/>
  <c r="S54" i="6"/>
  <c r="T54" i="6"/>
  <c r="U54" i="6"/>
  <c r="V54" i="6"/>
  <c r="W54" i="6"/>
  <c r="X54" i="6"/>
  <c r="Y54" i="6"/>
  <c r="Z54" i="6"/>
  <c r="AA54" i="6"/>
  <c r="AB54" i="6"/>
  <c r="AC54" i="6"/>
  <c r="AD54" i="6"/>
  <c r="AE54" i="6"/>
  <c r="H54" i="6"/>
  <c r="H53" i="6"/>
  <c r="C49" i="6"/>
  <c r="B50" i="6"/>
  <c r="B49" i="6" s="1"/>
  <c r="AE49" i="6"/>
  <c r="AD49" i="6"/>
  <c r="AC49" i="6"/>
  <c r="AB49" i="6"/>
  <c r="AA49" i="6"/>
  <c r="Z49" i="6"/>
  <c r="Y49" i="6"/>
  <c r="X49" i="6"/>
  <c r="W49" i="6"/>
  <c r="V49" i="6"/>
  <c r="U49" i="6"/>
  <c r="T49" i="6"/>
  <c r="S49" i="6"/>
  <c r="R49" i="6"/>
  <c r="Q49" i="6"/>
  <c r="P49" i="6"/>
  <c r="O49" i="6"/>
  <c r="N49" i="6"/>
  <c r="M49" i="6"/>
  <c r="L49" i="6"/>
  <c r="K49" i="6"/>
  <c r="J49" i="6"/>
  <c r="I49" i="6"/>
  <c r="H49" i="6"/>
  <c r="B133" i="6" l="1"/>
  <c r="B138" i="6" s="1"/>
  <c r="F75" i="7"/>
  <c r="AB58" i="7"/>
  <c r="AB56" i="7" s="1"/>
  <c r="AB51" i="7"/>
  <c r="L58" i="7"/>
  <c r="L56" i="7" s="1"/>
  <c r="T51" i="7"/>
  <c r="L51" i="7"/>
  <c r="E84" i="7"/>
  <c r="F84" i="7" s="1"/>
  <c r="T58" i="7"/>
  <c r="T56" i="7" s="1"/>
  <c r="F32" i="7"/>
  <c r="P51" i="7"/>
  <c r="I115" i="7"/>
  <c r="I121" i="7"/>
  <c r="K115" i="7"/>
  <c r="K121" i="7"/>
  <c r="K119" i="7" s="1"/>
  <c r="M115" i="7"/>
  <c r="M121" i="7"/>
  <c r="O115" i="7"/>
  <c r="O121" i="7"/>
  <c r="O119" i="7" s="1"/>
  <c r="Q115" i="7"/>
  <c r="Q121" i="7"/>
  <c r="Q119" i="7" s="1"/>
  <c r="S115" i="7"/>
  <c r="S121" i="7"/>
  <c r="S119" i="7" s="1"/>
  <c r="U115" i="7"/>
  <c r="U121" i="7"/>
  <c r="U119" i="7" s="1"/>
  <c r="W115" i="7"/>
  <c r="W121" i="7"/>
  <c r="W119" i="7" s="1"/>
  <c r="Y115" i="7"/>
  <c r="Y121" i="7"/>
  <c r="Y119" i="7" s="1"/>
  <c r="AA115" i="7"/>
  <c r="AA121" i="7"/>
  <c r="AA119" i="7" s="1"/>
  <c r="AC115" i="7"/>
  <c r="AC121" i="7"/>
  <c r="AC119" i="7" s="1"/>
  <c r="AE115" i="7"/>
  <c r="AE121" i="7"/>
  <c r="AE119" i="7" s="1"/>
  <c r="J115" i="7"/>
  <c r="J121" i="7"/>
  <c r="J119" i="7" s="1"/>
  <c r="N115" i="7"/>
  <c r="N121" i="7"/>
  <c r="N119" i="7" s="1"/>
  <c r="R115" i="7"/>
  <c r="R121" i="7"/>
  <c r="R119" i="7" s="1"/>
  <c r="V115" i="7"/>
  <c r="V121" i="7"/>
  <c r="V119" i="7" s="1"/>
  <c r="Z115" i="7"/>
  <c r="Z121" i="7"/>
  <c r="Z119" i="7" s="1"/>
  <c r="AD115" i="7"/>
  <c r="AD121" i="7"/>
  <c r="AD119" i="7" s="1"/>
  <c r="P115" i="7"/>
  <c r="P121" i="7"/>
  <c r="P119" i="7" s="1"/>
  <c r="AB115" i="7"/>
  <c r="AB120" i="7"/>
  <c r="AB119" i="7" s="1"/>
  <c r="T119" i="7"/>
  <c r="I119" i="7"/>
  <c r="L119" i="7"/>
  <c r="B110" i="7"/>
  <c r="H58" i="7"/>
  <c r="H56" i="7" s="1"/>
  <c r="H117" i="7"/>
  <c r="L115" i="7"/>
  <c r="P58" i="7"/>
  <c r="P56" i="7" s="1"/>
  <c r="X58" i="7"/>
  <c r="X56" i="7" s="1"/>
  <c r="X117" i="7"/>
  <c r="H51" i="7"/>
  <c r="T115" i="7"/>
  <c r="C64" i="7"/>
  <c r="C63" i="7" s="1"/>
  <c r="I51" i="7"/>
  <c r="I58" i="7"/>
  <c r="I56" i="7" s="1"/>
  <c r="M51" i="7"/>
  <c r="M58" i="7"/>
  <c r="M56" i="7" s="1"/>
  <c r="Q51" i="7"/>
  <c r="Q58" i="7"/>
  <c r="Q56" i="7" s="1"/>
  <c r="U51" i="7"/>
  <c r="U58" i="7"/>
  <c r="U56" i="7" s="1"/>
  <c r="Y51" i="7"/>
  <c r="Y58" i="7"/>
  <c r="Y56" i="7" s="1"/>
  <c r="AC51" i="7"/>
  <c r="AC58" i="7"/>
  <c r="AC56" i="7" s="1"/>
  <c r="N51" i="7"/>
  <c r="N58" i="7"/>
  <c r="N56" i="7" s="1"/>
  <c r="V51" i="7"/>
  <c r="V58" i="7"/>
  <c r="V56" i="7" s="1"/>
  <c r="AD51" i="7"/>
  <c r="AD58" i="7"/>
  <c r="AD56" i="7" s="1"/>
  <c r="B66" i="7"/>
  <c r="B64" i="7"/>
  <c r="E64" i="7"/>
  <c r="E63" i="7" s="1"/>
  <c r="C93" i="7"/>
  <c r="C91" i="7"/>
  <c r="C90" i="7" s="1"/>
  <c r="E107" i="7"/>
  <c r="K51" i="7"/>
  <c r="K58" i="7"/>
  <c r="K56" i="7" s="1"/>
  <c r="O51" i="7"/>
  <c r="O58" i="7"/>
  <c r="O56" i="7" s="1"/>
  <c r="S51" i="7"/>
  <c r="S58" i="7"/>
  <c r="S56" i="7" s="1"/>
  <c r="W51" i="7"/>
  <c r="W58" i="7"/>
  <c r="W56" i="7" s="1"/>
  <c r="AA51" i="7"/>
  <c r="AA58" i="7"/>
  <c r="AA56" i="7" s="1"/>
  <c r="AE51" i="7"/>
  <c r="AE58" i="7"/>
  <c r="AE56" i="7" s="1"/>
  <c r="J51" i="7"/>
  <c r="J58" i="7"/>
  <c r="J56" i="7" s="1"/>
  <c r="R51" i="7"/>
  <c r="R58" i="7"/>
  <c r="R56" i="7" s="1"/>
  <c r="Z51" i="7"/>
  <c r="Z58" i="7"/>
  <c r="Z56" i="7" s="1"/>
  <c r="G75" i="7"/>
  <c r="D53" i="7"/>
  <c r="B28" i="7"/>
  <c r="B26" i="7"/>
  <c r="B25" i="7" s="1"/>
  <c r="E28" i="7"/>
  <c r="E26" i="7"/>
  <c r="E25" i="7" s="1"/>
  <c r="C26" i="7"/>
  <c r="C42" i="7"/>
  <c r="C40" i="7" s="1"/>
  <c r="C84" i="7"/>
  <c r="C9" i="7"/>
  <c r="G82" i="7"/>
  <c r="E81" i="7"/>
  <c r="G81" i="7" s="1"/>
  <c r="F38" i="7"/>
  <c r="F46" i="7"/>
  <c r="F49" i="7"/>
  <c r="B31" i="7"/>
  <c r="B45" i="7"/>
  <c r="G29" i="7"/>
  <c r="E37" i="7"/>
  <c r="F37" i="7" s="1"/>
  <c r="E42" i="7"/>
  <c r="E40" i="7" s="1"/>
  <c r="E45" i="7"/>
  <c r="E48" i="7"/>
  <c r="F11" i="7"/>
  <c r="B34" i="7"/>
  <c r="F35" i="7"/>
  <c r="F67" i="7"/>
  <c r="E66" i="7"/>
  <c r="E72" i="7"/>
  <c r="G73" i="7"/>
  <c r="F81" i="7"/>
  <c r="F14" i="7"/>
  <c r="F17" i="7"/>
  <c r="F29" i="7"/>
  <c r="B72" i="7"/>
  <c r="F82" i="7"/>
  <c r="C111" i="7"/>
  <c r="C110" i="7" s="1"/>
  <c r="C107" i="7"/>
  <c r="G23" i="7"/>
  <c r="F23" i="7"/>
  <c r="E22" i="7"/>
  <c r="F22" i="7" s="1"/>
  <c r="G32" i="7"/>
  <c r="G38" i="7"/>
  <c r="G46" i="7"/>
  <c r="G49" i="7"/>
  <c r="G69" i="7"/>
  <c r="G70" i="7"/>
  <c r="G85" i="7"/>
  <c r="F107" i="7"/>
  <c r="E16" i="7"/>
  <c r="F54" i="7"/>
  <c r="E118" i="7"/>
  <c r="E122" i="7" s="1"/>
  <c r="G54" i="7"/>
  <c r="G14" i="7"/>
  <c r="G17" i="7"/>
  <c r="G20" i="7"/>
  <c r="G35" i="7"/>
  <c r="F52" i="7"/>
  <c r="F69" i="7"/>
  <c r="D69" i="7"/>
  <c r="F70" i="7"/>
  <c r="D90" i="7"/>
  <c r="F94" i="7"/>
  <c r="B90" i="7"/>
  <c r="E93" i="7"/>
  <c r="G94" i="7"/>
  <c r="G11" i="7"/>
  <c r="E13" i="7"/>
  <c r="E19" i="7"/>
  <c r="F20" i="7"/>
  <c r="E34" i="7"/>
  <c r="C66" i="7"/>
  <c r="B93" i="7"/>
  <c r="D111" i="7"/>
  <c r="D107" i="7"/>
  <c r="F108" i="7"/>
  <c r="G67" i="7"/>
  <c r="E114" i="7"/>
  <c r="E110" i="7"/>
  <c r="G108" i="7"/>
  <c r="C29" i="6"/>
  <c r="I130" i="6"/>
  <c r="J130" i="6"/>
  <c r="J135" i="6" s="1"/>
  <c r="K130" i="6"/>
  <c r="L130" i="6"/>
  <c r="L135" i="6" s="1"/>
  <c r="M130" i="6"/>
  <c r="N130" i="6"/>
  <c r="N135" i="6" s="1"/>
  <c r="O130" i="6"/>
  <c r="P130" i="6"/>
  <c r="P135" i="6" s="1"/>
  <c r="Q130" i="6"/>
  <c r="R130" i="6"/>
  <c r="R135" i="6" s="1"/>
  <c r="S130" i="6"/>
  <c r="T130" i="6"/>
  <c r="T135" i="6" s="1"/>
  <c r="U130" i="6"/>
  <c r="V130" i="6"/>
  <c r="V135" i="6" s="1"/>
  <c r="W130" i="6"/>
  <c r="X130" i="6"/>
  <c r="X135" i="6" s="1"/>
  <c r="Y130" i="6"/>
  <c r="Z130" i="6"/>
  <c r="Z135" i="6" s="1"/>
  <c r="AA130" i="6"/>
  <c r="AB130" i="6"/>
  <c r="AB135" i="6" s="1"/>
  <c r="AC130" i="6"/>
  <c r="AD130" i="6"/>
  <c r="AD135" i="6" s="1"/>
  <c r="AE130" i="6"/>
  <c r="I131" i="6"/>
  <c r="K136" i="6"/>
  <c r="M136" i="6"/>
  <c r="O136" i="6"/>
  <c r="P136" i="6"/>
  <c r="Q136" i="6"/>
  <c r="S136" i="6"/>
  <c r="T136" i="6"/>
  <c r="U136" i="6"/>
  <c r="W136" i="6"/>
  <c r="X136" i="6"/>
  <c r="Y136" i="6"/>
  <c r="AA136" i="6"/>
  <c r="AB136" i="6"/>
  <c r="AC136" i="6"/>
  <c r="AE136" i="6"/>
  <c r="H130" i="6"/>
  <c r="H135" i="6" s="1"/>
  <c r="D130" i="6"/>
  <c r="D135" i="6" s="1"/>
  <c r="I123" i="6"/>
  <c r="J123" i="6"/>
  <c r="J127" i="6" s="1"/>
  <c r="K123" i="6"/>
  <c r="L123" i="6"/>
  <c r="L127" i="6" s="1"/>
  <c r="M123" i="6"/>
  <c r="N123" i="6"/>
  <c r="N127" i="6" s="1"/>
  <c r="O123" i="6"/>
  <c r="P123" i="6"/>
  <c r="P127" i="6" s="1"/>
  <c r="Q123" i="6"/>
  <c r="R123" i="6"/>
  <c r="R127" i="6" s="1"/>
  <c r="S123" i="6"/>
  <c r="T123" i="6"/>
  <c r="T127" i="6" s="1"/>
  <c r="U123" i="6"/>
  <c r="V123" i="6"/>
  <c r="V127" i="6" s="1"/>
  <c r="W123" i="6"/>
  <c r="X123" i="6"/>
  <c r="X127" i="6" s="1"/>
  <c r="Y123" i="6"/>
  <c r="Z123" i="6"/>
  <c r="Z127" i="6" s="1"/>
  <c r="AA123" i="6"/>
  <c r="AB123" i="6"/>
  <c r="AB127" i="6" s="1"/>
  <c r="AC123" i="6"/>
  <c r="AD123" i="6"/>
  <c r="AD127" i="6" s="1"/>
  <c r="AE123" i="6"/>
  <c r="I124" i="6"/>
  <c r="I128" i="6" s="1"/>
  <c r="J124" i="6"/>
  <c r="K124" i="6"/>
  <c r="K128" i="6" s="1"/>
  <c r="L124" i="6"/>
  <c r="M124" i="6"/>
  <c r="M128" i="6" s="1"/>
  <c r="N124" i="6"/>
  <c r="O124" i="6"/>
  <c r="O128" i="6" s="1"/>
  <c r="P124" i="6"/>
  <c r="Q124" i="6"/>
  <c r="Q128" i="6" s="1"/>
  <c r="R124" i="6"/>
  <c r="S124" i="6"/>
  <c r="S128" i="6" s="1"/>
  <c r="T124" i="6"/>
  <c r="U124" i="6"/>
  <c r="U128" i="6" s="1"/>
  <c r="V124" i="6"/>
  <c r="W124" i="6"/>
  <c r="W128" i="6" s="1"/>
  <c r="X124" i="6"/>
  <c r="Y124" i="6"/>
  <c r="Y128" i="6" s="1"/>
  <c r="Z124" i="6"/>
  <c r="AA124" i="6"/>
  <c r="AA128" i="6" s="1"/>
  <c r="AB124" i="6"/>
  <c r="AC124" i="6"/>
  <c r="AC128" i="6" s="1"/>
  <c r="AD124" i="6"/>
  <c r="AD128" i="6" s="1"/>
  <c r="AE124" i="6"/>
  <c r="AE128" i="6" s="1"/>
  <c r="H124" i="6"/>
  <c r="H128" i="6" s="1"/>
  <c r="H123" i="6"/>
  <c r="H131" i="6" s="1"/>
  <c r="H136" i="6" s="1"/>
  <c r="H119" i="6"/>
  <c r="B120" i="6"/>
  <c r="B119" i="6" s="1"/>
  <c r="D123" i="6"/>
  <c r="D127" i="6" s="1"/>
  <c r="C96" i="6"/>
  <c r="C72" i="6"/>
  <c r="D72" i="6"/>
  <c r="D68" i="6"/>
  <c r="D66" i="6" s="1"/>
  <c r="E66" i="6" s="1"/>
  <c r="H68" i="6"/>
  <c r="H66" i="6" s="1"/>
  <c r="C43" i="6"/>
  <c r="C32" i="6"/>
  <c r="H60" i="6"/>
  <c r="C38" i="6"/>
  <c r="C37" i="6" s="1"/>
  <c r="H65" i="6" l="1"/>
  <c r="H99" i="6"/>
  <c r="H98" i="6" s="1"/>
  <c r="H102" i="6"/>
  <c r="H101" i="6" s="1"/>
  <c r="I136" i="6"/>
  <c r="E131" i="6"/>
  <c r="C78" i="6"/>
  <c r="C71" i="6"/>
  <c r="F66" i="7"/>
  <c r="E100" i="7"/>
  <c r="G84" i="7"/>
  <c r="G64" i="7"/>
  <c r="AB122" i="6"/>
  <c r="X122" i="6"/>
  <c r="T122" i="6"/>
  <c r="P122" i="6"/>
  <c r="L122" i="6"/>
  <c r="G107" i="7"/>
  <c r="G22" i="7"/>
  <c r="Z122" i="6"/>
  <c r="Z128" i="6"/>
  <c r="Z126" i="6" s="1"/>
  <c r="V122" i="6"/>
  <c r="V128" i="6"/>
  <c r="V126" i="6" s="1"/>
  <c r="R122" i="6"/>
  <c r="R128" i="6"/>
  <c r="R126" i="6" s="1"/>
  <c r="N122" i="6"/>
  <c r="N128" i="6"/>
  <c r="N126" i="6" s="1"/>
  <c r="J122" i="6"/>
  <c r="J128" i="6"/>
  <c r="J126" i="6" s="1"/>
  <c r="AE122" i="6"/>
  <c r="F28" i="7"/>
  <c r="G28" i="7"/>
  <c r="X115" i="7"/>
  <c r="X121" i="7"/>
  <c r="X119" i="7" s="1"/>
  <c r="H115" i="7"/>
  <c r="H121" i="7"/>
  <c r="H119" i="7" s="1"/>
  <c r="D51" i="7"/>
  <c r="D58" i="7"/>
  <c r="D56" i="7" s="1"/>
  <c r="B100" i="7"/>
  <c r="B63" i="7"/>
  <c r="F63" i="7" s="1"/>
  <c r="B53" i="7"/>
  <c r="F53" i="7" s="1"/>
  <c r="C53" i="7"/>
  <c r="E53" i="7"/>
  <c r="F45" i="7"/>
  <c r="G45" i="7"/>
  <c r="C114" i="7"/>
  <c r="C113" i="7" s="1"/>
  <c r="G37" i="7"/>
  <c r="G40" i="7"/>
  <c r="F42" i="7"/>
  <c r="G66" i="7"/>
  <c r="F64" i="7"/>
  <c r="G26" i="7"/>
  <c r="F16" i="7"/>
  <c r="G111" i="7"/>
  <c r="F40" i="7"/>
  <c r="G16" i="7"/>
  <c r="G42" i="7"/>
  <c r="F26" i="7"/>
  <c r="G72" i="7"/>
  <c r="F72" i="7"/>
  <c r="G110" i="7"/>
  <c r="E113" i="7"/>
  <c r="D114" i="7"/>
  <c r="D113" i="7" s="1"/>
  <c r="D110" i="7"/>
  <c r="E103" i="7"/>
  <c r="E99" i="7"/>
  <c r="G34" i="7"/>
  <c r="F34" i="7"/>
  <c r="G19" i="7"/>
  <c r="F19" i="7"/>
  <c r="G91" i="7"/>
  <c r="E90" i="7"/>
  <c r="G118" i="7"/>
  <c r="F118" i="7"/>
  <c r="F110" i="7"/>
  <c r="B114" i="7"/>
  <c r="B113" i="7" s="1"/>
  <c r="F111" i="7"/>
  <c r="C100" i="7"/>
  <c r="G63" i="7"/>
  <c r="G52" i="7"/>
  <c r="G13" i="7"/>
  <c r="F13" i="7"/>
  <c r="G10" i="7"/>
  <c r="F10" i="7"/>
  <c r="G93" i="7"/>
  <c r="F93" i="7"/>
  <c r="F91" i="7"/>
  <c r="D100" i="7"/>
  <c r="D117" i="7" s="1"/>
  <c r="D121" i="7" s="1"/>
  <c r="D119" i="7" s="1"/>
  <c r="C68" i="6"/>
  <c r="C66" i="6" s="1"/>
  <c r="D71" i="6"/>
  <c r="AC122" i="6"/>
  <c r="AC127" i="6"/>
  <c r="AC126" i="6" s="1"/>
  <c r="AA122" i="6"/>
  <c r="AA127" i="6"/>
  <c r="AA126" i="6" s="1"/>
  <c r="Y122" i="6"/>
  <c r="Y127" i="6"/>
  <c r="Y126" i="6" s="1"/>
  <c r="W122" i="6"/>
  <c r="W127" i="6"/>
  <c r="W126" i="6" s="1"/>
  <c r="U122" i="6"/>
  <c r="U127" i="6"/>
  <c r="U126" i="6" s="1"/>
  <c r="S122" i="6"/>
  <c r="S127" i="6"/>
  <c r="S126" i="6" s="1"/>
  <c r="Q122" i="6"/>
  <c r="Q127" i="6"/>
  <c r="Q126" i="6" s="1"/>
  <c r="O122" i="6"/>
  <c r="O127" i="6"/>
  <c r="O126" i="6" s="1"/>
  <c r="M122" i="6"/>
  <c r="M127" i="6"/>
  <c r="M126" i="6" s="1"/>
  <c r="K122" i="6"/>
  <c r="K127" i="6"/>
  <c r="K126" i="6" s="1"/>
  <c r="I122" i="6"/>
  <c r="I127" i="6"/>
  <c r="I126" i="6" s="1"/>
  <c r="AB128" i="6"/>
  <c r="AB126" i="6" s="1"/>
  <c r="X128" i="6"/>
  <c r="X126" i="6" s="1"/>
  <c r="T128" i="6"/>
  <c r="T126" i="6" s="1"/>
  <c r="P128" i="6"/>
  <c r="P126" i="6" s="1"/>
  <c r="L128" i="6"/>
  <c r="L126" i="6" s="1"/>
  <c r="AE127" i="6"/>
  <c r="AE126" i="6" s="1"/>
  <c r="Z136" i="6"/>
  <c r="V136" i="6"/>
  <c r="R136" i="6"/>
  <c r="N136" i="6"/>
  <c r="L136" i="6"/>
  <c r="J136" i="6"/>
  <c r="AE135" i="6"/>
  <c r="AC135" i="6"/>
  <c r="AA135" i="6"/>
  <c r="Y135" i="6"/>
  <c r="W135" i="6"/>
  <c r="U135" i="6"/>
  <c r="S135" i="6"/>
  <c r="Q135" i="6"/>
  <c r="O135" i="6"/>
  <c r="M135" i="6"/>
  <c r="K135" i="6"/>
  <c r="I135" i="6"/>
  <c r="H122" i="6"/>
  <c r="H127" i="6"/>
  <c r="H126" i="6" s="1"/>
  <c r="C135" i="6"/>
  <c r="AD126" i="6"/>
  <c r="B123" i="6"/>
  <c r="B127" i="6" s="1"/>
  <c r="AD122" i="6"/>
  <c r="AD136" i="6"/>
  <c r="J59" i="6"/>
  <c r="L59" i="6"/>
  <c r="N59" i="6"/>
  <c r="P59" i="6"/>
  <c r="R59" i="6"/>
  <c r="T59" i="6"/>
  <c r="V59" i="6"/>
  <c r="X59" i="6"/>
  <c r="Z59" i="6"/>
  <c r="AB59" i="6"/>
  <c r="AD59" i="6"/>
  <c r="I60" i="6"/>
  <c r="K60" i="6"/>
  <c r="M60" i="6"/>
  <c r="O60" i="6"/>
  <c r="Q60" i="6"/>
  <c r="S60" i="6"/>
  <c r="U60" i="6"/>
  <c r="W60" i="6"/>
  <c r="Y60" i="6"/>
  <c r="AA60" i="6"/>
  <c r="AC60" i="6"/>
  <c r="AE60" i="6"/>
  <c r="V60" i="6"/>
  <c r="X60" i="6"/>
  <c r="AB60" i="6"/>
  <c r="AD60" i="6"/>
  <c r="C53" i="6"/>
  <c r="C59" i="6" s="1"/>
  <c r="D53" i="6"/>
  <c r="D59" i="6" s="1"/>
  <c r="C60" i="6"/>
  <c r="I18" i="6"/>
  <c r="J18" i="6"/>
  <c r="K18" i="6"/>
  <c r="L18" i="6"/>
  <c r="M18" i="6"/>
  <c r="N18" i="6"/>
  <c r="O18" i="6"/>
  <c r="P18" i="6"/>
  <c r="Q18" i="6"/>
  <c r="R18" i="6"/>
  <c r="S18" i="6"/>
  <c r="T18" i="6"/>
  <c r="U18" i="6"/>
  <c r="V18" i="6"/>
  <c r="W18" i="6"/>
  <c r="X18" i="6"/>
  <c r="Y18" i="6"/>
  <c r="AA18" i="6"/>
  <c r="AB18" i="6"/>
  <c r="AC18" i="6"/>
  <c r="AD18" i="6"/>
  <c r="AE18" i="6"/>
  <c r="H18" i="6"/>
  <c r="C18" i="6"/>
  <c r="I41" i="6"/>
  <c r="I40" i="6" s="1"/>
  <c r="J41" i="6"/>
  <c r="J40" i="6" s="1"/>
  <c r="K41" i="6"/>
  <c r="K40" i="6" s="1"/>
  <c r="L41" i="6"/>
  <c r="L40" i="6" s="1"/>
  <c r="M41" i="6"/>
  <c r="M40" i="6" s="1"/>
  <c r="N41" i="6"/>
  <c r="N40" i="6" s="1"/>
  <c r="O41" i="6"/>
  <c r="O40" i="6" s="1"/>
  <c r="P41" i="6"/>
  <c r="P40" i="6" s="1"/>
  <c r="Q41" i="6"/>
  <c r="Q40" i="6" s="1"/>
  <c r="R41" i="6"/>
  <c r="R40" i="6" s="1"/>
  <c r="S41" i="6"/>
  <c r="S40" i="6" s="1"/>
  <c r="T41" i="6"/>
  <c r="T40" i="6" s="1"/>
  <c r="U41" i="6"/>
  <c r="U40" i="6" s="1"/>
  <c r="V41" i="6"/>
  <c r="V40" i="6" s="1"/>
  <c r="W41" i="6"/>
  <c r="W40" i="6" s="1"/>
  <c r="X41" i="6"/>
  <c r="X40" i="6" s="1"/>
  <c r="Y41" i="6"/>
  <c r="Y40" i="6" s="1"/>
  <c r="Z41" i="6"/>
  <c r="Z40" i="6" s="1"/>
  <c r="AA41" i="6"/>
  <c r="AA40" i="6" s="1"/>
  <c r="AB41" i="6"/>
  <c r="AB40" i="6" s="1"/>
  <c r="AC41" i="6"/>
  <c r="AC40" i="6" s="1"/>
  <c r="AD41" i="6"/>
  <c r="AD40" i="6" s="1"/>
  <c r="AE41" i="6"/>
  <c r="AE40" i="6" s="1"/>
  <c r="H41" i="6"/>
  <c r="H40" i="6" s="1"/>
  <c r="E34" i="6"/>
  <c r="D34" i="6"/>
  <c r="I26" i="6"/>
  <c r="I55" i="6" s="1"/>
  <c r="I132" i="6" s="1"/>
  <c r="J26" i="6"/>
  <c r="K26" i="6"/>
  <c r="L26" i="6"/>
  <c r="M26" i="6"/>
  <c r="M55" i="6" s="1"/>
  <c r="M132" i="6" s="1"/>
  <c r="N26" i="6"/>
  <c r="N55" i="6" s="1"/>
  <c r="O26" i="6"/>
  <c r="O55" i="6" s="1"/>
  <c r="P26" i="6"/>
  <c r="Q26" i="6"/>
  <c r="Q55" i="6" s="1"/>
  <c r="R26" i="6"/>
  <c r="S26" i="6"/>
  <c r="T26" i="6"/>
  <c r="U26" i="6"/>
  <c r="U55" i="6" s="1"/>
  <c r="V26" i="6"/>
  <c r="V55" i="6" s="1"/>
  <c r="W26" i="6"/>
  <c r="W55" i="6" s="1"/>
  <c r="X26" i="6"/>
  <c r="Y26" i="6"/>
  <c r="Y55" i="6" s="1"/>
  <c r="Z26" i="6"/>
  <c r="AA26" i="6"/>
  <c r="AB26" i="6"/>
  <c r="AC26" i="6"/>
  <c r="AC55" i="6" s="1"/>
  <c r="AD26" i="6"/>
  <c r="AD55" i="6" s="1"/>
  <c r="AE26" i="6"/>
  <c r="H26" i="6"/>
  <c r="D26" i="6"/>
  <c r="B11" i="6"/>
  <c r="I119" i="6"/>
  <c r="J119" i="6"/>
  <c r="K119" i="6"/>
  <c r="L119" i="6"/>
  <c r="M119" i="6"/>
  <c r="N119" i="6"/>
  <c r="O119" i="6"/>
  <c r="P119" i="6"/>
  <c r="Q119" i="6"/>
  <c r="R119" i="6"/>
  <c r="S119" i="6"/>
  <c r="T119" i="6"/>
  <c r="U119" i="6"/>
  <c r="V119" i="6"/>
  <c r="W119" i="6"/>
  <c r="X119" i="6"/>
  <c r="Y119" i="6"/>
  <c r="Z119" i="6"/>
  <c r="AA119" i="6"/>
  <c r="AB119" i="6"/>
  <c r="AC119" i="6"/>
  <c r="AD119" i="6"/>
  <c r="AE119" i="6"/>
  <c r="I116" i="6"/>
  <c r="J116" i="6"/>
  <c r="K116" i="6"/>
  <c r="L116" i="6"/>
  <c r="M116" i="6"/>
  <c r="N116" i="6"/>
  <c r="O116" i="6"/>
  <c r="P116" i="6"/>
  <c r="Q116" i="6"/>
  <c r="R116" i="6"/>
  <c r="S116" i="6"/>
  <c r="T116" i="6"/>
  <c r="U116" i="6"/>
  <c r="V116" i="6"/>
  <c r="W116" i="6"/>
  <c r="X116" i="6"/>
  <c r="Y116" i="6"/>
  <c r="Z116" i="6"/>
  <c r="AA116" i="6"/>
  <c r="AB116" i="6"/>
  <c r="AC116" i="6"/>
  <c r="AD116" i="6"/>
  <c r="AE116" i="6"/>
  <c r="H116" i="6"/>
  <c r="I95" i="6"/>
  <c r="J95" i="6"/>
  <c r="K95" i="6"/>
  <c r="L95" i="6"/>
  <c r="M95" i="6"/>
  <c r="N95" i="6"/>
  <c r="O95" i="6"/>
  <c r="P95" i="6"/>
  <c r="Q95" i="6"/>
  <c r="R95" i="6"/>
  <c r="S95" i="6"/>
  <c r="T95" i="6"/>
  <c r="U95" i="6"/>
  <c r="V95" i="6"/>
  <c r="W95" i="6"/>
  <c r="X95" i="6"/>
  <c r="Y95" i="6"/>
  <c r="Z95" i="6"/>
  <c r="AA95" i="6"/>
  <c r="AB95" i="6"/>
  <c r="AC95" i="6"/>
  <c r="AD95" i="6"/>
  <c r="AE95" i="6"/>
  <c r="H95" i="6"/>
  <c r="I92" i="6"/>
  <c r="J92" i="6"/>
  <c r="K92" i="6"/>
  <c r="L92" i="6"/>
  <c r="M92" i="6"/>
  <c r="N92" i="6"/>
  <c r="O92" i="6"/>
  <c r="P92" i="6"/>
  <c r="Q92" i="6"/>
  <c r="R92" i="6"/>
  <c r="S92" i="6"/>
  <c r="T92" i="6"/>
  <c r="U92" i="6"/>
  <c r="V92" i="6"/>
  <c r="W92" i="6"/>
  <c r="X92" i="6"/>
  <c r="Y92" i="6"/>
  <c r="Z92" i="6"/>
  <c r="AA92" i="6"/>
  <c r="AB92" i="6"/>
  <c r="AC92" i="6"/>
  <c r="AD92" i="6"/>
  <c r="AE92" i="6"/>
  <c r="H92" i="6"/>
  <c r="I89" i="6"/>
  <c r="J89" i="6"/>
  <c r="K89" i="6"/>
  <c r="L89" i="6"/>
  <c r="M89" i="6"/>
  <c r="N89" i="6"/>
  <c r="O89" i="6"/>
  <c r="P89" i="6"/>
  <c r="Q89" i="6"/>
  <c r="R89" i="6"/>
  <c r="S89" i="6"/>
  <c r="T89" i="6"/>
  <c r="U89" i="6"/>
  <c r="V89" i="6"/>
  <c r="W89" i="6"/>
  <c r="X89" i="6"/>
  <c r="Y89" i="6"/>
  <c r="Z89" i="6"/>
  <c r="AA89" i="6"/>
  <c r="AB89" i="6"/>
  <c r="AC89" i="6"/>
  <c r="AD89" i="6"/>
  <c r="AE89" i="6"/>
  <c r="H89" i="6"/>
  <c r="I83" i="6"/>
  <c r="J83" i="6"/>
  <c r="K83" i="6"/>
  <c r="L83" i="6"/>
  <c r="M83" i="6"/>
  <c r="N83" i="6"/>
  <c r="O83" i="6"/>
  <c r="P83" i="6"/>
  <c r="Q83" i="6"/>
  <c r="R83" i="6"/>
  <c r="S83" i="6"/>
  <c r="T83" i="6"/>
  <c r="U83" i="6"/>
  <c r="V83" i="6"/>
  <c r="W83" i="6"/>
  <c r="X83" i="6"/>
  <c r="Y83" i="6"/>
  <c r="Z83" i="6"/>
  <c r="AA83" i="6"/>
  <c r="AB83" i="6"/>
  <c r="AC83" i="6"/>
  <c r="AD83" i="6"/>
  <c r="AE83" i="6"/>
  <c r="H83" i="6"/>
  <c r="F81" i="6"/>
  <c r="I74" i="6"/>
  <c r="J74" i="6"/>
  <c r="K74" i="6"/>
  <c r="L74" i="6"/>
  <c r="M74" i="6"/>
  <c r="N74" i="6"/>
  <c r="O74" i="6"/>
  <c r="P74" i="6"/>
  <c r="Q74" i="6"/>
  <c r="R74" i="6"/>
  <c r="S74" i="6"/>
  <c r="T74" i="6"/>
  <c r="U74" i="6"/>
  <c r="W74" i="6"/>
  <c r="X74" i="6"/>
  <c r="Y74" i="6"/>
  <c r="Z74" i="6"/>
  <c r="AA74" i="6"/>
  <c r="AB74" i="6"/>
  <c r="AC74" i="6"/>
  <c r="AD74" i="6"/>
  <c r="AE74" i="6"/>
  <c r="H74" i="6"/>
  <c r="I68" i="6"/>
  <c r="I66" i="6" s="1"/>
  <c r="J68" i="6"/>
  <c r="J66" i="6" s="1"/>
  <c r="J65" i="6" s="1"/>
  <c r="K68" i="6"/>
  <c r="K66" i="6" s="1"/>
  <c r="L68" i="6"/>
  <c r="L66" i="6" s="1"/>
  <c r="L65" i="6" s="1"/>
  <c r="M66" i="6"/>
  <c r="M65" i="6" s="1"/>
  <c r="N66" i="6"/>
  <c r="O66" i="6"/>
  <c r="P66" i="6"/>
  <c r="Q66" i="6"/>
  <c r="R66" i="6"/>
  <c r="S66" i="6"/>
  <c r="T66" i="6"/>
  <c r="U66" i="6"/>
  <c r="V66" i="6"/>
  <c r="W66" i="6"/>
  <c r="X66" i="6"/>
  <c r="Y66" i="6"/>
  <c r="Z66" i="6"/>
  <c r="AA66" i="6"/>
  <c r="AB66" i="6"/>
  <c r="AC66" i="6"/>
  <c r="AD66" i="6"/>
  <c r="AE66" i="6"/>
  <c r="I46" i="6"/>
  <c r="J46" i="6"/>
  <c r="K46" i="6"/>
  <c r="L46" i="6"/>
  <c r="M46" i="6"/>
  <c r="N46" i="6"/>
  <c r="O46" i="6"/>
  <c r="P46" i="6"/>
  <c r="Q46" i="6"/>
  <c r="R46" i="6"/>
  <c r="S46" i="6"/>
  <c r="T46" i="6"/>
  <c r="U46" i="6"/>
  <c r="V46" i="6"/>
  <c r="W46" i="6"/>
  <c r="X46" i="6"/>
  <c r="Y46" i="6"/>
  <c r="Z46" i="6"/>
  <c r="AA46" i="6"/>
  <c r="AB46" i="6"/>
  <c r="AC46" i="6"/>
  <c r="AD46" i="6"/>
  <c r="AE46" i="6"/>
  <c r="H46" i="6"/>
  <c r="B47" i="6"/>
  <c r="B46" i="6" s="1"/>
  <c r="C46" i="6"/>
  <c r="I43" i="6"/>
  <c r="J43" i="6"/>
  <c r="K43" i="6"/>
  <c r="L43" i="6"/>
  <c r="M43" i="6"/>
  <c r="N43" i="6"/>
  <c r="O43" i="6"/>
  <c r="P43" i="6"/>
  <c r="Q43" i="6"/>
  <c r="R43" i="6"/>
  <c r="S43" i="6"/>
  <c r="T43" i="6"/>
  <c r="U43" i="6"/>
  <c r="V43" i="6"/>
  <c r="W43" i="6"/>
  <c r="X43" i="6"/>
  <c r="Y43" i="6"/>
  <c r="Z43" i="6"/>
  <c r="AA43" i="6"/>
  <c r="AB43" i="6"/>
  <c r="AC43" i="6"/>
  <c r="AD43" i="6"/>
  <c r="AE43" i="6"/>
  <c r="H43" i="6"/>
  <c r="D37" i="6"/>
  <c r="B44" i="6"/>
  <c r="I37" i="6"/>
  <c r="J37" i="6"/>
  <c r="K37" i="6"/>
  <c r="L37" i="6"/>
  <c r="M37" i="6"/>
  <c r="N37" i="6"/>
  <c r="O37" i="6"/>
  <c r="P37" i="6"/>
  <c r="Q37" i="6"/>
  <c r="R37" i="6"/>
  <c r="S37" i="6"/>
  <c r="T37" i="6"/>
  <c r="U37" i="6"/>
  <c r="V37" i="6"/>
  <c r="W37" i="6"/>
  <c r="X37" i="6"/>
  <c r="Y37" i="6"/>
  <c r="Z37" i="6"/>
  <c r="AA37" i="6"/>
  <c r="AB37" i="6"/>
  <c r="AC37" i="6"/>
  <c r="AD37" i="6"/>
  <c r="AE37" i="6"/>
  <c r="H37" i="6"/>
  <c r="F38" i="6"/>
  <c r="E37" i="6"/>
  <c r="I31" i="6"/>
  <c r="J31" i="6"/>
  <c r="K31" i="6"/>
  <c r="L31" i="6"/>
  <c r="M31" i="6"/>
  <c r="N31" i="6"/>
  <c r="O31" i="6"/>
  <c r="P31" i="6"/>
  <c r="Q31" i="6"/>
  <c r="R31" i="6"/>
  <c r="S31" i="6"/>
  <c r="T31" i="6"/>
  <c r="U31" i="6"/>
  <c r="V31" i="6"/>
  <c r="W31" i="6"/>
  <c r="X31" i="6"/>
  <c r="Y31" i="6"/>
  <c r="Z31" i="6"/>
  <c r="AA31" i="6"/>
  <c r="AB31" i="6"/>
  <c r="AC31" i="6"/>
  <c r="AD31" i="6"/>
  <c r="AE31" i="6"/>
  <c r="H31" i="6"/>
  <c r="C31" i="6"/>
  <c r="B32" i="6"/>
  <c r="B31" i="6" s="1"/>
  <c r="C28" i="6"/>
  <c r="B29" i="6"/>
  <c r="B28" i="6" s="1"/>
  <c r="H28" i="6"/>
  <c r="I28" i="6"/>
  <c r="J28" i="6"/>
  <c r="K28" i="6"/>
  <c r="L28" i="6"/>
  <c r="M28" i="6"/>
  <c r="N28" i="6"/>
  <c r="O28" i="6"/>
  <c r="P28" i="6"/>
  <c r="Q28" i="6"/>
  <c r="R28" i="6"/>
  <c r="S28" i="6"/>
  <c r="T28" i="6"/>
  <c r="U28" i="6"/>
  <c r="V28" i="6"/>
  <c r="W28" i="6"/>
  <c r="X28" i="6"/>
  <c r="Y28" i="6"/>
  <c r="Z28" i="6"/>
  <c r="AA28" i="6"/>
  <c r="AB28" i="6"/>
  <c r="AC28" i="6"/>
  <c r="AD28" i="6"/>
  <c r="I22" i="6"/>
  <c r="J22" i="6"/>
  <c r="K22" i="6"/>
  <c r="L22" i="6"/>
  <c r="M22" i="6"/>
  <c r="N22" i="6"/>
  <c r="O22" i="6"/>
  <c r="P22" i="6"/>
  <c r="Q22" i="6"/>
  <c r="R22" i="6"/>
  <c r="S22" i="6"/>
  <c r="T22" i="6"/>
  <c r="U22" i="6"/>
  <c r="V22" i="6"/>
  <c r="W22" i="6"/>
  <c r="X22" i="6"/>
  <c r="Y22" i="6"/>
  <c r="Z22" i="6"/>
  <c r="AA22" i="6"/>
  <c r="AB22" i="6"/>
  <c r="AC22" i="6"/>
  <c r="AD22" i="6"/>
  <c r="AE22" i="6"/>
  <c r="H22" i="6"/>
  <c r="C22" i="6"/>
  <c r="B23" i="6"/>
  <c r="B19" i="6"/>
  <c r="I10" i="6"/>
  <c r="J10" i="6"/>
  <c r="K10" i="6"/>
  <c r="L10" i="6"/>
  <c r="M10" i="6"/>
  <c r="N10" i="6"/>
  <c r="O10" i="6"/>
  <c r="P10" i="6"/>
  <c r="Q10" i="6"/>
  <c r="R10" i="6"/>
  <c r="S10" i="6"/>
  <c r="T10" i="6"/>
  <c r="U10" i="6"/>
  <c r="V10" i="6"/>
  <c r="W10" i="6"/>
  <c r="X10" i="6"/>
  <c r="Y10" i="6"/>
  <c r="Z10" i="6"/>
  <c r="AA10" i="6"/>
  <c r="AB10" i="6"/>
  <c r="AC10" i="6"/>
  <c r="AD10" i="6"/>
  <c r="AE10" i="6"/>
  <c r="H10" i="6"/>
  <c r="I15" i="6"/>
  <c r="J15" i="6"/>
  <c r="K15" i="6"/>
  <c r="L15" i="6"/>
  <c r="M15" i="6"/>
  <c r="N15" i="6"/>
  <c r="O15" i="6"/>
  <c r="P15" i="6"/>
  <c r="Q15" i="6"/>
  <c r="R15" i="6"/>
  <c r="S15" i="6"/>
  <c r="T15" i="6"/>
  <c r="U15" i="6"/>
  <c r="V15" i="6"/>
  <c r="W15" i="6"/>
  <c r="X15" i="6"/>
  <c r="Y15" i="6"/>
  <c r="Z15" i="6"/>
  <c r="AA15" i="6"/>
  <c r="AB15" i="6"/>
  <c r="AC15" i="6"/>
  <c r="AD15" i="6"/>
  <c r="AE15" i="6"/>
  <c r="H15" i="6"/>
  <c r="C15" i="6"/>
  <c r="B16" i="6"/>
  <c r="E123" i="6"/>
  <c r="D119" i="6"/>
  <c r="C95" i="6"/>
  <c r="B96" i="6"/>
  <c r="F96" i="6" s="1"/>
  <c r="D95" i="6"/>
  <c r="E92" i="6"/>
  <c r="C92" i="6"/>
  <c r="B93" i="6"/>
  <c r="F93" i="6" s="1"/>
  <c r="D92" i="6"/>
  <c r="E89" i="6"/>
  <c r="B90" i="6"/>
  <c r="F90" i="6" s="1"/>
  <c r="D89" i="6"/>
  <c r="C89" i="6"/>
  <c r="E86" i="6"/>
  <c r="B87" i="6"/>
  <c r="B86" i="6" s="1"/>
  <c r="D86" i="6"/>
  <c r="C86" i="6"/>
  <c r="E83" i="6"/>
  <c r="B84" i="6"/>
  <c r="F84" i="6" s="1"/>
  <c r="D83" i="6"/>
  <c r="C83" i="6"/>
  <c r="R36" i="5"/>
  <c r="I69" i="5"/>
  <c r="J69" i="5"/>
  <c r="K69" i="5"/>
  <c r="L69" i="5"/>
  <c r="M69" i="5"/>
  <c r="N69" i="5"/>
  <c r="O69" i="5"/>
  <c r="P69" i="5"/>
  <c r="Q69" i="5"/>
  <c r="R69" i="5"/>
  <c r="S69" i="5"/>
  <c r="T69" i="5"/>
  <c r="U69" i="5"/>
  <c r="V69" i="5"/>
  <c r="W69" i="5"/>
  <c r="X69" i="5"/>
  <c r="Y69" i="5"/>
  <c r="Z69" i="5"/>
  <c r="AA69" i="5"/>
  <c r="AB69" i="5"/>
  <c r="AC69" i="5"/>
  <c r="AD69" i="5"/>
  <c r="AE69" i="5"/>
  <c r="H69" i="5"/>
  <c r="I64" i="5"/>
  <c r="J64" i="5"/>
  <c r="K64" i="5"/>
  <c r="L64" i="5"/>
  <c r="M64" i="5"/>
  <c r="N64" i="5"/>
  <c r="O64" i="5"/>
  <c r="P64" i="5"/>
  <c r="Q64" i="5"/>
  <c r="R64" i="5"/>
  <c r="S64" i="5"/>
  <c r="T64" i="5"/>
  <c r="U64" i="5"/>
  <c r="V64" i="5"/>
  <c r="W64" i="5"/>
  <c r="X64" i="5"/>
  <c r="Y64" i="5"/>
  <c r="Z64" i="5"/>
  <c r="AA64" i="5"/>
  <c r="AB64" i="5"/>
  <c r="AC64" i="5"/>
  <c r="AD64" i="5"/>
  <c r="AE64" i="5"/>
  <c r="H64" i="5"/>
  <c r="H67" i="5" s="1"/>
  <c r="H66" i="5" s="1"/>
  <c r="I60" i="5"/>
  <c r="J60" i="5"/>
  <c r="K60" i="5"/>
  <c r="L60" i="5"/>
  <c r="M60" i="5"/>
  <c r="N60" i="5"/>
  <c r="O60" i="5"/>
  <c r="P60" i="5"/>
  <c r="Q60" i="5"/>
  <c r="R60" i="5"/>
  <c r="S60" i="5"/>
  <c r="T60" i="5"/>
  <c r="U60" i="5"/>
  <c r="V60" i="5"/>
  <c r="W60" i="5"/>
  <c r="X60" i="5"/>
  <c r="Y60" i="5"/>
  <c r="Z60" i="5"/>
  <c r="AA60" i="5"/>
  <c r="AB60" i="5"/>
  <c r="AC60" i="5"/>
  <c r="AD60" i="5"/>
  <c r="AE60" i="5"/>
  <c r="H60" i="5"/>
  <c r="B61" i="5"/>
  <c r="H57" i="5"/>
  <c r="H56" i="5" s="1"/>
  <c r="I50" i="5"/>
  <c r="J50" i="5"/>
  <c r="K50" i="5"/>
  <c r="L50" i="5"/>
  <c r="M50" i="5"/>
  <c r="N50" i="5"/>
  <c r="O50" i="5"/>
  <c r="P50" i="5"/>
  <c r="Q50" i="5"/>
  <c r="R50" i="5"/>
  <c r="S50" i="5"/>
  <c r="T50" i="5"/>
  <c r="U50" i="5"/>
  <c r="V50" i="5"/>
  <c r="W50" i="5"/>
  <c r="X50" i="5"/>
  <c r="Y50" i="5"/>
  <c r="Z50" i="5"/>
  <c r="AA50" i="5"/>
  <c r="AB50" i="5"/>
  <c r="AC50" i="5"/>
  <c r="AD50" i="5"/>
  <c r="AE50" i="5"/>
  <c r="H50" i="5"/>
  <c r="B51" i="5"/>
  <c r="I39" i="5"/>
  <c r="J39" i="5"/>
  <c r="K39" i="5"/>
  <c r="L39" i="5"/>
  <c r="M39" i="5"/>
  <c r="N39" i="5"/>
  <c r="O39" i="5"/>
  <c r="P39" i="5"/>
  <c r="Q39" i="5"/>
  <c r="R39" i="5"/>
  <c r="S39" i="5"/>
  <c r="T39" i="5"/>
  <c r="U39" i="5"/>
  <c r="V39" i="5"/>
  <c r="W39" i="5"/>
  <c r="X39" i="5"/>
  <c r="Y39" i="5"/>
  <c r="Z39" i="5"/>
  <c r="AA39" i="5"/>
  <c r="AB39" i="5"/>
  <c r="AC39" i="5"/>
  <c r="AD39" i="5"/>
  <c r="AE39" i="5"/>
  <c r="H39" i="5"/>
  <c r="I36" i="5"/>
  <c r="J36" i="5"/>
  <c r="K36" i="5"/>
  <c r="L36" i="5"/>
  <c r="M36" i="5"/>
  <c r="N36" i="5"/>
  <c r="O36" i="5"/>
  <c r="P36" i="5"/>
  <c r="Q36" i="5"/>
  <c r="S36" i="5"/>
  <c r="T36" i="5"/>
  <c r="U36" i="5"/>
  <c r="V36" i="5"/>
  <c r="W36" i="5"/>
  <c r="X36" i="5"/>
  <c r="Y36" i="5"/>
  <c r="Z36" i="5"/>
  <c r="AA36" i="5"/>
  <c r="AB36" i="5"/>
  <c r="AC36" i="5"/>
  <c r="AD36" i="5"/>
  <c r="AE36" i="5"/>
  <c r="H36" i="5"/>
  <c r="I30" i="5"/>
  <c r="J30" i="5"/>
  <c r="K30" i="5"/>
  <c r="L30" i="5"/>
  <c r="M30" i="5"/>
  <c r="N30" i="5"/>
  <c r="O30" i="5"/>
  <c r="P30" i="5"/>
  <c r="Q30" i="5"/>
  <c r="R30" i="5"/>
  <c r="S30" i="5"/>
  <c r="T30" i="5"/>
  <c r="U30" i="5"/>
  <c r="V30" i="5"/>
  <c r="W30" i="5"/>
  <c r="X30" i="5"/>
  <c r="Y30" i="5"/>
  <c r="Z30" i="5"/>
  <c r="AA30" i="5"/>
  <c r="AB30" i="5"/>
  <c r="AC30" i="5"/>
  <c r="AD30" i="5"/>
  <c r="AE30" i="5"/>
  <c r="H30" i="5"/>
  <c r="B31" i="5"/>
  <c r="B30" i="5" s="1"/>
  <c r="J28" i="5"/>
  <c r="K28" i="5"/>
  <c r="L28" i="5"/>
  <c r="M28" i="5"/>
  <c r="N28" i="5"/>
  <c r="O28" i="5"/>
  <c r="P28" i="5"/>
  <c r="Q28" i="5"/>
  <c r="R28" i="5"/>
  <c r="S28" i="5"/>
  <c r="T28" i="5"/>
  <c r="U28" i="5"/>
  <c r="V28" i="5"/>
  <c r="W28" i="5"/>
  <c r="X28" i="5"/>
  <c r="Y28" i="5"/>
  <c r="Z28" i="5"/>
  <c r="AA28" i="5"/>
  <c r="AB28" i="5"/>
  <c r="AC28" i="5"/>
  <c r="AD28" i="5"/>
  <c r="AE28" i="5"/>
  <c r="H28" i="5"/>
  <c r="I14" i="5"/>
  <c r="J14" i="5"/>
  <c r="K14" i="5"/>
  <c r="L14" i="5"/>
  <c r="M14" i="5"/>
  <c r="N14" i="5"/>
  <c r="O14" i="5"/>
  <c r="P14" i="5"/>
  <c r="Q14" i="5"/>
  <c r="R14" i="5"/>
  <c r="S14" i="5"/>
  <c r="T14" i="5"/>
  <c r="U14" i="5"/>
  <c r="V14" i="5"/>
  <c r="W14" i="5"/>
  <c r="X14" i="5"/>
  <c r="Y14" i="5"/>
  <c r="Z14" i="5"/>
  <c r="AA14" i="5"/>
  <c r="AB14" i="5"/>
  <c r="AC14" i="5"/>
  <c r="AD14" i="5"/>
  <c r="AE14" i="5"/>
  <c r="H14" i="5"/>
  <c r="H17" i="5" s="1"/>
  <c r="H16" i="5" s="1"/>
  <c r="E34" i="5"/>
  <c r="E33" i="5" s="1"/>
  <c r="C34" i="5"/>
  <c r="B34" i="5"/>
  <c r="B33" i="5" s="1"/>
  <c r="D33" i="5"/>
  <c r="B124" i="6"/>
  <c r="B128" i="6" s="1"/>
  <c r="C74" i="6"/>
  <c r="B75" i="6"/>
  <c r="B74" i="6" s="1"/>
  <c r="D74" i="6"/>
  <c r="E68" i="6"/>
  <c r="B68" i="6"/>
  <c r="X65" i="6" l="1"/>
  <c r="X102" i="6"/>
  <c r="X101" i="6" s="1"/>
  <c r="X99" i="6" s="1"/>
  <c r="X98" i="6" s="1"/>
  <c r="P65" i="6"/>
  <c r="P102" i="6"/>
  <c r="P101" i="6" s="1"/>
  <c r="P99" i="6" s="1"/>
  <c r="P98" i="6" s="1"/>
  <c r="AE65" i="6"/>
  <c r="AE102" i="6"/>
  <c r="AE101" i="6" s="1"/>
  <c r="AE99" i="6" s="1"/>
  <c r="AE98" i="6" s="1"/>
  <c r="W65" i="6"/>
  <c r="W102" i="6"/>
  <c r="W101" i="6" s="1"/>
  <c r="W99" i="6" s="1"/>
  <c r="W98" i="6" s="1"/>
  <c r="O65" i="6"/>
  <c r="O102" i="6"/>
  <c r="O101" i="6" s="1"/>
  <c r="O99" i="6" s="1"/>
  <c r="O98" i="6" s="1"/>
  <c r="AD65" i="6"/>
  <c r="AD102" i="6"/>
  <c r="AD101" i="6" s="1"/>
  <c r="AD99" i="6" s="1"/>
  <c r="AD98" i="6" s="1"/>
  <c r="V65" i="6"/>
  <c r="V102" i="6"/>
  <c r="V101" i="6" s="1"/>
  <c r="V99" i="6" s="1"/>
  <c r="V98" i="6" s="1"/>
  <c r="N65" i="6"/>
  <c r="N102" i="6"/>
  <c r="N101" i="6" s="1"/>
  <c r="N99" i="6" s="1"/>
  <c r="N98" i="6" s="1"/>
  <c r="W132" i="6"/>
  <c r="O132" i="6"/>
  <c r="AC65" i="6"/>
  <c r="AC102" i="6"/>
  <c r="AC101" i="6" s="1"/>
  <c r="AC99" i="6" s="1"/>
  <c r="AC98" i="6" s="1"/>
  <c r="U65" i="6"/>
  <c r="U102" i="6"/>
  <c r="U101" i="6" s="1"/>
  <c r="U99" i="6" s="1"/>
  <c r="U98" i="6" s="1"/>
  <c r="AD52" i="6"/>
  <c r="V52" i="6"/>
  <c r="V132" i="6"/>
  <c r="N52" i="6"/>
  <c r="N132" i="6"/>
  <c r="AB65" i="6"/>
  <c r="AB102" i="6"/>
  <c r="AB101" i="6" s="1"/>
  <c r="AB99" i="6" s="1"/>
  <c r="AB98" i="6" s="1"/>
  <c r="T65" i="6"/>
  <c r="T102" i="6"/>
  <c r="T101" i="6" s="1"/>
  <c r="T99" i="6" s="1"/>
  <c r="T98" i="6" s="1"/>
  <c r="U132" i="6"/>
  <c r="AA65" i="6"/>
  <c r="AA102" i="6"/>
  <c r="AA101" i="6" s="1"/>
  <c r="AA99" i="6" s="1"/>
  <c r="AA98" i="6" s="1"/>
  <c r="S65" i="6"/>
  <c r="S102" i="6"/>
  <c r="S101" i="6" s="1"/>
  <c r="S99" i="6" s="1"/>
  <c r="S98" i="6" s="1"/>
  <c r="K65" i="6"/>
  <c r="K102" i="6"/>
  <c r="K101" i="6" s="1"/>
  <c r="K99" i="6" s="1"/>
  <c r="Z65" i="6"/>
  <c r="Z102" i="6"/>
  <c r="Z101" i="6" s="1"/>
  <c r="Z99" i="6" s="1"/>
  <c r="Z98" i="6" s="1"/>
  <c r="R65" i="6"/>
  <c r="R102" i="6"/>
  <c r="R101" i="6" s="1"/>
  <c r="R99" i="6" s="1"/>
  <c r="R98" i="6" s="1"/>
  <c r="AA55" i="6"/>
  <c r="S55" i="6"/>
  <c r="S132" i="6" s="1"/>
  <c r="K55" i="6"/>
  <c r="Y65" i="6"/>
  <c r="Y102" i="6"/>
  <c r="Y101" i="6" s="1"/>
  <c r="Y99" i="6" s="1"/>
  <c r="Y98" i="6" s="1"/>
  <c r="Q65" i="6"/>
  <c r="Q102" i="6"/>
  <c r="Q101" i="6" s="1"/>
  <c r="Q99" i="6" s="1"/>
  <c r="Q98" i="6" s="1"/>
  <c r="I65" i="6"/>
  <c r="I102" i="6"/>
  <c r="I101" i="6" s="1"/>
  <c r="Z55" i="6"/>
  <c r="R55" i="6"/>
  <c r="J55" i="6"/>
  <c r="C77" i="6"/>
  <c r="B65" i="6"/>
  <c r="B66" i="6"/>
  <c r="D117" i="6"/>
  <c r="C33" i="5"/>
  <c r="AG33" i="5" s="1"/>
  <c r="AG34" i="5"/>
  <c r="H55" i="6"/>
  <c r="AB55" i="6"/>
  <c r="X55" i="6"/>
  <c r="T55" i="6"/>
  <c r="P55" i="6"/>
  <c r="L55" i="6"/>
  <c r="D22" i="6"/>
  <c r="C80" i="6"/>
  <c r="C123" i="6"/>
  <c r="B126" i="6"/>
  <c r="E39" i="5"/>
  <c r="H22" i="5"/>
  <c r="H43" i="5" s="1"/>
  <c r="D28" i="5"/>
  <c r="B80" i="6"/>
  <c r="F80" i="6" s="1"/>
  <c r="AE55" i="6"/>
  <c r="H63" i="5"/>
  <c r="H71" i="5"/>
  <c r="H70" i="5" s="1"/>
  <c r="H68" i="5"/>
  <c r="H27" i="5"/>
  <c r="H13" i="5"/>
  <c r="B92" i="6"/>
  <c r="F92" i="6" s="1"/>
  <c r="B89" i="6"/>
  <c r="F89" i="6" s="1"/>
  <c r="F33" i="5"/>
  <c r="B28" i="5"/>
  <c r="F34" i="5"/>
  <c r="G34" i="5"/>
  <c r="AE13" i="5"/>
  <c r="AE17" i="5"/>
  <c r="AE16" i="5" s="1"/>
  <c r="AD13" i="5"/>
  <c r="AD17" i="5"/>
  <c r="AD16" i="5" s="1"/>
  <c r="AC13" i="5"/>
  <c r="AC17" i="5"/>
  <c r="AC16" i="5" s="1"/>
  <c r="AB13" i="5"/>
  <c r="AB17" i="5"/>
  <c r="AB16" i="5" s="1"/>
  <c r="AA13" i="5"/>
  <c r="AA17" i="5"/>
  <c r="AA16" i="5" s="1"/>
  <c r="Z13" i="5"/>
  <c r="Z17" i="5"/>
  <c r="Z16" i="5" s="1"/>
  <c r="Y13" i="5"/>
  <c r="Y17" i="5"/>
  <c r="Y16" i="5" s="1"/>
  <c r="X13" i="5"/>
  <c r="X17" i="5"/>
  <c r="X16" i="5" s="1"/>
  <c r="W13" i="5"/>
  <c r="W17" i="5"/>
  <c r="W16" i="5" s="1"/>
  <c r="V13" i="5"/>
  <c r="V17" i="5"/>
  <c r="V16" i="5" s="1"/>
  <c r="U13" i="5"/>
  <c r="U17" i="5"/>
  <c r="U16" i="5" s="1"/>
  <c r="T13" i="5"/>
  <c r="T17" i="5"/>
  <c r="T16" i="5" s="1"/>
  <c r="S13" i="5"/>
  <c r="S17" i="5"/>
  <c r="S16" i="5" s="1"/>
  <c r="R13" i="5"/>
  <c r="R17" i="5"/>
  <c r="R16" i="5" s="1"/>
  <c r="Q13" i="5"/>
  <c r="Q17" i="5"/>
  <c r="Q16" i="5" s="1"/>
  <c r="P13" i="5"/>
  <c r="P17" i="5"/>
  <c r="P16" i="5" s="1"/>
  <c r="O13" i="5"/>
  <c r="O17" i="5"/>
  <c r="O16" i="5" s="1"/>
  <c r="N13" i="5"/>
  <c r="N17" i="5"/>
  <c r="N16" i="5" s="1"/>
  <c r="M13" i="5"/>
  <c r="M17" i="5"/>
  <c r="M16" i="5" s="1"/>
  <c r="L13" i="5"/>
  <c r="L17" i="5"/>
  <c r="L16" i="5" s="1"/>
  <c r="K13" i="5"/>
  <c r="K17" i="5"/>
  <c r="K16" i="5" s="1"/>
  <c r="J13" i="5"/>
  <c r="J17" i="5"/>
  <c r="J16" i="5" s="1"/>
  <c r="I13" i="5"/>
  <c r="I17" i="5"/>
  <c r="I16" i="5" s="1"/>
  <c r="AE27" i="5"/>
  <c r="AE22" i="5"/>
  <c r="AD27" i="5"/>
  <c r="AD22" i="5"/>
  <c r="AC27" i="5"/>
  <c r="AC22" i="5"/>
  <c r="AB27" i="5"/>
  <c r="AB22" i="5"/>
  <c r="AA27" i="5"/>
  <c r="AA22" i="5"/>
  <c r="Z27" i="5"/>
  <c r="Z22" i="5"/>
  <c r="Y27" i="5"/>
  <c r="Y22" i="5"/>
  <c r="X27" i="5"/>
  <c r="X22" i="5"/>
  <c r="W27" i="5"/>
  <c r="W22" i="5"/>
  <c r="V27" i="5"/>
  <c r="V22" i="5"/>
  <c r="U27" i="5"/>
  <c r="U22" i="5"/>
  <c r="T27" i="5"/>
  <c r="T22" i="5"/>
  <c r="T21" i="5" s="1"/>
  <c r="S27" i="5"/>
  <c r="S22" i="5"/>
  <c r="R27" i="5"/>
  <c r="R22" i="5"/>
  <c r="R21" i="5" s="1"/>
  <c r="Q27" i="5"/>
  <c r="Q22" i="5"/>
  <c r="P27" i="5"/>
  <c r="P22" i="5"/>
  <c r="O27" i="5"/>
  <c r="O22" i="5"/>
  <c r="N27" i="5"/>
  <c r="N22" i="5"/>
  <c r="M27" i="5"/>
  <c r="M22" i="5"/>
  <c r="L27" i="5"/>
  <c r="L22" i="5"/>
  <c r="K27" i="5"/>
  <c r="K22" i="5"/>
  <c r="J27" i="5"/>
  <c r="J22" i="5"/>
  <c r="I27" i="5"/>
  <c r="B50" i="5"/>
  <c r="B54" i="5"/>
  <c r="B53" i="5" s="1"/>
  <c r="AE53" i="5"/>
  <c r="AE57" i="5"/>
  <c r="AE56" i="5" s="1"/>
  <c r="AD57" i="5"/>
  <c r="AD56" i="5" s="1"/>
  <c r="AD53" i="5"/>
  <c r="AC53" i="5"/>
  <c r="AC57" i="5"/>
  <c r="AC56" i="5" s="1"/>
  <c r="AB57" i="5"/>
  <c r="AB56" i="5" s="1"/>
  <c r="AB53" i="5"/>
  <c r="AA53" i="5"/>
  <c r="AA57" i="5"/>
  <c r="AA56" i="5" s="1"/>
  <c r="Z57" i="5"/>
  <c r="Z56" i="5" s="1"/>
  <c r="Z53" i="5"/>
  <c r="Y53" i="5"/>
  <c r="Y57" i="5"/>
  <c r="Y56" i="5" s="1"/>
  <c r="X57" i="5"/>
  <c r="X56" i="5" s="1"/>
  <c r="X53" i="5"/>
  <c r="W53" i="5"/>
  <c r="W57" i="5"/>
  <c r="W56" i="5" s="1"/>
  <c r="V57" i="5"/>
  <c r="V56" i="5" s="1"/>
  <c r="V53" i="5"/>
  <c r="U53" i="5"/>
  <c r="U57" i="5"/>
  <c r="U56" i="5" s="1"/>
  <c r="T57" i="5"/>
  <c r="T56" i="5" s="1"/>
  <c r="T53" i="5"/>
  <c r="S53" i="5"/>
  <c r="S57" i="5"/>
  <c r="S56" i="5" s="1"/>
  <c r="R57" i="5"/>
  <c r="R56" i="5" s="1"/>
  <c r="R53" i="5"/>
  <c r="Q53" i="5"/>
  <c r="Q57" i="5"/>
  <c r="Q56" i="5" s="1"/>
  <c r="P57" i="5"/>
  <c r="P56" i="5" s="1"/>
  <c r="P53" i="5"/>
  <c r="O53" i="5"/>
  <c r="O57" i="5"/>
  <c r="O56" i="5" s="1"/>
  <c r="N57" i="5"/>
  <c r="N56" i="5" s="1"/>
  <c r="N53" i="5"/>
  <c r="M53" i="5"/>
  <c r="M57" i="5"/>
  <c r="M56" i="5" s="1"/>
  <c r="L57" i="5"/>
  <c r="L56" i="5" s="1"/>
  <c r="L53" i="5"/>
  <c r="K53" i="5"/>
  <c r="K57" i="5"/>
  <c r="K56" i="5" s="1"/>
  <c r="J57" i="5"/>
  <c r="J56" i="5" s="1"/>
  <c r="J53" i="5"/>
  <c r="I53" i="5"/>
  <c r="I57" i="5"/>
  <c r="I56" i="5" s="1"/>
  <c r="B64" i="5"/>
  <c r="B63" i="5" s="1"/>
  <c r="B60" i="5"/>
  <c r="AE63" i="5"/>
  <c r="AE67" i="5"/>
  <c r="AE66" i="5" s="1"/>
  <c r="AD67" i="5"/>
  <c r="AD66" i="5" s="1"/>
  <c r="AD63" i="5"/>
  <c r="AC63" i="5"/>
  <c r="AC67" i="5"/>
  <c r="AC66" i="5" s="1"/>
  <c r="AB67" i="5"/>
  <c r="AB66" i="5" s="1"/>
  <c r="AB63" i="5"/>
  <c r="AA63" i="5"/>
  <c r="AA67" i="5"/>
  <c r="AA66" i="5" s="1"/>
  <c r="Z67" i="5"/>
  <c r="Z66" i="5" s="1"/>
  <c r="Z63" i="5"/>
  <c r="Y63" i="5"/>
  <c r="Y67" i="5"/>
  <c r="Y66" i="5" s="1"/>
  <c r="X67" i="5"/>
  <c r="X66" i="5" s="1"/>
  <c r="X63" i="5"/>
  <c r="W63" i="5"/>
  <c r="W67" i="5"/>
  <c r="W66" i="5" s="1"/>
  <c r="V67" i="5"/>
  <c r="V66" i="5" s="1"/>
  <c r="V63" i="5"/>
  <c r="U63" i="5"/>
  <c r="U67" i="5"/>
  <c r="U66" i="5" s="1"/>
  <c r="T67" i="5"/>
  <c r="T66" i="5" s="1"/>
  <c r="T63" i="5"/>
  <c r="S63" i="5"/>
  <c r="S67" i="5"/>
  <c r="S66" i="5" s="1"/>
  <c r="R67" i="5"/>
  <c r="R66" i="5" s="1"/>
  <c r="R63" i="5"/>
  <c r="Q63" i="5"/>
  <c r="Q67" i="5"/>
  <c r="Q66" i="5" s="1"/>
  <c r="P67" i="5"/>
  <c r="P66" i="5" s="1"/>
  <c r="P63" i="5"/>
  <c r="O63" i="5"/>
  <c r="O67" i="5"/>
  <c r="O66" i="5" s="1"/>
  <c r="N67" i="5"/>
  <c r="N66" i="5" s="1"/>
  <c r="N63" i="5"/>
  <c r="M63" i="5"/>
  <c r="M67" i="5"/>
  <c r="M66" i="5" s="1"/>
  <c r="L67" i="5"/>
  <c r="L66" i="5" s="1"/>
  <c r="L63" i="5"/>
  <c r="K63" i="5"/>
  <c r="K67" i="5"/>
  <c r="K66" i="5" s="1"/>
  <c r="J67" i="5"/>
  <c r="J66" i="5" s="1"/>
  <c r="J63" i="5"/>
  <c r="I63" i="5"/>
  <c r="I67" i="5"/>
  <c r="I66" i="5" s="1"/>
  <c r="AE68" i="5"/>
  <c r="AE71" i="5"/>
  <c r="AE70" i="5" s="1"/>
  <c r="AD71" i="5"/>
  <c r="AD70" i="5" s="1"/>
  <c r="AD68" i="5"/>
  <c r="AC68" i="5"/>
  <c r="AC71" i="5"/>
  <c r="AC70" i="5" s="1"/>
  <c r="AB71" i="5"/>
  <c r="AB70" i="5" s="1"/>
  <c r="AB68" i="5"/>
  <c r="AA68" i="5"/>
  <c r="AA71" i="5"/>
  <c r="AA70" i="5" s="1"/>
  <c r="Z71" i="5"/>
  <c r="Z70" i="5" s="1"/>
  <c r="Z68" i="5"/>
  <c r="Y68" i="5"/>
  <c r="Y71" i="5"/>
  <c r="Y70" i="5" s="1"/>
  <c r="X71" i="5"/>
  <c r="X70" i="5" s="1"/>
  <c r="X68" i="5"/>
  <c r="W68" i="5"/>
  <c r="W71" i="5"/>
  <c r="W70" i="5" s="1"/>
  <c r="V71" i="5"/>
  <c r="V70" i="5" s="1"/>
  <c r="V68" i="5"/>
  <c r="U68" i="5"/>
  <c r="U71" i="5"/>
  <c r="U70" i="5" s="1"/>
  <c r="T71" i="5"/>
  <c r="T70" i="5" s="1"/>
  <c r="T68" i="5"/>
  <c r="S68" i="5"/>
  <c r="S71" i="5"/>
  <c r="S70" i="5" s="1"/>
  <c r="R71" i="5"/>
  <c r="R70" i="5" s="1"/>
  <c r="R68" i="5"/>
  <c r="Q68" i="5"/>
  <c r="Q71" i="5"/>
  <c r="Q70" i="5" s="1"/>
  <c r="P71" i="5"/>
  <c r="P70" i="5" s="1"/>
  <c r="P68" i="5"/>
  <c r="O68" i="5"/>
  <c r="O71" i="5"/>
  <c r="O70" i="5" s="1"/>
  <c r="N71" i="5"/>
  <c r="N70" i="5" s="1"/>
  <c r="N68" i="5"/>
  <c r="M68" i="5"/>
  <c r="M71" i="5"/>
  <c r="M70" i="5" s="1"/>
  <c r="L71" i="5"/>
  <c r="L70" i="5" s="1"/>
  <c r="L68" i="5"/>
  <c r="K68" i="5"/>
  <c r="K71" i="5"/>
  <c r="K70" i="5" s="1"/>
  <c r="J71" i="5"/>
  <c r="J70" i="5" s="1"/>
  <c r="J68" i="5"/>
  <c r="I68" i="5"/>
  <c r="I71" i="5"/>
  <c r="I70" i="5" s="1"/>
  <c r="AC52" i="6"/>
  <c r="AC61" i="6"/>
  <c r="AA52" i="6"/>
  <c r="AA61" i="6"/>
  <c r="Y52" i="6"/>
  <c r="Y61" i="6"/>
  <c r="W52" i="6"/>
  <c r="W61" i="6"/>
  <c r="U52" i="6"/>
  <c r="U61" i="6"/>
  <c r="S52" i="6"/>
  <c r="S61" i="6"/>
  <c r="Q52" i="6"/>
  <c r="Q61" i="6"/>
  <c r="O52" i="6"/>
  <c r="O61" i="6"/>
  <c r="M52" i="6"/>
  <c r="M61" i="6"/>
  <c r="K52" i="6"/>
  <c r="K61" i="6"/>
  <c r="I52" i="6"/>
  <c r="I61" i="6"/>
  <c r="B103" i="7"/>
  <c r="B102" i="7" s="1"/>
  <c r="B117" i="7"/>
  <c r="G53" i="7"/>
  <c r="E117" i="7"/>
  <c r="D115" i="7"/>
  <c r="C117" i="7"/>
  <c r="G114" i="7"/>
  <c r="C51" i="7"/>
  <c r="C58" i="7"/>
  <c r="C56" i="7" s="1"/>
  <c r="E51" i="7"/>
  <c r="E58" i="7"/>
  <c r="E56" i="7" s="1"/>
  <c r="B58" i="7"/>
  <c r="B56" i="7" s="1"/>
  <c r="B51" i="7"/>
  <c r="F51" i="7" s="1"/>
  <c r="F25" i="7"/>
  <c r="G25" i="7"/>
  <c r="B99" i="7"/>
  <c r="D103" i="7"/>
  <c r="D102" i="7" s="1"/>
  <c r="F100" i="7"/>
  <c r="D99" i="7"/>
  <c r="E102" i="7"/>
  <c r="G113" i="7"/>
  <c r="F113" i="7"/>
  <c r="G57" i="7"/>
  <c r="F57" i="7"/>
  <c r="C103" i="7"/>
  <c r="C102" i="7" s="1"/>
  <c r="C99" i="7"/>
  <c r="G99" i="7" s="1"/>
  <c r="G122" i="7"/>
  <c r="F122" i="7"/>
  <c r="G90" i="7"/>
  <c r="F90" i="7"/>
  <c r="G100" i="7"/>
  <c r="F114" i="7"/>
  <c r="B54" i="6"/>
  <c r="E65" i="6"/>
  <c r="F65" i="6" s="1"/>
  <c r="E74" i="6"/>
  <c r="B37" i="6"/>
  <c r="F37" i="6" s="1"/>
  <c r="H25" i="6"/>
  <c r="C26" i="6"/>
  <c r="C55" i="6" s="1"/>
  <c r="AD25" i="6"/>
  <c r="AB25" i="6"/>
  <c r="Z25" i="6"/>
  <c r="X25" i="6"/>
  <c r="V25" i="6"/>
  <c r="T25" i="6"/>
  <c r="R25" i="6"/>
  <c r="P25" i="6"/>
  <c r="N25" i="6"/>
  <c r="L25" i="6"/>
  <c r="J25" i="6"/>
  <c r="F75" i="6"/>
  <c r="B72" i="6"/>
  <c r="B116" i="6"/>
  <c r="E116" i="6"/>
  <c r="E124" i="6"/>
  <c r="E127" i="6"/>
  <c r="B18" i="6"/>
  <c r="B53" i="6"/>
  <c r="B59" i="6" s="1"/>
  <c r="B130" i="6" s="1"/>
  <c r="H59" i="6"/>
  <c r="C65" i="6"/>
  <c r="C99" i="6"/>
  <c r="D65" i="6"/>
  <c r="C116" i="6"/>
  <c r="C124" i="6"/>
  <c r="C128" i="6" s="1"/>
  <c r="E77" i="6"/>
  <c r="B43" i="6"/>
  <c r="B78" i="6"/>
  <c r="D25" i="6"/>
  <c r="AE25" i="6"/>
  <c r="AC25" i="6"/>
  <c r="AA25" i="6"/>
  <c r="Y25" i="6"/>
  <c r="W25" i="6"/>
  <c r="U25" i="6"/>
  <c r="S25" i="6"/>
  <c r="Q25" i="6"/>
  <c r="O25" i="6"/>
  <c r="M25" i="6"/>
  <c r="K25" i="6"/>
  <c r="I25" i="6"/>
  <c r="H61" i="6"/>
  <c r="AD61" i="6"/>
  <c r="AD58" i="6" s="1"/>
  <c r="AB61" i="6"/>
  <c r="AB58" i="6" s="1"/>
  <c r="Z61" i="6"/>
  <c r="X61" i="6"/>
  <c r="X58" i="6" s="1"/>
  <c r="V61" i="6"/>
  <c r="V58" i="6" s="1"/>
  <c r="T61" i="6"/>
  <c r="R61" i="6"/>
  <c r="P61" i="6"/>
  <c r="N61" i="6"/>
  <c r="L61" i="6"/>
  <c r="J61" i="6"/>
  <c r="Z60" i="6"/>
  <c r="T60" i="6"/>
  <c r="R60" i="6"/>
  <c r="P60" i="6"/>
  <c r="N60" i="6"/>
  <c r="L60" i="6"/>
  <c r="J60" i="6"/>
  <c r="AE59" i="6"/>
  <c r="AC59" i="6"/>
  <c r="AA59" i="6"/>
  <c r="Y59" i="6"/>
  <c r="W59" i="6"/>
  <c r="U59" i="6"/>
  <c r="S59" i="6"/>
  <c r="Q59" i="6"/>
  <c r="O59" i="6"/>
  <c r="M59" i="6"/>
  <c r="K59" i="6"/>
  <c r="I59" i="6"/>
  <c r="F87" i="6"/>
  <c r="F86" i="6"/>
  <c r="B15" i="6"/>
  <c r="C119" i="6"/>
  <c r="F120" i="6"/>
  <c r="B122" i="6"/>
  <c r="B83" i="6"/>
  <c r="F83" i="6" s="1"/>
  <c r="B26" i="6"/>
  <c r="G37" i="6"/>
  <c r="C9" i="6"/>
  <c r="G96" i="6"/>
  <c r="B41" i="6"/>
  <c r="B40" i="6" s="1"/>
  <c r="G120" i="6"/>
  <c r="G38" i="6"/>
  <c r="B22" i="6"/>
  <c r="B10" i="6"/>
  <c r="B9" i="6" s="1"/>
  <c r="G93" i="6"/>
  <c r="B95" i="6"/>
  <c r="G92" i="6"/>
  <c r="F66" i="6"/>
  <c r="G81" i="6"/>
  <c r="G84" i="6"/>
  <c r="G87" i="6"/>
  <c r="G90" i="6"/>
  <c r="E95" i="6"/>
  <c r="E119" i="6"/>
  <c r="G89" i="6"/>
  <c r="G86" i="6"/>
  <c r="G83" i="6"/>
  <c r="G69" i="6"/>
  <c r="G33" i="5"/>
  <c r="G117" i="6"/>
  <c r="G66" i="6"/>
  <c r="F68" i="6"/>
  <c r="F69" i="6"/>
  <c r="G68" i="6"/>
  <c r="G75" i="6"/>
  <c r="F117" i="6"/>
  <c r="D66" i="5"/>
  <c r="E64" i="5"/>
  <c r="E63" i="5" s="1"/>
  <c r="C64" i="5"/>
  <c r="D63" i="5"/>
  <c r="F40" i="5"/>
  <c r="D60" i="5"/>
  <c r="C39" i="5"/>
  <c r="D39" i="5" s="1"/>
  <c r="B36" i="5"/>
  <c r="E36" i="5"/>
  <c r="C36" i="5"/>
  <c r="D36" i="5" s="1"/>
  <c r="D30" i="5"/>
  <c r="F31" i="5"/>
  <c r="B11" i="5"/>
  <c r="B14" i="5" s="1"/>
  <c r="AE52" i="6" l="1"/>
  <c r="AE132" i="6"/>
  <c r="AA132" i="6"/>
  <c r="L52" i="6"/>
  <c r="L132" i="6"/>
  <c r="P52" i="6"/>
  <c r="P132" i="6"/>
  <c r="Q132" i="6"/>
  <c r="T52" i="6"/>
  <c r="T132" i="6"/>
  <c r="Y132" i="6"/>
  <c r="X52" i="6"/>
  <c r="X132" i="6"/>
  <c r="AC132" i="6"/>
  <c r="B136" i="6"/>
  <c r="B131" i="6"/>
  <c r="AB52" i="6"/>
  <c r="AB132" i="6"/>
  <c r="J52" i="6"/>
  <c r="J132" i="6"/>
  <c r="K98" i="6"/>
  <c r="E99" i="6"/>
  <c r="E102" i="6" s="1"/>
  <c r="AD132" i="6"/>
  <c r="H52" i="6"/>
  <c r="H132" i="6"/>
  <c r="R52" i="6"/>
  <c r="R132" i="6"/>
  <c r="K132" i="6"/>
  <c r="Z52" i="6"/>
  <c r="Z132" i="6"/>
  <c r="G80" i="6"/>
  <c r="F119" i="6"/>
  <c r="E128" i="6"/>
  <c r="G95" i="6"/>
  <c r="G77" i="6"/>
  <c r="G74" i="6"/>
  <c r="C63" i="5"/>
  <c r="AG63" i="5" s="1"/>
  <c r="AG64" i="5"/>
  <c r="D124" i="6"/>
  <c r="D116" i="6"/>
  <c r="H21" i="5"/>
  <c r="B77" i="6"/>
  <c r="F77" i="6" s="1"/>
  <c r="G116" i="6"/>
  <c r="G78" i="6"/>
  <c r="G65" i="6"/>
  <c r="C25" i="6"/>
  <c r="N58" i="6"/>
  <c r="AE61" i="6"/>
  <c r="AE58" i="6" s="1"/>
  <c r="D22" i="5"/>
  <c r="D21" i="5" s="1"/>
  <c r="D27" i="5"/>
  <c r="G128" i="6"/>
  <c r="F74" i="6"/>
  <c r="G124" i="6"/>
  <c r="K58" i="6"/>
  <c r="O58" i="6"/>
  <c r="S58" i="6"/>
  <c r="W58" i="6"/>
  <c r="AA58" i="6"/>
  <c r="E126" i="6"/>
  <c r="L58" i="6"/>
  <c r="I58" i="6"/>
  <c r="Q58" i="6"/>
  <c r="Y58" i="6"/>
  <c r="R58" i="6"/>
  <c r="R43" i="5"/>
  <c r="R42" i="5" s="1"/>
  <c r="M58" i="6"/>
  <c r="U58" i="6"/>
  <c r="AC58" i="6"/>
  <c r="H58" i="6"/>
  <c r="T43" i="5"/>
  <c r="T42" i="5" s="1"/>
  <c r="Z58" i="6"/>
  <c r="E122" i="6"/>
  <c r="F95" i="6"/>
  <c r="G51" i="7"/>
  <c r="F37" i="5"/>
  <c r="T58" i="6"/>
  <c r="F53" i="6"/>
  <c r="G58" i="7"/>
  <c r="B60" i="6"/>
  <c r="P58" i="6"/>
  <c r="C28" i="5"/>
  <c r="C27" i="5" s="1"/>
  <c r="C30" i="5"/>
  <c r="E28" i="5"/>
  <c r="E30" i="5"/>
  <c r="G31" i="5"/>
  <c r="G37" i="5"/>
  <c r="G64" i="5"/>
  <c r="B25" i="6"/>
  <c r="B52" i="6" s="1"/>
  <c r="B55" i="6"/>
  <c r="B135" i="6"/>
  <c r="C115" i="7"/>
  <c r="C121" i="7"/>
  <c r="C119" i="7" s="1"/>
  <c r="E115" i="7"/>
  <c r="E121" i="7"/>
  <c r="E119" i="7" s="1"/>
  <c r="I21" i="5"/>
  <c r="J43" i="5"/>
  <c r="J21" i="5"/>
  <c r="K43" i="5"/>
  <c r="K21" i="5"/>
  <c r="L43" i="5"/>
  <c r="L21" i="5"/>
  <c r="M43" i="5"/>
  <c r="M21" i="5"/>
  <c r="N43" i="5"/>
  <c r="N21" i="5"/>
  <c r="O43" i="5"/>
  <c r="O21" i="5"/>
  <c r="P43" i="5"/>
  <c r="P21" i="5"/>
  <c r="Q43" i="5"/>
  <c r="Q21" i="5"/>
  <c r="S43" i="5"/>
  <c r="S21" i="5"/>
  <c r="U43" i="5"/>
  <c r="U21" i="5"/>
  <c r="V43" i="5"/>
  <c r="V21" i="5"/>
  <c r="W43" i="5"/>
  <c r="W21" i="5"/>
  <c r="X43" i="5"/>
  <c r="X21" i="5"/>
  <c r="Y43" i="5"/>
  <c r="Y21" i="5"/>
  <c r="Z43" i="5"/>
  <c r="Z21" i="5"/>
  <c r="AA43" i="5"/>
  <c r="AA21" i="5"/>
  <c r="AB43" i="5"/>
  <c r="AB21" i="5"/>
  <c r="AC43" i="5"/>
  <c r="AC21" i="5"/>
  <c r="AD43" i="5"/>
  <c r="AD21" i="5"/>
  <c r="AE43" i="5"/>
  <c r="AE21" i="5"/>
  <c r="H46" i="5"/>
  <c r="H45" i="5" s="1"/>
  <c r="H42" i="5"/>
  <c r="B115" i="7"/>
  <c r="B121" i="7"/>
  <c r="B119" i="7" s="1"/>
  <c r="G117" i="7"/>
  <c r="F99" i="7"/>
  <c r="F58" i="7"/>
  <c r="G103" i="7"/>
  <c r="F103" i="7"/>
  <c r="G56" i="7"/>
  <c r="F56" i="7"/>
  <c r="F117" i="7"/>
  <c r="G102" i="7"/>
  <c r="F102" i="7"/>
  <c r="J58" i="6"/>
  <c r="C122" i="6"/>
  <c r="C127" i="6"/>
  <c r="C126" i="6" s="1"/>
  <c r="I137" i="6"/>
  <c r="I134" i="6" s="1"/>
  <c r="I129" i="6"/>
  <c r="K137" i="6"/>
  <c r="K134" i="6" s="1"/>
  <c r="K129" i="6"/>
  <c r="M137" i="6"/>
  <c r="M134" i="6" s="1"/>
  <c r="M129" i="6"/>
  <c r="O137" i="6"/>
  <c r="O134" i="6" s="1"/>
  <c r="O129" i="6"/>
  <c r="Q137" i="6"/>
  <c r="Q134" i="6" s="1"/>
  <c r="Q129" i="6"/>
  <c r="S137" i="6"/>
  <c r="S134" i="6" s="1"/>
  <c r="S129" i="6"/>
  <c r="U137" i="6"/>
  <c r="U134" i="6" s="1"/>
  <c r="U129" i="6"/>
  <c r="W137" i="6"/>
  <c r="W134" i="6" s="1"/>
  <c r="W129" i="6"/>
  <c r="Y137" i="6"/>
  <c r="Y134" i="6" s="1"/>
  <c r="Y129" i="6"/>
  <c r="AA137" i="6"/>
  <c r="AA134" i="6" s="1"/>
  <c r="AA129" i="6"/>
  <c r="AC137" i="6"/>
  <c r="AC134" i="6" s="1"/>
  <c r="AC129" i="6"/>
  <c r="AE137" i="6"/>
  <c r="AE134" i="6" s="1"/>
  <c r="AE129" i="6"/>
  <c r="F116" i="6"/>
  <c r="H137" i="6"/>
  <c r="H134" i="6" s="1"/>
  <c r="H129" i="6"/>
  <c r="C98" i="6"/>
  <c r="C102" i="6"/>
  <c r="C101" i="6" s="1"/>
  <c r="B71" i="6"/>
  <c r="F71" i="6" s="1"/>
  <c r="B99" i="6"/>
  <c r="F72" i="6"/>
  <c r="J137" i="6"/>
  <c r="J134" i="6" s="1"/>
  <c r="J129" i="6"/>
  <c r="L137" i="6"/>
  <c r="L134" i="6" s="1"/>
  <c r="L129" i="6"/>
  <c r="N137" i="6"/>
  <c r="N134" i="6" s="1"/>
  <c r="N129" i="6"/>
  <c r="P137" i="6"/>
  <c r="P134" i="6" s="1"/>
  <c r="P129" i="6"/>
  <c r="R137" i="6"/>
  <c r="R134" i="6" s="1"/>
  <c r="R129" i="6"/>
  <c r="T137" i="6"/>
  <c r="T134" i="6" s="1"/>
  <c r="T129" i="6"/>
  <c r="V137" i="6"/>
  <c r="V134" i="6" s="1"/>
  <c r="V129" i="6"/>
  <c r="X137" i="6"/>
  <c r="X134" i="6" s="1"/>
  <c r="X129" i="6"/>
  <c r="Z137" i="6"/>
  <c r="Z134" i="6" s="1"/>
  <c r="Z129" i="6"/>
  <c r="AB137" i="6"/>
  <c r="AB134" i="6" s="1"/>
  <c r="AB129" i="6"/>
  <c r="AD137" i="6"/>
  <c r="AD134" i="6" s="1"/>
  <c r="AD129" i="6"/>
  <c r="E71" i="6"/>
  <c r="G72" i="6"/>
  <c r="G119" i="6"/>
  <c r="F124" i="6"/>
  <c r="G40" i="5"/>
  <c r="B39" i="5"/>
  <c r="F39" i="5" s="1"/>
  <c r="G39" i="5"/>
  <c r="F36" i="5"/>
  <c r="G36" i="5"/>
  <c r="E51" i="5"/>
  <c r="AG51" i="5" s="1"/>
  <c r="D51" i="5"/>
  <c r="D54" i="5" s="1"/>
  <c r="C54" i="5"/>
  <c r="B27" i="5"/>
  <c r="B25" i="5"/>
  <c r="B22" i="5" s="1"/>
  <c r="I56" i="4"/>
  <c r="J56" i="4"/>
  <c r="J59" i="4" s="1"/>
  <c r="J58" i="4" s="1"/>
  <c r="K56" i="4"/>
  <c r="K55" i="4" s="1"/>
  <c r="L56" i="4"/>
  <c r="M56" i="4"/>
  <c r="N56" i="4"/>
  <c r="N59" i="4" s="1"/>
  <c r="N58" i="4" s="1"/>
  <c r="O56" i="4"/>
  <c r="O55" i="4" s="1"/>
  <c r="P56" i="4"/>
  <c r="Q56" i="4"/>
  <c r="R56" i="4"/>
  <c r="R59" i="4" s="1"/>
  <c r="R58" i="4" s="1"/>
  <c r="S56" i="4"/>
  <c r="S55" i="4" s="1"/>
  <c r="T56" i="4"/>
  <c r="U56" i="4"/>
  <c r="V56" i="4"/>
  <c r="V59" i="4" s="1"/>
  <c r="V58" i="4" s="1"/>
  <c r="W56" i="4"/>
  <c r="W55" i="4" s="1"/>
  <c r="X56" i="4"/>
  <c r="Y56" i="4"/>
  <c r="Z56" i="4"/>
  <c r="Z59" i="4" s="1"/>
  <c r="Z58" i="4" s="1"/>
  <c r="AA56" i="4"/>
  <c r="AA55" i="4" s="1"/>
  <c r="AB56" i="4"/>
  <c r="AC56" i="4"/>
  <c r="AD56" i="4"/>
  <c r="AD59" i="4" s="1"/>
  <c r="AD58" i="4" s="1"/>
  <c r="AE56" i="4"/>
  <c r="AE55" i="4" s="1"/>
  <c r="H56" i="4"/>
  <c r="H59" i="4" s="1"/>
  <c r="H58" i="4" s="1"/>
  <c r="J52" i="4"/>
  <c r="K52" i="4"/>
  <c r="L52" i="4"/>
  <c r="M52" i="4"/>
  <c r="N52" i="4"/>
  <c r="O52" i="4"/>
  <c r="P52" i="4"/>
  <c r="Q52" i="4"/>
  <c r="R52" i="4"/>
  <c r="S52" i="4"/>
  <c r="T52" i="4"/>
  <c r="U52" i="4"/>
  <c r="V52" i="4"/>
  <c r="W52" i="4"/>
  <c r="X52" i="4"/>
  <c r="Y52" i="4"/>
  <c r="Z52" i="4"/>
  <c r="AA52" i="4"/>
  <c r="AB52" i="4"/>
  <c r="AC52" i="4"/>
  <c r="AD52" i="4"/>
  <c r="AE52" i="4"/>
  <c r="H52" i="4"/>
  <c r="I49" i="4"/>
  <c r="J49" i="4"/>
  <c r="K49" i="4"/>
  <c r="L49" i="4"/>
  <c r="M49" i="4"/>
  <c r="N49" i="4"/>
  <c r="O49" i="4"/>
  <c r="P49" i="4"/>
  <c r="Q49" i="4"/>
  <c r="R49" i="4"/>
  <c r="S49" i="4"/>
  <c r="T49" i="4"/>
  <c r="U49" i="4"/>
  <c r="V49" i="4"/>
  <c r="W49" i="4"/>
  <c r="X49" i="4"/>
  <c r="Y49" i="4"/>
  <c r="Z49" i="4"/>
  <c r="AA49" i="4"/>
  <c r="AB49" i="4"/>
  <c r="AC49" i="4"/>
  <c r="AD49" i="4"/>
  <c r="AE49" i="4"/>
  <c r="H49" i="4"/>
  <c r="K40" i="4"/>
  <c r="L40" i="4"/>
  <c r="L44" i="4" s="1"/>
  <c r="M40" i="4"/>
  <c r="N40" i="4"/>
  <c r="N44" i="4" s="1"/>
  <c r="O40" i="4"/>
  <c r="P40" i="4"/>
  <c r="P44" i="4" s="1"/>
  <c r="Q40" i="4"/>
  <c r="R40" i="4"/>
  <c r="R44" i="4" s="1"/>
  <c r="S40" i="4"/>
  <c r="T40" i="4"/>
  <c r="T44" i="4" s="1"/>
  <c r="U40" i="4"/>
  <c r="V40" i="4"/>
  <c r="V44" i="4" s="1"/>
  <c r="W40" i="4"/>
  <c r="X40" i="4"/>
  <c r="X44" i="4" s="1"/>
  <c r="Y40" i="4"/>
  <c r="Z40" i="4"/>
  <c r="Z44" i="4" s="1"/>
  <c r="AA40" i="4"/>
  <c r="AB40" i="4"/>
  <c r="AB44" i="4" s="1"/>
  <c r="AC40" i="4"/>
  <c r="AD40" i="4"/>
  <c r="AD44" i="4" s="1"/>
  <c r="AE40" i="4"/>
  <c r="K41" i="4"/>
  <c r="L41" i="4"/>
  <c r="L62" i="4" s="1"/>
  <c r="L65" i="4" s="1"/>
  <c r="M41" i="4"/>
  <c r="N41" i="4"/>
  <c r="N62" i="4" s="1"/>
  <c r="N65" i="4" s="1"/>
  <c r="O41" i="4"/>
  <c r="P41" i="4"/>
  <c r="P62" i="4" s="1"/>
  <c r="P65" i="4" s="1"/>
  <c r="Q41" i="4"/>
  <c r="R41" i="4"/>
  <c r="R62" i="4" s="1"/>
  <c r="R65" i="4" s="1"/>
  <c r="S41" i="4"/>
  <c r="T41" i="4"/>
  <c r="T62" i="4" s="1"/>
  <c r="T65" i="4" s="1"/>
  <c r="U41" i="4"/>
  <c r="V41" i="4"/>
  <c r="V62" i="4" s="1"/>
  <c r="V65" i="4" s="1"/>
  <c r="W41" i="4"/>
  <c r="X41" i="4"/>
  <c r="X62" i="4" s="1"/>
  <c r="X65" i="4" s="1"/>
  <c r="Y41" i="4"/>
  <c r="Z41" i="4"/>
  <c r="Z62" i="4" s="1"/>
  <c r="Z65" i="4" s="1"/>
  <c r="AA41" i="4"/>
  <c r="AB41" i="4"/>
  <c r="AB62" i="4" s="1"/>
  <c r="AB65" i="4" s="1"/>
  <c r="AC41" i="4"/>
  <c r="AD41" i="4"/>
  <c r="AD62" i="4" s="1"/>
  <c r="AE41" i="4"/>
  <c r="I40" i="4"/>
  <c r="J40" i="4"/>
  <c r="I41" i="4"/>
  <c r="J41" i="4"/>
  <c r="H41" i="4"/>
  <c r="H40" i="4"/>
  <c r="I36" i="4"/>
  <c r="J36" i="4"/>
  <c r="K36" i="4"/>
  <c r="L36" i="4"/>
  <c r="M36" i="4"/>
  <c r="N36" i="4"/>
  <c r="O36" i="4"/>
  <c r="P36" i="4"/>
  <c r="Q36" i="4"/>
  <c r="R36" i="4"/>
  <c r="S36" i="4"/>
  <c r="T36" i="4"/>
  <c r="U36" i="4"/>
  <c r="V36" i="4"/>
  <c r="W36" i="4"/>
  <c r="X36" i="4"/>
  <c r="Y36" i="4"/>
  <c r="Z36" i="4"/>
  <c r="AA36" i="4"/>
  <c r="AB36" i="4"/>
  <c r="AC36" i="4"/>
  <c r="AD36" i="4"/>
  <c r="AE36" i="4"/>
  <c r="H36" i="4"/>
  <c r="I23" i="3"/>
  <c r="J23" i="3"/>
  <c r="K23" i="3"/>
  <c r="L23" i="3"/>
  <c r="M23" i="3"/>
  <c r="N23" i="3"/>
  <c r="O23" i="3"/>
  <c r="P23" i="3"/>
  <c r="Q23" i="3"/>
  <c r="R23" i="3"/>
  <c r="S23" i="3"/>
  <c r="T23" i="3"/>
  <c r="U23" i="3"/>
  <c r="V23" i="3"/>
  <c r="W23" i="3"/>
  <c r="X23" i="3"/>
  <c r="Y23" i="3"/>
  <c r="Z23" i="3"/>
  <c r="AA23" i="3"/>
  <c r="AB23" i="3"/>
  <c r="AC23" i="3"/>
  <c r="AD23" i="3"/>
  <c r="AE23" i="3"/>
  <c r="H23" i="3"/>
  <c r="I20" i="3"/>
  <c r="J20" i="3"/>
  <c r="K20" i="3"/>
  <c r="L20" i="3"/>
  <c r="M20" i="3"/>
  <c r="N20" i="3"/>
  <c r="O20" i="3"/>
  <c r="P20" i="3"/>
  <c r="Q20" i="3"/>
  <c r="R20" i="3"/>
  <c r="S20" i="3"/>
  <c r="T20" i="3"/>
  <c r="U20" i="3"/>
  <c r="V20" i="3"/>
  <c r="W20" i="3"/>
  <c r="X20" i="3"/>
  <c r="Y20" i="3"/>
  <c r="Z20" i="3"/>
  <c r="AA20" i="3"/>
  <c r="AB20" i="3"/>
  <c r="AC20" i="3"/>
  <c r="AD20" i="3"/>
  <c r="AE20" i="3"/>
  <c r="H20" i="3"/>
  <c r="D20" i="3"/>
  <c r="I17" i="3"/>
  <c r="J17" i="3"/>
  <c r="K17" i="3"/>
  <c r="L17" i="3"/>
  <c r="M17" i="3"/>
  <c r="N17" i="3"/>
  <c r="O17" i="3"/>
  <c r="P17" i="3"/>
  <c r="Q17" i="3"/>
  <c r="R17" i="3"/>
  <c r="S17" i="3"/>
  <c r="T17" i="3"/>
  <c r="U17" i="3"/>
  <c r="V17" i="3"/>
  <c r="W17" i="3"/>
  <c r="X17" i="3"/>
  <c r="Y17" i="3"/>
  <c r="Z17" i="3"/>
  <c r="AA17" i="3"/>
  <c r="AB17" i="3"/>
  <c r="AC17" i="3"/>
  <c r="AD17" i="3"/>
  <c r="AE17" i="3"/>
  <c r="H17" i="3"/>
  <c r="I14" i="3"/>
  <c r="J14" i="3"/>
  <c r="K14" i="3"/>
  <c r="L14" i="3"/>
  <c r="M14" i="3"/>
  <c r="O14" i="3"/>
  <c r="P14" i="3"/>
  <c r="Q14" i="3"/>
  <c r="R14" i="3"/>
  <c r="S14" i="3"/>
  <c r="T14" i="3"/>
  <c r="U14" i="3"/>
  <c r="V14" i="3"/>
  <c r="W14" i="3"/>
  <c r="X14" i="3"/>
  <c r="Y14" i="3"/>
  <c r="Z14" i="3"/>
  <c r="AA14" i="3"/>
  <c r="AB14" i="3"/>
  <c r="AC14" i="3"/>
  <c r="AD14" i="3"/>
  <c r="AE14" i="3"/>
  <c r="H14" i="3"/>
  <c r="I50" i="2"/>
  <c r="J50" i="2"/>
  <c r="K50" i="2"/>
  <c r="L50" i="2"/>
  <c r="M50" i="2"/>
  <c r="N50" i="2"/>
  <c r="O50" i="2"/>
  <c r="P50" i="2"/>
  <c r="Q50" i="2"/>
  <c r="R50" i="2"/>
  <c r="S50" i="2"/>
  <c r="T50" i="2"/>
  <c r="U50" i="2"/>
  <c r="V50" i="2"/>
  <c r="W50" i="2"/>
  <c r="X50" i="2"/>
  <c r="Y50" i="2"/>
  <c r="Z50" i="2"/>
  <c r="AA50" i="2"/>
  <c r="AB50" i="2"/>
  <c r="AC50" i="2"/>
  <c r="AD50" i="2"/>
  <c r="AE50" i="2"/>
  <c r="H50" i="2"/>
  <c r="D50" i="2"/>
  <c r="E50" i="2"/>
  <c r="I47" i="2"/>
  <c r="J47" i="2"/>
  <c r="K47" i="2"/>
  <c r="L47" i="2"/>
  <c r="M47" i="2"/>
  <c r="N47" i="2"/>
  <c r="O47" i="2"/>
  <c r="P47" i="2"/>
  <c r="Q47" i="2"/>
  <c r="R47" i="2"/>
  <c r="S47" i="2"/>
  <c r="T47" i="2"/>
  <c r="U47" i="2"/>
  <c r="V47" i="2"/>
  <c r="W47" i="2"/>
  <c r="X47" i="2"/>
  <c r="Y47" i="2"/>
  <c r="Z47" i="2"/>
  <c r="AA47" i="2"/>
  <c r="AB47" i="2"/>
  <c r="AC47" i="2"/>
  <c r="AD47" i="2"/>
  <c r="AE47" i="2"/>
  <c r="H47" i="2"/>
  <c r="D47" i="2"/>
  <c r="I33" i="2"/>
  <c r="J33" i="2"/>
  <c r="K33" i="2"/>
  <c r="L33" i="2"/>
  <c r="M33" i="2"/>
  <c r="N33" i="2"/>
  <c r="O33" i="2"/>
  <c r="P33" i="2"/>
  <c r="Q33" i="2"/>
  <c r="R33" i="2"/>
  <c r="S33" i="2"/>
  <c r="T33" i="2"/>
  <c r="U33" i="2"/>
  <c r="V33" i="2"/>
  <c r="W33" i="2"/>
  <c r="X33" i="2"/>
  <c r="Y33" i="2"/>
  <c r="Z33" i="2"/>
  <c r="AA33" i="2"/>
  <c r="AB33" i="2"/>
  <c r="AC33" i="2"/>
  <c r="AD33" i="2"/>
  <c r="AE33" i="2"/>
  <c r="H33" i="2"/>
  <c r="D33" i="2"/>
  <c r="I30" i="2"/>
  <c r="J30" i="2"/>
  <c r="K30" i="2"/>
  <c r="L30" i="2"/>
  <c r="M30" i="2"/>
  <c r="N30" i="2"/>
  <c r="O30" i="2"/>
  <c r="P30" i="2"/>
  <c r="Q30" i="2"/>
  <c r="R30" i="2"/>
  <c r="S30" i="2"/>
  <c r="T30" i="2"/>
  <c r="U30" i="2"/>
  <c r="V30" i="2"/>
  <c r="W30" i="2"/>
  <c r="X30" i="2"/>
  <c r="Y30" i="2"/>
  <c r="Z30" i="2"/>
  <c r="AA30" i="2"/>
  <c r="AB30" i="2"/>
  <c r="AC30" i="2"/>
  <c r="AD30" i="2"/>
  <c r="AE30" i="2"/>
  <c r="H30" i="2"/>
  <c r="I26" i="2"/>
  <c r="J26" i="2"/>
  <c r="K26" i="2"/>
  <c r="L26" i="2"/>
  <c r="M26" i="2"/>
  <c r="N26" i="2"/>
  <c r="O26" i="2"/>
  <c r="P26" i="2"/>
  <c r="Q26" i="2"/>
  <c r="R26" i="2"/>
  <c r="S26" i="2"/>
  <c r="T26" i="2"/>
  <c r="U26" i="2"/>
  <c r="V26" i="2"/>
  <c r="W26" i="2"/>
  <c r="X26" i="2"/>
  <c r="Y26" i="2"/>
  <c r="Z26" i="2"/>
  <c r="AA26" i="2"/>
  <c r="AB26" i="2"/>
  <c r="AC26" i="2"/>
  <c r="AD26" i="2"/>
  <c r="AE26" i="2"/>
  <c r="H26" i="2"/>
  <c r="D26" i="2"/>
  <c r="I22" i="2"/>
  <c r="J22" i="2"/>
  <c r="K22" i="2"/>
  <c r="L22" i="2"/>
  <c r="M22" i="2"/>
  <c r="N22" i="2"/>
  <c r="O22" i="2"/>
  <c r="P22" i="2"/>
  <c r="Q22" i="2"/>
  <c r="R22" i="2"/>
  <c r="S22" i="2"/>
  <c r="T22" i="2"/>
  <c r="U22" i="2"/>
  <c r="V22" i="2"/>
  <c r="W22" i="2"/>
  <c r="X22" i="2"/>
  <c r="Y22" i="2"/>
  <c r="Z22" i="2"/>
  <c r="AA22" i="2"/>
  <c r="AB22" i="2"/>
  <c r="AC22" i="2"/>
  <c r="AD22" i="2"/>
  <c r="AE22" i="2"/>
  <c r="H22" i="2"/>
  <c r="D22" i="2"/>
  <c r="I14" i="2"/>
  <c r="J14" i="2"/>
  <c r="K14" i="2"/>
  <c r="L14" i="2"/>
  <c r="M14" i="2"/>
  <c r="N14" i="2"/>
  <c r="O14" i="2"/>
  <c r="P14" i="2"/>
  <c r="Q14" i="2"/>
  <c r="R14" i="2"/>
  <c r="S14" i="2"/>
  <c r="T14" i="2"/>
  <c r="U14" i="2"/>
  <c r="V14" i="2"/>
  <c r="W14" i="2"/>
  <c r="X14" i="2"/>
  <c r="Y14" i="2"/>
  <c r="Z14" i="2"/>
  <c r="AA14" i="2"/>
  <c r="AB14" i="2"/>
  <c r="AC14" i="2"/>
  <c r="AD14" i="2"/>
  <c r="AE14" i="2"/>
  <c r="H14" i="2"/>
  <c r="AD23" i="4"/>
  <c r="I19" i="4"/>
  <c r="I18" i="4" s="1"/>
  <c r="J19" i="4"/>
  <c r="J18" i="4" s="1"/>
  <c r="K19" i="4"/>
  <c r="K18" i="4" s="1"/>
  <c r="L19" i="4"/>
  <c r="L18" i="4" s="1"/>
  <c r="M19" i="4"/>
  <c r="M18" i="4" s="1"/>
  <c r="N19" i="4"/>
  <c r="N18" i="4" s="1"/>
  <c r="O19" i="4"/>
  <c r="O18" i="4" s="1"/>
  <c r="P19" i="4"/>
  <c r="P18" i="4" s="1"/>
  <c r="Q19" i="4"/>
  <c r="Q18" i="4" s="1"/>
  <c r="R19" i="4"/>
  <c r="R18" i="4" s="1"/>
  <c r="S19" i="4"/>
  <c r="S18" i="4" s="1"/>
  <c r="T19" i="4"/>
  <c r="T18" i="4" s="1"/>
  <c r="U19" i="4"/>
  <c r="U18" i="4" s="1"/>
  <c r="V19" i="4"/>
  <c r="V18" i="4" s="1"/>
  <c r="W19" i="4"/>
  <c r="W18" i="4" s="1"/>
  <c r="X19" i="4"/>
  <c r="X18" i="4" s="1"/>
  <c r="Y19" i="4"/>
  <c r="Y18" i="4" s="1"/>
  <c r="Z19" i="4"/>
  <c r="Z18" i="4" s="1"/>
  <c r="AA19" i="4"/>
  <c r="AA18" i="4" s="1"/>
  <c r="AB19" i="4"/>
  <c r="AB18" i="4" s="1"/>
  <c r="AC19" i="4"/>
  <c r="AC18" i="4" s="1"/>
  <c r="AD19" i="4"/>
  <c r="AD18" i="4" s="1"/>
  <c r="AE19" i="4"/>
  <c r="AE18" i="4" s="1"/>
  <c r="H19" i="4"/>
  <c r="H18" i="4" s="1"/>
  <c r="AD16" i="4"/>
  <c r="AD15" i="4" s="1"/>
  <c r="I13" i="4"/>
  <c r="I12" i="4" s="1"/>
  <c r="J13" i="4"/>
  <c r="J12" i="4" s="1"/>
  <c r="K13" i="4"/>
  <c r="K12" i="4" s="1"/>
  <c r="L13" i="4"/>
  <c r="L12" i="4" s="1"/>
  <c r="M13" i="4"/>
  <c r="M12" i="4" s="1"/>
  <c r="N13" i="4"/>
  <c r="N12" i="4" s="1"/>
  <c r="O13" i="4"/>
  <c r="O12" i="4" s="1"/>
  <c r="P13" i="4"/>
  <c r="P12" i="4" s="1"/>
  <c r="Q13" i="4"/>
  <c r="Q12" i="4" s="1"/>
  <c r="R13" i="4"/>
  <c r="R12" i="4" s="1"/>
  <c r="S13" i="4"/>
  <c r="S12" i="4" s="1"/>
  <c r="T13" i="4"/>
  <c r="T12" i="4" s="1"/>
  <c r="U13" i="4"/>
  <c r="U12" i="4" s="1"/>
  <c r="V13" i="4"/>
  <c r="V12" i="4" s="1"/>
  <c r="W13" i="4"/>
  <c r="W12" i="4" s="1"/>
  <c r="X13" i="4"/>
  <c r="X12" i="4" s="1"/>
  <c r="Y13" i="4"/>
  <c r="Y12" i="4" s="1"/>
  <c r="Z13" i="4"/>
  <c r="Z12" i="4" s="1"/>
  <c r="AA13" i="4"/>
  <c r="AA12" i="4" s="1"/>
  <c r="AB13" i="4"/>
  <c r="AB12" i="4" s="1"/>
  <c r="AC13" i="4"/>
  <c r="AC12" i="4" s="1"/>
  <c r="AD13" i="4"/>
  <c r="AD12" i="4" s="1"/>
  <c r="AE13" i="4"/>
  <c r="AE12" i="4" s="1"/>
  <c r="H13" i="4"/>
  <c r="H12" i="4" s="1"/>
  <c r="AB10" i="4"/>
  <c r="AB9" i="4" s="1"/>
  <c r="AC10" i="4"/>
  <c r="AC9" i="4" s="1"/>
  <c r="AD10" i="4"/>
  <c r="AD9" i="4" s="1"/>
  <c r="AE10" i="4"/>
  <c r="AE9" i="4" s="1"/>
  <c r="I10" i="4"/>
  <c r="J10" i="4"/>
  <c r="K10" i="4"/>
  <c r="L10" i="4"/>
  <c r="M10" i="4"/>
  <c r="N10" i="4"/>
  <c r="O10" i="4"/>
  <c r="O9" i="4" s="1"/>
  <c r="P10" i="4"/>
  <c r="Q10" i="4"/>
  <c r="R10" i="4"/>
  <c r="S10" i="4"/>
  <c r="T10" i="4"/>
  <c r="U10" i="4"/>
  <c r="V10" i="4"/>
  <c r="W10" i="4"/>
  <c r="W9" i="4" s="1"/>
  <c r="X10" i="4"/>
  <c r="Y10" i="4"/>
  <c r="Z10" i="4"/>
  <c r="AA10" i="4"/>
  <c r="H10" i="4"/>
  <c r="H9" i="4" s="1"/>
  <c r="I9" i="4"/>
  <c r="J9" i="4"/>
  <c r="K9" i="4"/>
  <c r="L9" i="4"/>
  <c r="M9" i="4"/>
  <c r="N9" i="4"/>
  <c r="P9" i="4"/>
  <c r="Q9" i="4"/>
  <c r="R9" i="4"/>
  <c r="S9" i="4"/>
  <c r="T9" i="4"/>
  <c r="U9" i="4"/>
  <c r="V9" i="4"/>
  <c r="X9" i="4"/>
  <c r="Y9" i="4"/>
  <c r="Z9" i="4"/>
  <c r="AA9" i="4"/>
  <c r="I11" i="3"/>
  <c r="J11" i="3"/>
  <c r="K11" i="3"/>
  <c r="L11" i="3"/>
  <c r="M11" i="3"/>
  <c r="N11" i="3"/>
  <c r="O11" i="3"/>
  <c r="P11" i="3"/>
  <c r="Q11" i="3"/>
  <c r="R11" i="3"/>
  <c r="S11" i="3"/>
  <c r="T11" i="3"/>
  <c r="U11" i="3"/>
  <c r="V11" i="3"/>
  <c r="W11" i="3"/>
  <c r="X11" i="3"/>
  <c r="Y11" i="3"/>
  <c r="Z11" i="3"/>
  <c r="AA11" i="3"/>
  <c r="AB11" i="3"/>
  <c r="AC11" i="3"/>
  <c r="AD11" i="3"/>
  <c r="AE11" i="3"/>
  <c r="B53" i="4"/>
  <c r="B52" i="4" s="1"/>
  <c r="B50" i="4"/>
  <c r="B49" i="4" s="1"/>
  <c r="E34" i="4"/>
  <c r="E33" i="4" s="1"/>
  <c r="D34" i="4"/>
  <c r="D33" i="4" s="1"/>
  <c r="C34" i="4"/>
  <c r="B34" i="4"/>
  <c r="B33" i="4" s="1"/>
  <c r="E31" i="4"/>
  <c r="E40" i="4" s="1"/>
  <c r="D31" i="4"/>
  <c r="D40" i="4" s="1"/>
  <c r="D44" i="4" s="1"/>
  <c r="C31" i="4"/>
  <c r="B31" i="4"/>
  <c r="B30" i="4" s="1"/>
  <c r="E30" i="4"/>
  <c r="E20" i="4"/>
  <c r="D20" i="4"/>
  <c r="C20" i="4"/>
  <c r="B20" i="4"/>
  <c r="B19" i="4" s="1"/>
  <c r="E19" i="4"/>
  <c r="E18" i="4" s="1"/>
  <c r="D19" i="4"/>
  <c r="D18" i="4" s="1"/>
  <c r="AG14" i="4"/>
  <c r="D13" i="4"/>
  <c r="D12" i="4" s="1"/>
  <c r="C13" i="4"/>
  <c r="B14" i="4"/>
  <c r="B13" i="4" s="1"/>
  <c r="B12" i="4" s="1"/>
  <c r="D11" i="4"/>
  <c r="D10" i="4" s="1"/>
  <c r="D9" i="4" s="1"/>
  <c r="B11" i="4"/>
  <c r="B10" i="4" s="1"/>
  <c r="B9" i="4" s="1"/>
  <c r="E49" i="4"/>
  <c r="C49" i="4"/>
  <c r="E52" i="4"/>
  <c r="D53" i="4"/>
  <c r="D52" i="4" s="1"/>
  <c r="C52" i="4"/>
  <c r="E36" i="4"/>
  <c r="C36" i="4"/>
  <c r="B37" i="4"/>
  <c r="E132" i="6" l="1"/>
  <c r="B132" i="6"/>
  <c r="G63" i="5"/>
  <c r="E129" i="6"/>
  <c r="AG36" i="4"/>
  <c r="F122" i="6"/>
  <c r="E98" i="6"/>
  <c r="G71" i="6"/>
  <c r="AG52" i="4"/>
  <c r="D128" i="6"/>
  <c r="D126" i="6" s="1"/>
  <c r="D122" i="6"/>
  <c r="C53" i="5"/>
  <c r="C12" i="4"/>
  <c r="AG49" i="4"/>
  <c r="C40" i="4"/>
  <c r="AG40" i="4" s="1"/>
  <c r="AG31" i="4"/>
  <c r="C33" i="4"/>
  <c r="AG33" i="4" s="1"/>
  <c r="AG34" i="4"/>
  <c r="C19" i="4"/>
  <c r="AG20" i="4"/>
  <c r="T46" i="5"/>
  <c r="T45" i="5" s="1"/>
  <c r="G126" i="6"/>
  <c r="C22" i="5"/>
  <c r="C21" i="5" s="1"/>
  <c r="R46" i="5"/>
  <c r="R45" i="5" s="1"/>
  <c r="G99" i="6"/>
  <c r="E27" i="5"/>
  <c r="G27" i="5" s="1"/>
  <c r="E22" i="5"/>
  <c r="E21" i="5" s="1"/>
  <c r="E24" i="5"/>
  <c r="G122" i="6"/>
  <c r="G119" i="7"/>
  <c r="F115" i="7"/>
  <c r="G121" i="7"/>
  <c r="C24" i="5"/>
  <c r="C30" i="4"/>
  <c r="D30" i="4"/>
  <c r="F50" i="2"/>
  <c r="B24" i="5"/>
  <c r="C50" i="5"/>
  <c r="E54" i="5"/>
  <c r="E53" i="5" s="1"/>
  <c r="G51" i="5"/>
  <c r="D50" i="5"/>
  <c r="D53" i="5"/>
  <c r="D57" i="5"/>
  <c r="D56" i="5" s="1"/>
  <c r="D24" i="5"/>
  <c r="H39" i="4"/>
  <c r="H55" i="4"/>
  <c r="E50" i="5"/>
  <c r="F50" i="5" s="1"/>
  <c r="G115" i="7"/>
  <c r="B41" i="4"/>
  <c r="B36" i="4"/>
  <c r="F36" i="4" s="1"/>
  <c r="D41" i="4"/>
  <c r="D62" i="4" s="1"/>
  <c r="D65" i="4" s="1"/>
  <c r="D36" i="4"/>
  <c r="G20" i="4"/>
  <c r="F52" i="4"/>
  <c r="AD26" i="4"/>
  <c r="AD25" i="4" s="1"/>
  <c r="AD61" i="4"/>
  <c r="AD64" i="4" s="1"/>
  <c r="AD22" i="4"/>
  <c r="H45" i="4"/>
  <c r="H62" i="4"/>
  <c r="H65" i="4" s="1"/>
  <c r="J45" i="4"/>
  <c r="J62" i="4"/>
  <c r="J65" i="4" s="1"/>
  <c r="I62" i="4"/>
  <c r="I65" i="4" s="1"/>
  <c r="I45" i="4"/>
  <c r="AE45" i="4"/>
  <c r="AE62" i="4"/>
  <c r="AE65" i="4" s="1"/>
  <c r="AD65" i="4"/>
  <c r="AC45" i="4"/>
  <c r="AC62" i="4"/>
  <c r="AC65" i="4" s="1"/>
  <c r="AA45" i="4"/>
  <c r="AA62" i="4"/>
  <c r="AA65" i="4" s="1"/>
  <c r="Y45" i="4"/>
  <c r="Y62" i="4"/>
  <c r="Y65" i="4" s="1"/>
  <c r="W45" i="4"/>
  <c r="W62" i="4"/>
  <c r="W65" i="4" s="1"/>
  <c r="U45" i="4"/>
  <c r="U62" i="4"/>
  <c r="U65" i="4" s="1"/>
  <c r="S45" i="4"/>
  <c r="S62" i="4"/>
  <c r="S65" i="4" s="1"/>
  <c r="Q45" i="4"/>
  <c r="Q62" i="4"/>
  <c r="Q65" i="4" s="1"/>
  <c r="O45" i="4"/>
  <c r="O62" i="4"/>
  <c r="O65" i="4" s="1"/>
  <c r="M45" i="4"/>
  <c r="M62" i="4"/>
  <c r="M65" i="4" s="1"/>
  <c r="K45" i="4"/>
  <c r="K62" i="4"/>
  <c r="K65" i="4" s="1"/>
  <c r="AC55" i="4"/>
  <c r="AC59" i="4"/>
  <c r="AC58" i="4" s="1"/>
  <c r="AB59" i="4"/>
  <c r="AB58" i="4" s="1"/>
  <c r="AB55" i="4"/>
  <c r="Y55" i="4"/>
  <c r="Y59" i="4"/>
  <c r="Y58" i="4" s="1"/>
  <c r="X59" i="4"/>
  <c r="X58" i="4" s="1"/>
  <c r="X55" i="4"/>
  <c r="U55" i="4"/>
  <c r="U59" i="4"/>
  <c r="U58" i="4" s="1"/>
  <c r="T59" i="4"/>
  <c r="T58" i="4" s="1"/>
  <c r="T55" i="4"/>
  <c r="Q55" i="4"/>
  <c r="Q59" i="4"/>
  <c r="Q58" i="4" s="1"/>
  <c r="P59" i="4"/>
  <c r="P58" i="4" s="1"/>
  <c r="P55" i="4"/>
  <c r="M55" i="4"/>
  <c r="M58" i="4"/>
  <c r="L59" i="4"/>
  <c r="L58" i="4" s="1"/>
  <c r="L55" i="4"/>
  <c r="I55" i="4"/>
  <c r="I59" i="4"/>
  <c r="I58" i="4" s="1"/>
  <c r="C10" i="5"/>
  <c r="C9" i="5" s="1"/>
  <c r="C13" i="5"/>
  <c r="D69" i="5"/>
  <c r="D68" i="5" s="1"/>
  <c r="D14" i="5"/>
  <c r="D13" i="5" s="1"/>
  <c r="E9" i="5"/>
  <c r="E14" i="5"/>
  <c r="E13" i="5" s="1"/>
  <c r="B43" i="5"/>
  <c r="B42" i="5" s="1"/>
  <c r="B21" i="5"/>
  <c r="B69" i="5"/>
  <c r="B71" i="5" s="1"/>
  <c r="B70" i="5" s="1"/>
  <c r="D43" i="5"/>
  <c r="AE42" i="5"/>
  <c r="AE46" i="5"/>
  <c r="AE45" i="5" s="1"/>
  <c r="AD46" i="5"/>
  <c r="AD45" i="5" s="1"/>
  <c r="AD42" i="5"/>
  <c r="AC42" i="5"/>
  <c r="AC46" i="5"/>
  <c r="AC45" i="5" s="1"/>
  <c r="AB46" i="5"/>
  <c r="AB45" i="5" s="1"/>
  <c r="AB42" i="5"/>
  <c r="AA42" i="5"/>
  <c r="AA46" i="5"/>
  <c r="AA45" i="5" s="1"/>
  <c r="Z46" i="5"/>
  <c r="Z45" i="5" s="1"/>
  <c r="Z42" i="5"/>
  <c r="Y42" i="5"/>
  <c r="Y46" i="5"/>
  <c r="Y45" i="5" s="1"/>
  <c r="X46" i="5"/>
  <c r="X45" i="5" s="1"/>
  <c r="X42" i="5"/>
  <c r="W42" i="5"/>
  <c r="W46" i="5"/>
  <c r="W45" i="5" s="1"/>
  <c r="V46" i="5"/>
  <c r="V45" i="5" s="1"/>
  <c r="V42" i="5"/>
  <c r="U42" i="5"/>
  <c r="U46" i="5"/>
  <c r="U45" i="5" s="1"/>
  <c r="S42" i="5"/>
  <c r="S46" i="5"/>
  <c r="S45" i="5" s="1"/>
  <c r="Q42" i="5"/>
  <c r="Q46" i="5"/>
  <c r="Q45" i="5" s="1"/>
  <c r="P46" i="5"/>
  <c r="P45" i="5" s="1"/>
  <c r="P42" i="5"/>
  <c r="O42" i="5"/>
  <c r="O46" i="5"/>
  <c r="O45" i="5" s="1"/>
  <c r="N46" i="5"/>
  <c r="N45" i="5" s="1"/>
  <c r="N42" i="5"/>
  <c r="M42" i="5"/>
  <c r="M46" i="5"/>
  <c r="M45" i="5" s="1"/>
  <c r="L46" i="5"/>
  <c r="L45" i="5" s="1"/>
  <c r="L42" i="5"/>
  <c r="K42" i="5"/>
  <c r="K46" i="5"/>
  <c r="K45" i="5" s="1"/>
  <c r="J46" i="5"/>
  <c r="J45" i="5" s="1"/>
  <c r="J42" i="5"/>
  <c r="I42" i="5"/>
  <c r="G30" i="5"/>
  <c r="F30" i="5"/>
  <c r="F119" i="7"/>
  <c r="F121" i="7"/>
  <c r="B98" i="6"/>
  <c r="B129" i="6" s="1"/>
  <c r="B102" i="6"/>
  <c r="B61" i="6"/>
  <c r="B58" i="6" s="1"/>
  <c r="G98" i="6"/>
  <c r="C61" i="6"/>
  <c r="C52" i="6"/>
  <c r="F128" i="6"/>
  <c r="F126" i="6"/>
  <c r="F28" i="5"/>
  <c r="G25" i="5"/>
  <c r="G11" i="5"/>
  <c r="F25" i="5"/>
  <c r="G28" i="5"/>
  <c r="F51" i="5"/>
  <c r="F11" i="5"/>
  <c r="B10" i="5"/>
  <c r="B9" i="5" s="1"/>
  <c r="D10" i="5"/>
  <c r="D9" i="5" s="1"/>
  <c r="G36" i="4"/>
  <c r="C44" i="4"/>
  <c r="AG44" i="4" s="1"/>
  <c r="E44" i="4"/>
  <c r="G40" i="4"/>
  <c r="G49" i="4"/>
  <c r="F37" i="4"/>
  <c r="E41" i="4"/>
  <c r="E62" i="4" s="1"/>
  <c r="C41" i="4"/>
  <c r="J39" i="4"/>
  <c r="H44" i="4"/>
  <c r="F49" i="4"/>
  <c r="B56" i="4"/>
  <c r="G52" i="4"/>
  <c r="D56" i="4"/>
  <c r="F19" i="4"/>
  <c r="F20" i="4"/>
  <c r="F30" i="4"/>
  <c r="F31" i="4"/>
  <c r="B40" i="4"/>
  <c r="I39" i="4"/>
  <c r="I44" i="4"/>
  <c r="AD39" i="4"/>
  <c r="AD45" i="4"/>
  <c r="AD43" i="4" s="1"/>
  <c r="AB39" i="4"/>
  <c r="AB45" i="4"/>
  <c r="AB43" i="4" s="1"/>
  <c r="Z39" i="4"/>
  <c r="Z45" i="4"/>
  <c r="Z43" i="4" s="1"/>
  <c r="X39" i="4"/>
  <c r="X45" i="4"/>
  <c r="X43" i="4" s="1"/>
  <c r="V39" i="4"/>
  <c r="V45" i="4"/>
  <c r="V43" i="4" s="1"/>
  <c r="T39" i="4"/>
  <c r="T45" i="4"/>
  <c r="T43" i="4" s="1"/>
  <c r="R39" i="4"/>
  <c r="R45" i="4"/>
  <c r="R43" i="4" s="1"/>
  <c r="P39" i="4"/>
  <c r="P45" i="4"/>
  <c r="P43" i="4" s="1"/>
  <c r="J44" i="4"/>
  <c r="E56" i="4"/>
  <c r="AG56" i="4" s="1"/>
  <c r="AE59" i="4"/>
  <c r="AE58" i="4" s="1"/>
  <c r="AA59" i="4"/>
  <c r="AA58" i="4" s="1"/>
  <c r="W59" i="4"/>
  <c r="W58" i="4" s="1"/>
  <c r="S59" i="4"/>
  <c r="S58" i="4" s="1"/>
  <c r="O59" i="4"/>
  <c r="O58" i="4" s="1"/>
  <c r="K59" i="4"/>
  <c r="K58" i="4" s="1"/>
  <c r="N39" i="4"/>
  <c r="L39" i="4"/>
  <c r="AE39" i="4"/>
  <c r="AC39" i="4"/>
  <c r="AA39" i="4"/>
  <c r="Y39" i="4"/>
  <c r="W39" i="4"/>
  <c r="U39" i="4"/>
  <c r="S39" i="4"/>
  <c r="Q39" i="4"/>
  <c r="O39" i="4"/>
  <c r="M39" i="4"/>
  <c r="K39" i="4"/>
  <c r="N45" i="4"/>
  <c r="N43" i="4" s="1"/>
  <c r="L45" i="4"/>
  <c r="L43" i="4" s="1"/>
  <c r="AE44" i="4"/>
  <c r="AC44" i="4"/>
  <c r="AA44" i="4"/>
  <c r="Y44" i="4"/>
  <c r="W44" i="4"/>
  <c r="U44" i="4"/>
  <c r="S44" i="4"/>
  <c r="Q44" i="4"/>
  <c r="O44" i="4"/>
  <c r="M44" i="4"/>
  <c r="K44" i="4"/>
  <c r="AD55" i="4"/>
  <c r="Z55" i="4"/>
  <c r="V55" i="4"/>
  <c r="R55" i="4"/>
  <c r="N55" i="4"/>
  <c r="J55" i="4"/>
  <c r="B18" i="4"/>
  <c r="G33" i="4"/>
  <c r="G34" i="4"/>
  <c r="F33" i="4"/>
  <c r="F34" i="4"/>
  <c r="G31" i="4"/>
  <c r="G19" i="4"/>
  <c r="F14" i="4"/>
  <c r="E13" i="4"/>
  <c r="AG13" i="4" s="1"/>
  <c r="G50" i="4"/>
  <c r="F53" i="4"/>
  <c r="F50" i="4"/>
  <c r="G53" i="4"/>
  <c r="G37" i="4"/>
  <c r="K54" i="2"/>
  <c r="K58" i="2" s="1"/>
  <c r="L54" i="2"/>
  <c r="L58" i="2" s="1"/>
  <c r="M54" i="2"/>
  <c r="M58" i="2" s="1"/>
  <c r="N54" i="2"/>
  <c r="N58" i="2" s="1"/>
  <c r="O54" i="2"/>
  <c r="O58" i="2" s="1"/>
  <c r="P54" i="2"/>
  <c r="P58" i="2" s="1"/>
  <c r="Q54" i="2"/>
  <c r="Q58" i="2" s="1"/>
  <c r="R54" i="2"/>
  <c r="R58" i="2" s="1"/>
  <c r="S54" i="2"/>
  <c r="S58" i="2" s="1"/>
  <c r="T54" i="2"/>
  <c r="T58" i="2" s="1"/>
  <c r="U54" i="2"/>
  <c r="U58" i="2" s="1"/>
  <c r="V54" i="2"/>
  <c r="V58" i="2" s="1"/>
  <c r="W54" i="2"/>
  <c r="W58" i="2" s="1"/>
  <c r="X54" i="2"/>
  <c r="X58" i="2" s="1"/>
  <c r="Y54" i="2"/>
  <c r="Y58" i="2" s="1"/>
  <c r="Z54" i="2"/>
  <c r="Z58" i="2" s="1"/>
  <c r="AA54" i="2"/>
  <c r="AA58" i="2" s="1"/>
  <c r="AB54" i="2"/>
  <c r="AB58" i="2" s="1"/>
  <c r="AC54" i="2"/>
  <c r="AC58" i="2" s="1"/>
  <c r="AD54" i="2"/>
  <c r="AD58" i="2" s="1"/>
  <c r="AE54" i="2"/>
  <c r="AE58" i="2" s="1"/>
  <c r="K55" i="2"/>
  <c r="K59" i="2" s="1"/>
  <c r="L55" i="2"/>
  <c r="L59" i="2" s="1"/>
  <c r="M55" i="2"/>
  <c r="M59" i="2" s="1"/>
  <c r="N55" i="2"/>
  <c r="N59" i="2" s="1"/>
  <c r="O55" i="2"/>
  <c r="O59" i="2" s="1"/>
  <c r="P55" i="2"/>
  <c r="P59" i="2" s="1"/>
  <c r="Q55" i="2"/>
  <c r="Q59" i="2" s="1"/>
  <c r="R55" i="2"/>
  <c r="R59" i="2" s="1"/>
  <c r="S55" i="2"/>
  <c r="S59" i="2" s="1"/>
  <c r="T55" i="2"/>
  <c r="T59" i="2" s="1"/>
  <c r="U55" i="2"/>
  <c r="U59" i="2" s="1"/>
  <c r="V55" i="2"/>
  <c r="V59" i="2" s="1"/>
  <c r="W55" i="2"/>
  <c r="W59" i="2" s="1"/>
  <c r="X55" i="2"/>
  <c r="X59" i="2" s="1"/>
  <c r="Y55" i="2"/>
  <c r="Y59" i="2" s="1"/>
  <c r="Z55" i="2"/>
  <c r="Z59" i="2" s="1"/>
  <c r="AA55" i="2"/>
  <c r="AA59" i="2" s="1"/>
  <c r="AB55" i="2"/>
  <c r="AB59" i="2" s="1"/>
  <c r="AC55" i="2"/>
  <c r="AC59" i="2" s="1"/>
  <c r="AD55" i="2"/>
  <c r="AD59" i="2" s="1"/>
  <c r="AE55" i="2"/>
  <c r="AE59" i="2" s="1"/>
  <c r="I54" i="2"/>
  <c r="J54" i="2"/>
  <c r="J58" i="2" s="1"/>
  <c r="I59" i="2"/>
  <c r="J55" i="2"/>
  <c r="J59" i="2" s="1"/>
  <c r="H55" i="2"/>
  <c r="H53" i="2" s="1"/>
  <c r="D59" i="2"/>
  <c r="E59" i="2"/>
  <c r="F29" i="3"/>
  <c r="G29" i="3"/>
  <c r="F33" i="3"/>
  <c r="G33" i="3"/>
  <c r="F37" i="3"/>
  <c r="G37" i="3"/>
  <c r="Q27" i="3"/>
  <c r="Q35" i="3" s="1"/>
  <c r="Q39" i="3" s="1"/>
  <c r="R27" i="3"/>
  <c r="R31" i="3" s="1"/>
  <c r="S27" i="3"/>
  <c r="S35" i="3" s="1"/>
  <c r="S39" i="3" s="1"/>
  <c r="T27" i="3"/>
  <c r="T31" i="3" s="1"/>
  <c r="U27" i="3"/>
  <c r="U35" i="3" s="1"/>
  <c r="U39" i="3" s="1"/>
  <c r="V27" i="3"/>
  <c r="V31" i="3" s="1"/>
  <c r="W27" i="3"/>
  <c r="W35" i="3" s="1"/>
  <c r="W39" i="3" s="1"/>
  <c r="X27" i="3"/>
  <c r="X31" i="3" s="1"/>
  <c r="Y27" i="3"/>
  <c r="Z27" i="3"/>
  <c r="Z31" i="3" s="1"/>
  <c r="AA27" i="3"/>
  <c r="AA35" i="3" s="1"/>
  <c r="AA39" i="3" s="1"/>
  <c r="AB27" i="3"/>
  <c r="AB31" i="3" s="1"/>
  <c r="AC27" i="3"/>
  <c r="AC35" i="3" s="1"/>
  <c r="AC39" i="3" s="1"/>
  <c r="AD27" i="3"/>
  <c r="AD31" i="3" s="1"/>
  <c r="AE27" i="3"/>
  <c r="AE35" i="3" s="1"/>
  <c r="AE39" i="3" s="1"/>
  <c r="Q28" i="3"/>
  <c r="Q32" i="3" s="1"/>
  <c r="R28" i="3"/>
  <c r="S28" i="3"/>
  <c r="S32" i="3" s="1"/>
  <c r="T28" i="3"/>
  <c r="U28" i="3"/>
  <c r="U32" i="3" s="1"/>
  <c r="V28" i="3"/>
  <c r="W28" i="3"/>
  <c r="W32" i="3" s="1"/>
  <c r="X28" i="3"/>
  <c r="Y28" i="3"/>
  <c r="Y32" i="3" s="1"/>
  <c r="Z28" i="3"/>
  <c r="Z36" i="3" s="1"/>
  <c r="Z40" i="3" s="1"/>
  <c r="AA28" i="3"/>
  <c r="AA32" i="3" s="1"/>
  <c r="AB28" i="3"/>
  <c r="AB36" i="3" s="1"/>
  <c r="AB40" i="3" s="1"/>
  <c r="AC28" i="3"/>
  <c r="AC32" i="3" s="1"/>
  <c r="AD28" i="3"/>
  <c r="AD36" i="3" s="1"/>
  <c r="AD40" i="3" s="1"/>
  <c r="AE28" i="3"/>
  <c r="AE32" i="3" s="1"/>
  <c r="I27" i="3"/>
  <c r="I35" i="3" s="1"/>
  <c r="I39" i="3" s="1"/>
  <c r="J27" i="3"/>
  <c r="K27" i="3"/>
  <c r="K35" i="3" s="1"/>
  <c r="K39" i="3" s="1"/>
  <c r="L27" i="3"/>
  <c r="M27" i="3"/>
  <c r="M35" i="3" s="1"/>
  <c r="M39" i="3" s="1"/>
  <c r="N27" i="3"/>
  <c r="O27" i="3"/>
  <c r="O35" i="3" s="1"/>
  <c r="O39" i="3" s="1"/>
  <c r="P27" i="3"/>
  <c r="I28" i="3"/>
  <c r="I32" i="3" s="1"/>
  <c r="J28" i="3"/>
  <c r="K28" i="3"/>
  <c r="K32" i="3" s="1"/>
  <c r="L28" i="3"/>
  <c r="M28" i="3"/>
  <c r="M32" i="3" s="1"/>
  <c r="N28" i="3"/>
  <c r="O28" i="3"/>
  <c r="O32" i="3" s="1"/>
  <c r="P28" i="3"/>
  <c r="H28" i="3"/>
  <c r="H32" i="3" s="1"/>
  <c r="H27" i="3"/>
  <c r="H35" i="3" s="1"/>
  <c r="H39" i="3" s="1"/>
  <c r="Y35" i="3"/>
  <c r="Y39" i="3" s="1"/>
  <c r="Z35" i="3"/>
  <c r="Z39" i="3" s="1"/>
  <c r="G14" i="4"/>
  <c r="E11" i="4"/>
  <c r="E10" i="4" s="1"/>
  <c r="E9" i="4" s="1"/>
  <c r="C11" i="4"/>
  <c r="F14" i="3"/>
  <c r="B24" i="3"/>
  <c r="F24" i="3" s="1"/>
  <c r="C20" i="3"/>
  <c r="C55" i="2"/>
  <c r="B28" i="2"/>
  <c r="F28" i="2" s="1"/>
  <c r="AG41" i="4" l="1"/>
  <c r="AG50" i="5"/>
  <c r="E101" i="6"/>
  <c r="AG53" i="5"/>
  <c r="AG54" i="5"/>
  <c r="C18" i="4"/>
  <c r="AG18" i="4" s="1"/>
  <c r="AG19" i="4"/>
  <c r="G30" i="4"/>
  <c r="AG30" i="4"/>
  <c r="C10" i="4"/>
  <c r="C9" i="4" s="1"/>
  <c r="AG11" i="4"/>
  <c r="J43" i="4"/>
  <c r="F27" i="5"/>
  <c r="G102" i="6"/>
  <c r="F22" i="5"/>
  <c r="C43" i="5"/>
  <c r="K43" i="4"/>
  <c r="O43" i="4"/>
  <c r="S43" i="4"/>
  <c r="W43" i="4"/>
  <c r="AA43" i="4"/>
  <c r="AE43" i="4"/>
  <c r="G24" i="5"/>
  <c r="G22" i="5"/>
  <c r="E43" i="5"/>
  <c r="M43" i="4"/>
  <c r="U43" i="4"/>
  <c r="AC43" i="4"/>
  <c r="F24" i="5"/>
  <c r="H43" i="4"/>
  <c r="G50" i="5"/>
  <c r="F11" i="3"/>
  <c r="D45" i="4"/>
  <c r="D43" i="4" s="1"/>
  <c r="M36" i="3"/>
  <c r="M40" i="3" s="1"/>
  <c r="Q43" i="4"/>
  <c r="Y43" i="4"/>
  <c r="I43" i="4"/>
  <c r="D39" i="4"/>
  <c r="X35" i="3"/>
  <c r="X39" i="3" s="1"/>
  <c r="B46" i="5"/>
  <c r="B45" i="5" s="1"/>
  <c r="F43" i="5"/>
  <c r="G17" i="3"/>
  <c r="F17" i="3"/>
  <c r="AD63" i="4"/>
  <c r="I36" i="3"/>
  <c r="I40" i="3" s="1"/>
  <c r="AD60" i="4"/>
  <c r="G21" i="5"/>
  <c r="F21" i="5"/>
  <c r="F59" i="2"/>
  <c r="AG55" i="2"/>
  <c r="G55" i="2"/>
  <c r="C47" i="2"/>
  <c r="C54" i="2"/>
  <c r="H59" i="2"/>
  <c r="C59" i="2"/>
  <c r="I58" i="2"/>
  <c r="I57" i="2" s="1"/>
  <c r="I53" i="2"/>
  <c r="G10" i="5"/>
  <c r="P57" i="2"/>
  <c r="N57" i="2"/>
  <c r="H36" i="3"/>
  <c r="H40" i="3" s="1"/>
  <c r="AD35" i="3"/>
  <c r="AD39" i="3" s="1"/>
  <c r="W36" i="3"/>
  <c r="W40" i="3" s="1"/>
  <c r="U36" i="3"/>
  <c r="U40" i="3" s="1"/>
  <c r="AB35" i="3"/>
  <c r="AB39" i="3" s="1"/>
  <c r="O36" i="3"/>
  <c r="O40" i="3" s="1"/>
  <c r="AB57" i="2"/>
  <c r="Z57" i="2"/>
  <c r="D57" i="2"/>
  <c r="L57" i="2"/>
  <c r="T57" i="2"/>
  <c r="AD57" i="2"/>
  <c r="R57" i="2"/>
  <c r="X57" i="2"/>
  <c r="V57" i="2"/>
  <c r="AE36" i="3"/>
  <c r="AE40" i="3" s="1"/>
  <c r="AC36" i="3"/>
  <c r="AC40" i="3" s="1"/>
  <c r="T35" i="3"/>
  <c r="T39" i="3" s="1"/>
  <c r="AA36" i="3"/>
  <c r="AA40" i="3" s="1"/>
  <c r="K36" i="3"/>
  <c r="K40" i="3" s="1"/>
  <c r="S36" i="3"/>
  <c r="S40" i="3" s="1"/>
  <c r="R35" i="3"/>
  <c r="R39" i="3" s="1"/>
  <c r="Y36" i="3"/>
  <c r="Y40" i="3" s="1"/>
  <c r="V35" i="3"/>
  <c r="V39" i="3" s="1"/>
  <c r="Q36" i="3"/>
  <c r="Q40" i="3" s="1"/>
  <c r="C50" i="2"/>
  <c r="F20" i="3"/>
  <c r="G20" i="3"/>
  <c r="B23" i="3"/>
  <c r="B28" i="3"/>
  <c r="G14" i="3"/>
  <c r="D36" i="3"/>
  <c r="D40" i="3" s="1"/>
  <c r="D32" i="3"/>
  <c r="H26" i="3"/>
  <c r="H34" i="3" s="1"/>
  <c r="H38" i="3" s="1"/>
  <c r="H31" i="3"/>
  <c r="H30" i="3" s="1"/>
  <c r="P36" i="3"/>
  <c r="P40" i="3" s="1"/>
  <c r="P32" i="3"/>
  <c r="N36" i="3"/>
  <c r="N40" i="3" s="1"/>
  <c r="N32" i="3"/>
  <c r="L36" i="3"/>
  <c r="L40" i="3" s="1"/>
  <c r="L32" i="3"/>
  <c r="J36" i="3"/>
  <c r="J40" i="3" s="1"/>
  <c r="J32" i="3"/>
  <c r="P35" i="3"/>
  <c r="P39" i="3" s="1"/>
  <c r="P31" i="3"/>
  <c r="O26" i="3"/>
  <c r="O34" i="3" s="1"/>
  <c r="O38" i="3" s="1"/>
  <c r="O31" i="3"/>
  <c r="O30" i="3" s="1"/>
  <c r="N35" i="3"/>
  <c r="N39" i="3" s="1"/>
  <c r="N31" i="3"/>
  <c r="M26" i="3"/>
  <c r="M34" i="3" s="1"/>
  <c r="M38" i="3" s="1"/>
  <c r="M31" i="3"/>
  <c r="M30" i="3" s="1"/>
  <c r="L35" i="3"/>
  <c r="L39" i="3" s="1"/>
  <c r="L31" i="3"/>
  <c r="K26" i="3"/>
  <c r="K34" i="3" s="1"/>
  <c r="K38" i="3" s="1"/>
  <c r="K31" i="3"/>
  <c r="K30" i="3" s="1"/>
  <c r="J35" i="3"/>
  <c r="J39" i="3" s="1"/>
  <c r="J31" i="3"/>
  <c r="I26" i="3"/>
  <c r="I34" i="3" s="1"/>
  <c r="I38" i="3" s="1"/>
  <c r="I31" i="3"/>
  <c r="I30" i="3" s="1"/>
  <c r="AD26" i="3"/>
  <c r="AD34" i="3" s="1"/>
  <c r="AD38" i="3" s="1"/>
  <c r="AD32" i="3"/>
  <c r="AD30" i="3" s="1"/>
  <c r="AB26" i="3"/>
  <c r="AB34" i="3" s="1"/>
  <c r="AB38" i="3" s="1"/>
  <c r="AB32" i="3"/>
  <c r="AB30" i="3" s="1"/>
  <c r="Z26" i="3"/>
  <c r="Z34" i="3" s="1"/>
  <c r="Z38" i="3" s="1"/>
  <c r="Z32" i="3"/>
  <c r="Z30" i="3" s="1"/>
  <c r="X36" i="3"/>
  <c r="X40" i="3" s="1"/>
  <c r="X32" i="3"/>
  <c r="X30" i="3" s="1"/>
  <c r="V36" i="3"/>
  <c r="V40" i="3" s="1"/>
  <c r="V32" i="3"/>
  <c r="V30" i="3" s="1"/>
  <c r="T36" i="3"/>
  <c r="T40" i="3" s="1"/>
  <c r="T32" i="3"/>
  <c r="T30" i="3" s="1"/>
  <c r="R36" i="3"/>
  <c r="R40" i="3" s="1"/>
  <c r="R32" i="3"/>
  <c r="R30" i="3" s="1"/>
  <c r="AE26" i="3"/>
  <c r="AE34" i="3" s="1"/>
  <c r="AE38" i="3" s="1"/>
  <c r="AE31" i="3"/>
  <c r="AE30" i="3" s="1"/>
  <c r="AC26" i="3"/>
  <c r="AC34" i="3" s="1"/>
  <c r="AC38" i="3" s="1"/>
  <c r="AC31" i="3"/>
  <c r="AC30" i="3" s="1"/>
  <c r="AA26" i="3"/>
  <c r="AA34" i="3" s="1"/>
  <c r="AA38" i="3" s="1"/>
  <c r="AA31" i="3"/>
  <c r="AA30" i="3" s="1"/>
  <c r="Y26" i="3"/>
  <c r="Y34" i="3" s="1"/>
  <c r="Y38" i="3" s="1"/>
  <c r="Y31" i="3"/>
  <c r="Y30" i="3" s="1"/>
  <c r="W26" i="3"/>
  <c r="W34" i="3" s="1"/>
  <c r="W38" i="3" s="1"/>
  <c r="W31" i="3"/>
  <c r="W30" i="3" s="1"/>
  <c r="U26" i="3"/>
  <c r="U34" i="3" s="1"/>
  <c r="U38" i="3" s="1"/>
  <c r="U31" i="3"/>
  <c r="U30" i="3" s="1"/>
  <c r="S26" i="3"/>
  <c r="S34" i="3" s="1"/>
  <c r="S38" i="3" s="1"/>
  <c r="S31" i="3"/>
  <c r="S30" i="3" s="1"/>
  <c r="Q26" i="3"/>
  <c r="Q34" i="3" s="1"/>
  <c r="Q38" i="3" s="1"/>
  <c r="Q31" i="3"/>
  <c r="Q30" i="3" s="1"/>
  <c r="J57" i="2"/>
  <c r="J53" i="2"/>
  <c r="AE53" i="2"/>
  <c r="AD53" i="2"/>
  <c r="AC53" i="2"/>
  <c r="AB53" i="2"/>
  <c r="AA53" i="2"/>
  <c r="Z53" i="2"/>
  <c r="Y53" i="2"/>
  <c r="X53" i="2"/>
  <c r="W53" i="2"/>
  <c r="V53" i="2"/>
  <c r="U53" i="2"/>
  <c r="T53" i="2"/>
  <c r="S53" i="2"/>
  <c r="R53" i="2"/>
  <c r="Q53" i="2"/>
  <c r="P53" i="2"/>
  <c r="O53" i="2"/>
  <c r="N53" i="2"/>
  <c r="M53" i="2"/>
  <c r="L53" i="2"/>
  <c r="K53" i="2"/>
  <c r="C45" i="4"/>
  <c r="C62" i="4"/>
  <c r="E65" i="4"/>
  <c r="D46" i="5"/>
  <c r="D45" i="5" s="1"/>
  <c r="D42" i="5"/>
  <c r="F42" i="5" s="1"/>
  <c r="C42" i="5"/>
  <c r="B68" i="5"/>
  <c r="D71" i="5"/>
  <c r="D70" i="5" s="1"/>
  <c r="B45" i="4"/>
  <c r="B62" i="4"/>
  <c r="B101" i="6"/>
  <c r="F102" i="6"/>
  <c r="C58" i="6"/>
  <c r="E57" i="5"/>
  <c r="E56" i="5" s="1"/>
  <c r="F54" i="5"/>
  <c r="F53" i="5"/>
  <c r="B57" i="5"/>
  <c r="B56" i="5" s="1"/>
  <c r="C57" i="5"/>
  <c r="G53" i="5"/>
  <c r="G54" i="5"/>
  <c r="F10" i="5"/>
  <c r="F13" i="4"/>
  <c r="E12" i="4"/>
  <c r="AG12" i="4" s="1"/>
  <c r="E55" i="4"/>
  <c r="F56" i="4"/>
  <c r="E59" i="4"/>
  <c r="G56" i="4"/>
  <c r="D59" i="4"/>
  <c r="D58" i="4" s="1"/>
  <c r="D55" i="4"/>
  <c r="C55" i="4"/>
  <c r="G44" i="4"/>
  <c r="B39" i="4"/>
  <c r="B44" i="4"/>
  <c r="B55" i="4"/>
  <c r="B59" i="4"/>
  <c r="B58" i="4" s="1"/>
  <c r="E45" i="4"/>
  <c r="F41" i="4"/>
  <c r="G41" i="4"/>
  <c r="F40" i="4"/>
  <c r="E39" i="4"/>
  <c r="C39" i="4"/>
  <c r="AE57" i="2"/>
  <c r="AC57" i="2"/>
  <c r="AA57" i="2"/>
  <c r="Y57" i="2"/>
  <c r="W57" i="2"/>
  <c r="U57" i="2"/>
  <c r="S57" i="2"/>
  <c r="Q57" i="2"/>
  <c r="O57" i="2"/>
  <c r="M57" i="2"/>
  <c r="K57" i="2"/>
  <c r="H58" i="2"/>
  <c r="X26" i="3"/>
  <c r="X34" i="3" s="1"/>
  <c r="X38" i="3" s="1"/>
  <c r="V26" i="3"/>
  <c r="V34" i="3" s="1"/>
  <c r="V38" i="3" s="1"/>
  <c r="T26" i="3"/>
  <c r="T34" i="3" s="1"/>
  <c r="T38" i="3" s="1"/>
  <c r="R26" i="3"/>
  <c r="R34" i="3" s="1"/>
  <c r="R38" i="3" s="1"/>
  <c r="P26" i="3"/>
  <c r="P34" i="3" s="1"/>
  <c r="P38" i="3" s="1"/>
  <c r="N26" i="3"/>
  <c r="N34" i="3" s="1"/>
  <c r="N38" i="3" s="1"/>
  <c r="L26" i="3"/>
  <c r="L34" i="3" s="1"/>
  <c r="L38" i="3" s="1"/>
  <c r="J26" i="3"/>
  <c r="J34" i="3" s="1"/>
  <c r="J38" i="3" s="1"/>
  <c r="F11" i="4"/>
  <c r="F10" i="4"/>
  <c r="G11" i="4"/>
  <c r="G13" i="4"/>
  <c r="G18" i="3"/>
  <c r="G21" i="3"/>
  <c r="F18" i="3"/>
  <c r="F21" i="3"/>
  <c r="G24" i="3"/>
  <c r="F101" i="6" l="1"/>
  <c r="G101" i="6"/>
  <c r="C56" i="5"/>
  <c r="AG56" i="5" s="1"/>
  <c r="AG57" i="5"/>
  <c r="C46" i="5"/>
  <c r="C45" i="5" s="1"/>
  <c r="AG43" i="5"/>
  <c r="C58" i="4"/>
  <c r="AG59" i="4"/>
  <c r="C65" i="4"/>
  <c r="AG65" i="4" s="1"/>
  <c r="AG62" i="4"/>
  <c r="AG39" i="4"/>
  <c r="AG55" i="4"/>
  <c r="C43" i="4"/>
  <c r="AG45" i="4"/>
  <c r="G43" i="5"/>
  <c r="E46" i="5"/>
  <c r="E45" i="5" s="1"/>
  <c r="E42" i="5"/>
  <c r="G42" i="5" s="1"/>
  <c r="H57" i="2"/>
  <c r="B43" i="4"/>
  <c r="AG50" i="2"/>
  <c r="G50" i="2"/>
  <c r="C58" i="2"/>
  <c r="G58" i="2" s="1"/>
  <c r="G54" i="2"/>
  <c r="AG54" i="2"/>
  <c r="G59" i="2"/>
  <c r="C53" i="2"/>
  <c r="G62" i="4"/>
  <c r="D35" i="3"/>
  <c r="D39" i="3" s="1"/>
  <c r="D31" i="3"/>
  <c r="D30" i="3" s="1"/>
  <c r="B65" i="4"/>
  <c r="F65" i="4" s="1"/>
  <c r="F62" i="4"/>
  <c r="G65" i="4"/>
  <c r="J30" i="3"/>
  <c r="L30" i="3"/>
  <c r="N30" i="3"/>
  <c r="P30" i="3"/>
  <c r="E35" i="3"/>
  <c r="E39" i="3" s="1"/>
  <c r="E31" i="3"/>
  <c r="F23" i="3"/>
  <c r="G23" i="3"/>
  <c r="E36" i="3"/>
  <c r="E40" i="3" s="1"/>
  <c r="E32" i="3"/>
  <c r="B36" i="3"/>
  <c r="B40" i="3" s="1"/>
  <c r="B32" i="3"/>
  <c r="G57" i="5"/>
  <c r="C61" i="5"/>
  <c r="C67" i="5"/>
  <c r="F57" i="5"/>
  <c r="F56" i="5"/>
  <c r="G56" i="5"/>
  <c r="G39" i="4"/>
  <c r="F39" i="4"/>
  <c r="G45" i="4"/>
  <c r="F45" i="4"/>
  <c r="F44" i="4"/>
  <c r="E43" i="4"/>
  <c r="E58" i="4"/>
  <c r="G59" i="4"/>
  <c r="F59" i="4"/>
  <c r="G55" i="4"/>
  <c r="F55" i="4"/>
  <c r="B27" i="3"/>
  <c r="B31" i="3" s="1"/>
  <c r="G10" i="4"/>
  <c r="G12" i="4"/>
  <c r="F12" i="4"/>
  <c r="F12" i="3"/>
  <c r="F15" i="3"/>
  <c r="G15" i="3"/>
  <c r="E26" i="3"/>
  <c r="B48" i="2"/>
  <c r="F48" i="2" s="1"/>
  <c r="I19" i="2"/>
  <c r="J19" i="2"/>
  <c r="K19" i="2"/>
  <c r="L19" i="2"/>
  <c r="M19" i="2"/>
  <c r="N19" i="2"/>
  <c r="O19" i="2"/>
  <c r="P19" i="2"/>
  <c r="Q19" i="2"/>
  <c r="R19" i="2"/>
  <c r="S19" i="2"/>
  <c r="T19" i="2"/>
  <c r="U19" i="2"/>
  <c r="V19" i="2"/>
  <c r="W19" i="2"/>
  <c r="X19" i="2"/>
  <c r="Y19" i="2"/>
  <c r="Z19" i="2"/>
  <c r="AA19" i="2"/>
  <c r="AB19" i="2"/>
  <c r="AC19" i="2"/>
  <c r="AD19" i="2"/>
  <c r="AE19" i="2"/>
  <c r="I20" i="2"/>
  <c r="I38" i="2" s="1"/>
  <c r="J20" i="2"/>
  <c r="J12" i="2" s="1"/>
  <c r="K20" i="2"/>
  <c r="K38" i="2" s="1"/>
  <c r="L20" i="2"/>
  <c r="L12" i="2" s="1"/>
  <c r="M20" i="2"/>
  <c r="M38" i="2" s="1"/>
  <c r="N20" i="2"/>
  <c r="N12" i="2" s="1"/>
  <c r="O20" i="2"/>
  <c r="O38" i="2" s="1"/>
  <c r="P12" i="2"/>
  <c r="Q20" i="2"/>
  <c r="Q38" i="2" s="1"/>
  <c r="R20" i="2"/>
  <c r="R12" i="2" s="1"/>
  <c r="S20" i="2"/>
  <c r="S38" i="2" s="1"/>
  <c r="T20" i="2"/>
  <c r="T12" i="2" s="1"/>
  <c r="U20" i="2"/>
  <c r="U38" i="2" s="1"/>
  <c r="V20" i="2"/>
  <c r="V12" i="2" s="1"/>
  <c r="W20" i="2"/>
  <c r="W38" i="2" s="1"/>
  <c r="X20" i="2"/>
  <c r="X12" i="2" s="1"/>
  <c r="Y20" i="2"/>
  <c r="Y38" i="2" s="1"/>
  <c r="Z20" i="2"/>
  <c r="Z12" i="2" s="1"/>
  <c r="AA20" i="2"/>
  <c r="AA38" i="2" s="1"/>
  <c r="AB20" i="2"/>
  <c r="AB12" i="2" s="1"/>
  <c r="AC20" i="2"/>
  <c r="AC38" i="2" s="1"/>
  <c r="AD20" i="2"/>
  <c r="AD12" i="2" s="1"/>
  <c r="AE20" i="2"/>
  <c r="AE38" i="2" s="1"/>
  <c r="H20" i="2"/>
  <c r="H12" i="2" s="1"/>
  <c r="C33" i="2"/>
  <c r="B34" i="2"/>
  <c r="B31" i="2"/>
  <c r="B27" i="2"/>
  <c r="F27" i="2" s="1"/>
  <c r="B23" i="2"/>
  <c r="F23" i="2" s="1"/>
  <c r="B24" i="2"/>
  <c r="F24" i="2" s="1"/>
  <c r="C14" i="2"/>
  <c r="B15" i="2"/>
  <c r="B16" i="2"/>
  <c r="F16" i="2" s="1"/>
  <c r="C66" i="5" l="1"/>
  <c r="AG43" i="4"/>
  <c r="AG58" i="4"/>
  <c r="G46" i="5"/>
  <c r="F46" i="5"/>
  <c r="AG24" i="2"/>
  <c r="G24" i="2"/>
  <c r="B33" i="2"/>
  <c r="F34" i="2"/>
  <c r="AG53" i="2"/>
  <c r="G53" i="2"/>
  <c r="AG28" i="2"/>
  <c r="G28" i="2"/>
  <c r="D11" i="2"/>
  <c r="D37" i="2"/>
  <c r="D62" i="2" s="1"/>
  <c r="D66" i="2" s="1"/>
  <c r="C30" i="2"/>
  <c r="AG31" i="2"/>
  <c r="G31" i="2"/>
  <c r="B30" i="2"/>
  <c r="F30" i="2" s="1"/>
  <c r="F31" i="2"/>
  <c r="C57" i="2"/>
  <c r="B47" i="2"/>
  <c r="B54" i="2"/>
  <c r="F54" i="2" s="1"/>
  <c r="C26" i="2"/>
  <c r="B20" i="2"/>
  <c r="B12" i="2" s="1"/>
  <c r="C22" i="2"/>
  <c r="F27" i="3"/>
  <c r="B30" i="3"/>
  <c r="B14" i="2"/>
  <c r="D14" i="2"/>
  <c r="E14" i="2"/>
  <c r="B22" i="2"/>
  <c r="B19" i="2"/>
  <c r="E22" i="2"/>
  <c r="B26" i="2"/>
  <c r="E26" i="2"/>
  <c r="E33" i="2"/>
  <c r="AG33" i="2" s="1"/>
  <c r="D18" i="2"/>
  <c r="H11" i="2"/>
  <c r="H10" i="2" s="1"/>
  <c r="H18" i="2"/>
  <c r="AE42" i="2"/>
  <c r="AE63" i="2"/>
  <c r="AE67" i="2" s="1"/>
  <c r="AC42" i="2"/>
  <c r="AC63" i="2"/>
  <c r="AC67" i="2" s="1"/>
  <c r="AA42" i="2"/>
  <c r="AA63" i="2"/>
  <c r="AA67" i="2" s="1"/>
  <c r="Y42" i="2"/>
  <c r="Y63" i="2"/>
  <c r="Y67" i="2" s="1"/>
  <c r="W42" i="2"/>
  <c r="W63" i="2"/>
  <c r="W67" i="2" s="1"/>
  <c r="U42" i="2"/>
  <c r="U63" i="2"/>
  <c r="U67" i="2" s="1"/>
  <c r="S42" i="2"/>
  <c r="S63" i="2"/>
  <c r="S67" i="2" s="1"/>
  <c r="Q42" i="2"/>
  <c r="Q63" i="2"/>
  <c r="Q67" i="2" s="1"/>
  <c r="O42" i="2"/>
  <c r="O63" i="2"/>
  <c r="O67" i="2" s="1"/>
  <c r="M42" i="2"/>
  <c r="M63" i="2"/>
  <c r="M67" i="2" s="1"/>
  <c r="K42" i="2"/>
  <c r="K63" i="2"/>
  <c r="K67" i="2" s="1"/>
  <c r="I42" i="2"/>
  <c r="I63" i="2"/>
  <c r="I67" i="2" s="1"/>
  <c r="AE11" i="2"/>
  <c r="AE18" i="2"/>
  <c r="AD37" i="2"/>
  <c r="AD18" i="2"/>
  <c r="AC11" i="2"/>
  <c r="AC18" i="2"/>
  <c r="AB37" i="2"/>
  <c r="AB18" i="2"/>
  <c r="AA11" i="2"/>
  <c r="AA18" i="2"/>
  <c r="Z37" i="2"/>
  <c r="Z18" i="2"/>
  <c r="Y11" i="2"/>
  <c r="Y18" i="2"/>
  <c r="X37" i="2"/>
  <c r="X18" i="2"/>
  <c r="W11" i="2"/>
  <c r="W18" i="2"/>
  <c r="V37" i="2"/>
  <c r="V18" i="2"/>
  <c r="U11" i="2"/>
  <c r="U18" i="2"/>
  <c r="T37" i="2"/>
  <c r="T18" i="2"/>
  <c r="S11" i="2"/>
  <c r="S18" i="2"/>
  <c r="R37" i="2"/>
  <c r="R18" i="2"/>
  <c r="Q11" i="2"/>
  <c r="Q18" i="2"/>
  <c r="P37" i="2"/>
  <c r="P18" i="2"/>
  <c r="O11" i="2"/>
  <c r="O18" i="2"/>
  <c r="N37" i="2"/>
  <c r="N18" i="2"/>
  <c r="M11" i="2"/>
  <c r="M18" i="2"/>
  <c r="L37" i="2"/>
  <c r="L18" i="2"/>
  <c r="K11" i="2"/>
  <c r="K18" i="2"/>
  <c r="J37" i="2"/>
  <c r="J18" i="2"/>
  <c r="I11" i="2"/>
  <c r="I18" i="2"/>
  <c r="E47" i="2"/>
  <c r="G35" i="3"/>
  <c r="C60" i="5"/>
  <c r="C69" i="5"/>
  <c r="F32" i="3"/>
  <c r="G32" i="3"/>
  <c r="F40" i="3"/>
  <c r="G40" i="3"/>
  <c r="E30" i="3"/>
  <c r="F31" i="3"/>
  <c r="E34" i="3"/>
  <c r="E38" i="3" s="1"/>
  <c r="D34" i="3"/>
  <c r="D38" i="3" s="1"/>
  <c r="F61" i="5"/>
  <c r="E61" i="5"/>
  <c r="E69" i="5" s="1"/>
  <c r="E67" i="5"/>
  <c r="AG67" i="5" s="1"/>
  <c r="F45" i="5"/>
  <c r="G45" i="5"/>
  <c r="G58" i="4"/>
  <c r="F58" i="4"/>
  <c r="F43" i="4"/>
  <c r="G43" i="4"/>
  <c r="B35" i="3"/>
  <c r="F35" i="3" s="1"/>
  <c r="B26" i="3"/>
  <c r="F26" i="3" s="1"/>
  <c r="G27" i="3"/>
  <c r="G28" i="3"/>
  <c r="G26" i="3"/>
  <c r="F36" i="3"/>
  <c r="F28" i="3"/>
  <c r="D12" i="2"/>
  <c r="Q12" i="2"/>
  <c r="H38" i="2"/>
  <c r="X11" i="2"/>
  <c r="X10" i="2" s="1"/>
  <c r="Y12" i="2"/>
  <c r="I12" i="2"/>
  <c r="P11" i="2"/>
  <c r="P10" i="2" s="1"/>
  <c r="E20" i="2"/>
  <c r="AC12" i="2"/>
  <c r="U12" i="2"/>
  <c r="M12" i="2"/>
  <c r="AB11" i="2"/>
  <c r="AB10" i="2" s="1"/>
  <c r="T11" i="2"/>
  <c r="T10" i="2" s="1"/>
  <c r="L11" i="2"/>
  <c r="L10" i="2" s="1"/>
  <c r="D38" i="2"/>
  <c r="AD38" i="2"/>
  <c r="AB38" i="2"/>
  <c r="Z38" i="2"/>
  <c r="X38" i="2"/>
  <c r="V38" i="2"/>
  <c r="T38" i="2"/>
  <c r="R38" i="2"/>
  <c r="P38" i="2"/>
  <c r="N38" i="2"/>
  <c r="L38" i="2"/>
  <c r="J38" i="2"/>
  <c r="AE37" i="2"/>
  <c r="AC37" i="2"/>
  <c r="AA37" i="2"/>
  <c r="Y37" i="2"/>
  <c r="W37" i="2"/>
  <c r="U37" i="2"/>
  <c r="S37" i="2"/>
  <c r="Q37" i="2"/>
  <c r="O37" i="2"/>
  <c r="M37" i="2"/>
  <c r="K37" i="2"/>
  <c r="I37" i="2"/>
  <c r="C20" i="2"/>
  <c r="C12" i="2" s="1"/>
  <c r="E19" i="2"/>
  <c r="AE12" i="2"/>
  <c r="AA12" i="2"/>
  <c r="W12" i="2"/>
  <c r="S12" i="2"/>
  <c r="O12" i="2"/>
  <c r="K12" i="2"/>
  <c r="AD11" i="2"/>
  <c r="AD10" i="2" s="1"/>
  <c r="Z11" i="2"/>
  <c r="Z10" i="2" s="1"/>
  <c r="V11" i="2"/>
  <c r="V10" i="2" s="1"/>
  <c r="R11" i="2"/>
  <c r="R10" i="2" s="1"/>
  <c r="N11" i="2"/>
  <c r="N10" i="2" s="1"/>
  <c r="J11" i="2"/>
  <c r="J10" i="2" s="1"/>
  <c r="C19" i="2"/>
  <c r="C11" i="2" s="1"/>
  <c r="AG69" i="5" l="1"/>
  <c r="C68" i="5"/>
  <c r="AG61" i="5"/>
  <c r="G31" i="3"/>
  <c r="G14" i="2"/>
  <c r="F14" i="2"/>
  <c r="AG14" i="2"/>
  <c r="G19" i="2"/>
  <c r="F19" i="2"/>
  <c r="G20" i="2"/>
  <c r="F20" i="2"/>
  <c r="F22" i="2"/>
  <c r="G22" i="2"/>
  <c r="AG22" i="2"/>
  <c r="AG20" i="2"/>
  <c r="G33" i="2"/>
  <c r="F33" i="2"/>
  <c r="AG19" i="2"/>
  <c r="C10" i="2"/>
  <c r="G26" i="2"/>
  <c r="F26" i="2"/>
  <c r="AG26" i="2"/>
  <c r="AG30" i="2"/>
  <c r="G30" i="2"/>
  <c r="G47" i="2"/>
  <c r="AG47" i="2"/>
  <c r="F47" i="2"/>
  <c r="D42" i="2"/>
  <c r="D36" i="2"/>
  <c r="B58" i="2"/>
  <c r="B53" i="2"/>
  <c r="F53" i="2" s="1"/>
  <c r="C18" i="2"/>
  <c r="C38" i="2"/>
  <c r="D10" i="2"/>
  <c r="H41" i="2"/>
  <c r="E18" i="2"/>
  <c r="I41" i="2"/>
  <c r="I40" i="2" s="1"/>
  <c r="I62" i="2"/>
  <c r="K41" i="2"/>
  <c r="K40" i="2" s="1"/>
  <c r="K62" i="2"/>
  <c r="M41" i="2"/>
  <c r="M40" i="2" s="1"/>
  <c r="M62" i="2"/>
  <c r="O41" i="2"/>
  <c r="O40" i="2" s="1"/>
  <c r="O62" i="2"/>
  <c r="Q41" i="2"/>
  <c r="Q40" i="2" s="1"/>
  <c r="Q62" i="2"/>
  <c r="S41" i="2"/>
  <c r="S40" i="2" s="1"/>
  <c r="S62" i="2"/>
  <c r="U41" i="2"/>
  <c r="U40" i="2" s="1"/>
  <c r="U62" i="2"/>
  <c r="W41" i="2"/>
  <c r="W40" i="2" s="1"/>
  <c r="W62" i="2"/>
  <c r="Y41" i="2"/>
  <c r="Y40" i="2" s="1"/>
  <c r="Y62" i="2"/>
  <c r="AA41" i="2"/>
  <c r="AA40" i="2" s="1"/>
  <c r="AA62" i="2"/>
  <c r="AC41" i="2"/>
  <c r="AC40" i="2" s="1"/>
  <c r="AC62" i="2"/>
  <c r="AE41" i="2"/>
  <c r="AE40" i="2" s="1"/>
  <c r="AE62" i="2"/>
  <c r="J42" i="2"/>
  <c r="J63" i="2"/>
  <c r="L42" i="2"/>
  <c r="L63" i="2"/>
  <c r="N42" i="2"/>
  <c r="N63" i="2"/>
  <c r="P42" i="2"/>
  <c r="P63" i="2"/>
  <c r="R42" i="2"/>
  <c r="R63" i="2"/>
  <c r="T42" i="2"/>
  <c r="T63" i="2"/>
  <c r="V42" i="2"/>
  <c r="V63" i="2"/>
  <c r="X42" i="2"/>
  <c r="X63" i="2"/>
  <c r="Z42" i="2"/>
  <c r="Z63" i="2"/>
  <c r="AB42" i="2"/>
  <c r="AB63" i="2"/>
  <c r="AD42" i="2"/>
  <c r="AD63" i="2"/>
  <c r="D41" i="2"/>
  <c r="H42" i="2"/>
  <c r="H63" i="2"/>
  <c r="B34" i="3"/>
  <c r="F34" i="3" s="1"/>
  <c r="B39" i="3"/>
  <c r="B38" i="3" s="1"/>
  <c r="F38" i="3" s="1"/>
  <c r="E68" i="5"/>
  <c r="E71" i="5"/>
  <c r="E70" i="5" s="1"/>
  <c r="F30" i="3"/>
  <c r="G30" i="3"/>
  <c r="C71" i="5"/>
  <c r="C38" i="3"/>
  <c r="G38" i="3" s="1"/>
  <c r="G39" i="3"/>
  <c r="I10" i="2"/>
  <c r="J41" i="2"/>
  <c r="J62" i="2"/>
  <c r="J66" i="2" s="1"/>
  <c r="K10" i="2"/>
  <c r="L41" i="2"/>
  <c r="L62" i="2"/>
  <c r="L66" i="2" s="1"/>
  <c r="M10" i="2"/>
  <c r="N41" i="2"/>
  <c r="N62" i="2"/>
  <c r="N66" i="2" s="1"/>
  <c r="O10" i="2"/>
  <c r="P41" i="2"/>
  <c r="P62" i="2"/>
  <c r="P66" i="2" s="1"/>
  <c r="Q10" i="2"/>
  <c r="R41" i="2"/>
  <c r="R62" i="2"/>
  <c r="R66" i="2" s="1"/>
  <c r="S10" i="2"/>
  <c r="T41" i="2"/>
  <c r="T62" i="2"/>
  <c r="T66" i="2" s="1"/>
  <c r="U10" i="2"/>
  <c r="V41" i="2"/>
  <c r="V62" i="2"/>
  <c r="V66" i="2" s="1"/>
  <c r="W10" i="2"/>
  <c r="X41" i="2"/>
  <c r="X62" i="2"/>
  <c r="X66" i="2" s="1"/>
  <c r="Y10" i="2"/>
  <c r="Z41" i="2"/>
  <c r="Z62" i="2"/>
  <c r="Z66" i="2" s="1"/>
  <c r="AA10" i="2"/>
  <c r="AB41" i="2"/>
  <c r="AB62" i="2"/>
  <c r="AB66" i="2" s="1"/>
  <c r="AC10" i="2"/>
  <c r="AD41" i="2"/>
  <c r="AD62" i="2"/>
  <c r="AD66" i="2" s="1"/>
  <c r="AE10" i="2"/>
  <c r="B18" i="2"/>
  <c r="B37" i="2"/>
  <c r="B62" i="2" s="1"/>
  <c r="B66" i="2" s="1"/>
  <c r="B11" i="2"/>
  <c r="B10" i="2" s="1"/>
  <c r="E66" i="5"/>
  <c r="G66" i="5" s="1"/>
  <c r="G67" i="5"/>
  <c r="G61" i="5"/>
  <c r="E60" i="5"/>
  <c r="AG60" i="5" s="1"/>
  <c r="F64" i="5"/>
  <c r="F63" i="5"/>
  <c r="B67" i="5"/>
  <c r="G36" i="3"/>
  <c r="K36" i="2"/>
  <c r="O36" i="2"/>
  <c r="S36" i="2"/>
  <c r="W36" i="2"/>
  <c r="AA36" i="2"/>
  <c r="AE36" i="2"/>
  <c r="L36" i="2"/>
  <c r="P36" i="2"/>
  <c r="T36" i="2"/>
  <c r="X36" i="2"/>
  <c r="AB36" i="2"/>
  <c r="D63" i="2"/>
  <c r="D67" i="2" s="1"/>
  <c r="H36" i="2"/>
  <c r="I36" i="2"/>
  <c r="M36" i="2"/>
  <c r="Q36" i="2"/>
  <c r="U36" i="2"/>
  <c r="Y36" i="2"/>
  <c r="AC36" i="2"/>
  <c r="J36" i="2"/>
  <c r="N36" i="2"/>
  <c r="R36" i="2"/>
  <c r="V36" i="2"/>
  <c r="Z36" i="2"/>
  <c r="AD36" i="2"/>
  <c r="E12" i="2"/>
  <c r="E38" i="2"/>
  <c r="C37" i="2"/>
  <c r="B38" i="2"/>
  <c r="B63" i="2" s="1"/>
  <c r="B67" i="2" s="1"/>
  <c r="E37" i="2"/>
  <c r="E11" i="2"/>
  <c r="AG66" i="5" l="1"/>
  <c r="C70" i="5"/>
  <c r="AG70" i="5" s="1"/>
  <c r="AG71" i="5"/>
  <c r="AG68" i="5"/>
  <c r="G34" i="3"/>
  <c r="D40" i="2"/>
  <c r="F37" i="2"/>
  <c r="G37" i="2"/>
  <c r="G12" i="2"/>
  <c r="F12" i="2"/>
  <c r="B57" i="2"/>
  <c r="F58" i="2"/>
  <c r="C62" i="2"/>
  <c r="C66" i="2" s="1"/>
  <c r="AG37" i="2"/>
  <c r="AG38" i="2"/>
  <c r="G11" i="2"/>
  <c r="F11" i="2"/>
  <c r="G38" i="2"/>
  <c r="F38" i="2"/>
  <c r="G18" i="2"/>
  <c r="F18" i="2"/>
  <c r="AG18" i="2"/>
  <c r="C36" i="2"/>
  <c r="C42" i="2"/>
  <c r="C63" i="2"/>
  <c r="E36" i="2"/>
  <c r="E62" i="2"/>
  <c r="H67" i="2"/>
  <c r="H61" i="2"/>
  <c r="F39" i="3"/>
  <c r="E10" i="2"/>
  <c r="E41" i="2"/>
  <c r="B42" i="2"/>
  <c r="C41" i="2"/>
  <c r="E63" i="2"/>
  <c r="E42" i="2"/>
  <c r="B41" i="2"/>
  <c r="B36" i="2"/>
  <c r="E57" i="2"/>
  <c r="D65" i="2"/>
  <c r="D61" i="2"/>
  <c r="AD61" i="2"/>
  <c r="AD67" i="2"/>
  <c r="AD65" i="2" s="1"/>
  <c r="AD40" i="2"/>
  <c r="AB61" i="2"/>
  <c r="AB67" i="2"/>
  <c r="AB65" i="2" s="1"/>
  <c r="AB40" i="2"/>
  <c r="Z61" i="2"/>
  <c r="Z67" i="2"/>
  <c r="Z65" i="2" s="1"/>
  <c r="Z40" i="2"/>
  <c r="X61" i="2"/>
  <c r="X67" i="2"/>
  <c r="X65" i="2" s="1"/>
  <c r="X40" i="2"/>
  <c r="V61" i="2"/>
  <c r="V67" i="2"/>
  <c r="V65" i="2" s="1"/>
  <c r="V40" i="2"/>
  <c r="T61" i="2"/>
  <c r="T67" i="2"/>
  <c r="T65" i="2" s="1"/>
  <c r="T40" i="2"/>
  <c r="R61" i="2"/>
  <c r="R67" i="2"/>
  <c r="R65" i="2" s="1"/>
  <c r="R40" i="2"/>
  <c r="P61" i="2"/>
  <c r="P67" i="2"/>
  <c r="P65" i="2" s="1"/>
  <c r="P40" i="2"/>
  <c r="N61" i="2"/>
  <c r="N67" i="2"/>
  <c r="N65" i="2" s="1"/>
  <c r="N40" i="2"/>
  <c r="L61" i="2"/>
  <c r="L67" i="2"/>
  <c r="L65" i="2" s="1"/>
  <c r="L40" i="2"/>
  <c r="J61" i="2"/>
  <c r="J67" i="2"/>
  <c r="J65" i="2" s="1"/>
  <c r="J40" i="2"/>
  <c r="AE66" i="2"/>
  <c r="AE65" i="2" s="1"/>
  <c r="AE61" i="2"/>
  <c r="AC66" i="2"/>
  <c r="AC65" i="2" s="1"/>
  <c r="AC61" i="2"/>
  <c r="AA66" i="2"/>
  <c r="AA65" i="2" s="1"/>
  <c r="AA61" i="2"/>
  <c r="Y66" i="2"/>
  <c r="Y65" i="2" s="1"/>
  <c r="Y61" i="2"/>
  <c r="W66" i="2"/>
  <c r="W65" i="2" s="1"/>
  <c r="W61" i="2"/>
  <c r="U66" i="2"/>
  <c r="U65" i="2" s="1"/>
  <c r="U61" i="2"/>
  <c r="S66" i="2"/>
  <c r="S65" i="2" s="1"/>
  <c r="S61" i="2"/>
  <c r="Q66" i="2"/>
  <c r="Q65" i="2" s="1"/>
  <c r="Q61" i="2"/>
  <c r="O66" i="2"/>
  <c r="O65" i="2" s="1"/>
  <c r="O61" i="2"/>
  <c r="M66" i="2"/>
  <c r="M65" i="2" s="1"/>
  <c r="M61" i="2"/>
  <c r="K66" i="2"/>
  <c r="K65" i="2" s="1"/>
  <c r="K61" i="2"/>
  <c r="I66" i="2"/>
  <c r="I65" i="2" s="1"/>
  <c r="I61" i="2"/>
  <c r="H66" i="2"/>
  <c r="H40" i="2"/>
  <c r="G60" i="5"/>
  <c r="F60" i="5"/>
  <c r="F67" i="5"/>
  <c r="B66" i="5"/>
  <c r="F66" i="5" s="1"/>
  <c r="C40" i="2" l="1"/>
  <c r="H65" i="2"/>
  <c r="F36" i="2"/>
  <c r="G36" i="2"/>
  <c r="C67" i="2"/>
  <c r="C65" i="2" s="1"/>
  <c r="AG63" i="2"/>
  <c r="F42" i="2"/>
  <c r="G42" i="2"/>
  <c r="G41" i="2"/>
  <c r="F41" i="2"/>
  <c r="E67" i="2"/>
  <c r="F63" i="2"/>
  <c r="G63" i="2"/>
  <c r="G10" i="2"/>
  <c r="F10" i="2"/>
  <c r="AG36" i="2"/>
  <c r="G57" i="2"/>
  <c r="F57" i="2"/>
  <c r="E66" i="2"/>
  <c r="E74" i="2" s="1"/>
  <c r="G62" i="2"/>
  <c r="F62" i="2"/>
  <c r="AG62" i="2"/>
  <c r="B65" i="2"/>
  <c r="B40" i="2"/>
  <c r="E61" i="2"/>
  <c r="C61" i="2"/>
  <c r="E40" i="2"/>
  <c r="B61" i="2"/>
  <c r="G40" i="2" l="1"/>
  <c r="F40" i="2"/>
  <c r="F67" i="2"/>
  <c r="G67" i="2"/>
  <c r="G66" i="2"/>
  <c r="F66" i="2"/>
  <c r="G61" i="2"/>
  <c r="AG61" i="2"/>
  <c r="F61" i="2"/>
  <c r="E65" i="2"/>
  <c r="D26" i="3"/>
  <c r="D17" i="5"/>
  <c r="D16" i="5" s="1"/>
  <c r="B17" i="5"/>
  <c r="B16" i="5" s="1"/>
  <c r="G65" i="2" l="1"/>
  <c r="F65" i="2"/>
  <c r="B13" i="5"/>
  <c r="F13" i="5" s="1"/>
  <c r="E17" i="5"/>
  <c r="F17" i="5" s="1"/>
  <c r="C17" i="5"/>
  <c r="C16" i="5" s="1"/>
  <c r="G14" i="5"/>
  <c r="F14" i="5"/>
  <c r="G13" i="5"/>
  <c r="F69" i="5" l="1"/>
  <c r="G69" i="5"/>
  <c r="G17" i="5"/>
  <c r="E16" i="5"/>
  <c r="F68" i="5" l="1"/>
  <c r="G68" i="5"/>
  <c r="F71" i="5"/>
  <c r="G71" i="5"/>
  <c r="F16" i="5"/>
  <c r="G16" i="5"/>
  <c r="F70" i="5" l="1"/>
  <c r="G70" i="5"/>
  <c r="D21" i="10"/>
  <c r="D18" i="10" s="1"/>
  <c r="E18" i="10"/>
  <c r="G11" i="10"/>
  <c r="E17" i="4" l="1"/>
  <c r="E23" i="4" s="1"/>
  <c r="E61" i="4" s="1"/>
  <c r="I23" i="4"/>
  <c r="I22" i="4" s="1"/>
  <c r="H23" i="4"/>
  <c r="H22" i="4" s="1"/>
  <c r="D17" i="4"/>
  <c r="D16" i="4" s="1"/>
  <c r="D15" i="4" s="1"/>
  <c r="I16" i="4"/>
  <c r="I15" i="4" s="1"/>
  <c r="H16" i="4"/>
  <c r="H15" i="4" s="1"/>
  <c r="H26" i="4" l="1"/>
  <c r="H25" i="4" s="1"/>
  <c r="I26" i="4"/>
  <c r="I25" i="4" s="1"/>
  <c r="D23" i="4"/>
  <c r="I61" i="4"/>
  <c r="E22" i="4"/>
  <c r="E26" i="4"/>
  <c r="H61" i="4"/>
  <c r="E64" i="4"/>
  <c r="E16" i="4"/>
  <c r="E60" i="4"/>
  <c r="E25" i="4" l="1"/>
  <c r="D22" i="4"/>
  <c r="D26" i="4"/>
  <c r="D25" i="4" s="1"/>
  <c r="D61" i="4"/>
  <c r="E15" i="4"/>
  <c r="H60" i="4"/>
  <c r="H64" i="4"/>
  <c r="H63" i="4" s="1"/>
  <c r="I60" i="4"/>
  <c r="I64" i="4"/>
  <c r="I63" i="4" s="1"/>
  <c r="E63" i="4"/>
  <c r="D60" i="4" l="1"/>
  <c r="D64" i="4"/>
  <c r="D63" i="4" s="1"/>
  <c r="K23" i="4"/>
  <c r="K26" i="4" s="1"/>
  <c r="K25" i="4" s="1"/>
  <c r="X23" i="4"/>
  <c r="X22" i="4" s="1"/>
  <c r="L23" i="4"/>
  <c r="L22" i="4" s="1"/>
  <c r="Y23" i="4"/>
  <c r="Y61" i="4" s="1"/>
  <c r="AA23" i="4"/>
  <c r="AA22" i="4" s="1"/>
  <c r="R23" i="4"/>
  <c r="R26" i="4" s="1"/>
  <c r="R25" i="4" s="1"/>
  <c r="W23" i="4"/>
  <c r="W61" i="4" s="1"/>
  <c r="U23" i="4"/>
  <c r="U61" i="4" s="1"/>
  <c r="S23" i="4"/>
  <c r="S61" i="4" s="1"/>
  <c r="AB23" i="4"/>
  <c r="AB26" i="4" s="1"/>
  <c r="AB25" i="4" s="1"/>
  <c r="AC16" i="4"/>
  <c r="AC15" i="4" s="1"/>
  <c r="AC23" i="4"/>
  <c r="AC26" i="4" s="1"/>
  <c r="AC25" i="4" s="1"/>
  <c r="M61" i="4"/>
  <c r="M64" i="4" s="1"/>
  <c r="M63" i="4" s="1"/>
  <c r="K16" i="4"/>
  <c r="K15" i="4" s="1"/>
  <c r="J23" i="4"/>
  <c r="J26" i="4" s="1"/>
  <c r="J25" i="4" s="1"/>
  <c r="Q16" i="4"/>
  <c r="Q15" i="4" s="1"/>
  <c r="Q23" i="4"/>
  <c r="Q22" i="4" s="1"/>
  <c r="T23" i="4"/>
  <c r="T22" i="4" s="1"/>
  <c r="V16" i="4"/>
  <c r="V15" i="4" s="1"/>
  <c r="V23" i="4"/>
  <c r="V26" i="4" s="1"/>
  <c r="V25" i="4" s="1"/>
  <c r="Z23" i="4"/>
  <c r="Z22" i="4" s="1"/>
  <c r="X16" i="4"/>
  <c r="X15" i="4" s="1"/>
  <c r="T16" i="4"/>
  <c r="T15" i="4" s="1"/>
  <c r="L16" i="4"/>
  <c r="L15" i="4" s="1"/>
  <c r="Y16" i="4"/>
  <c r="Y15" i="4" s="1"/>
  <c r="U16" i="4"/>
  <c r="U15" i="4" s="1"/>
  <c r="M16" i="4"/>
  <c r="M15" i="4" s="1"/>
  <c r="Z16" i="4"/>
  <c r="Z15" i="4" s="1"/>
  <c r="S16" i="4"/>
  <c r="S15" i="4" s="1"/>
  <c r="R16" i="4"/>
  <c r="R15" i="4" s="1"/>
  <c r="AB16" i="4"/>
  <c r="AB15" i="4" s="1"/>
  <c r="O16" i="4"/>
  <c r="O15" i="4" s="1"/>
  <c r="O23" i="4"/>
  <c r="O26" i="4" s="1"/>
  <c r="O25" i="4" s="1"/>
  <c r="J16" i="4"/>
  <c r="J15" i="4" s="1"/>
  <c r="B17" i="4"/>
  <c r="B16" i="4" s="1"/>
  <c r="N16" i="4"/>
  <c r="N15" i="4" s="1"/>
  <c r="N23" i="4"/>
  <c r="N61" i="4" s="1"/>
  <c r="W16" i="4"/>
  <c r="W15" i="4" s="1"/>
  <c r="AA16" i="4"/>
  <c r="AA15" i="4" s="1"/>
  <c r="P16" i="4"/>
  <c r="P15" i="4" s="1"/>
  <c r="P23" i="4"/>
  <c r="P26" i="4" s="1"/>
  <c r="P25" i="4" s="1"/>
  <c r="J61" i="4" l="1"/>
  <c r="J64" i="4" s="1"/>
  <c r="J63" i="4" s="1"/>
  <c r="AC61" i="4"/>
  <c r="AC60" i="4" s="1"/>
  <c r="M25" i="4"/>
  <c r="AB61" i="4"/>
  <c r="R61" i="4"/>
  <c r="R60" i="4" s="1"/>
  <c r="Z26" i="4"/>
  <c r="Z25" i="4" s="1"/>
  <c r="Z61" i="4"/>
  <c r="Z60" i="4" s="1"/>
  <c r="AA61" i="4"/>
  <c r="AA64" i="4" s="1"/>
  <c r="AA63" i="4" s="1"/>
  <c r="J22" i="4"/>
  <c r="Y26" i="4"/>
  <c r="Y25" i="4" s="1"/>
  <c r="AB22" i="4"/>
  <c r="M22" i="4"/>
  <c r="B23" i="4"/>
  <c r="F23" i="4" s="1"/>
  <c r="O61" i="4"/>
  <c r="L61" i="4"/>
  <c r="L60" i="4" s="1"/>
  <c r="O22" i="4"/>
  <c r="W60" i="4"/>
  <c r="W64" i="4"/>
  <c r="W63" i="4" s="1"/>
  <c r="Y64" i="4"/>
  <c r="Y63" i="4" s="1"/>
  <c r="Y60" i="4"/>
  <c r="U60" i="4"/>
  <c r="U64" i="4"/>
  <c r="U63" i="4" s="1"/>
  <c r="B15" i="4"/>
  <c r="F15" i="4" s="1"/>
  <c r="F16" i="4"/>
  <c r="N64" i="4"/>
  <c r="N63" i="4" s="1"/>
  <c r="N60" i="4"/>
  <c r="S64" i="4"/>
  <c r="S63" i="4" s="1"/>
  <c r="S60" i="4"/>
  <c r="W22" i="4"/>
  <c r="V61" i="4"/>
  <c r="V22" i="4"/>
  <c r="L26" i="4"/>
  <c r="L25" i="4" s="1"/>
  <c r="AA26" i="4"/>
  <c r="AA25" i="4" s="1"/>
  <c r="R22" i="4"/>
  <c r="W26" i="4"/>
  <c r="W25" i="4" s="1"/>
  <c r="AC22" i="4"/>
  <c r="Q61" i="4"/>
  <c r="Q26" i="4"/>
  <c r="Q25" i="4" s="1"/>
  <c r="T61" i="4"/>
  <c r="P22" i="4"/>
  <c r="Y22" i="4"/>
  <c r="K22" i="4"/>
  <c r="S26" i="4"/>
  <c r="S25" i="4" s="1"/>
  <c r="F17" i="4"/>
  <c r="U26" i="4"/>
  <c r="U25" i="4" s="1"/>
  <c r="K61" i="4"/>
  <c r="U22" i="4"/>
  <c r="N22" i="4"/>
  <c r="S22" i="4"/>
  <c r="P61" i="4"/>
  <c r="T26" i="4"/>
  <c r="T25" i="4" s="1"/>
  <c r="M60" i="4"/>
  <c r="N26" i="4"/>
  <c r="N25" i="4" s="1"/>
  <c r="X61" i="4"/>
  <c r="X26" i="4"/>
  <c r="X25" i="4" s="1"/>
  <c r="Z64" i="4" l="1"/>
  <c r="Z63" i="4" s="1"/>
  <c r="J60" i="4"/>
  <c r="AC64" i="4"/>
  <c r="AC63" i="4" s="1"/>
  <c r="R64" i="4"/>
  <c r="R63" i="4" s="1"/>
  <c r="AB60" i="4"/>
  <c r="AB64" i="4"/>
  <c r="AB63" i="4" s="1"/>
  <c r="O64" i="4"/>
  <c r="O63" i="4" s="1"/>
  <c r="O60" i="4"/>
  <c r="L64" i="4"/>
  <c r="L63" i="4" s="1"/>
  <c r="AA60" i="4"/>
  <c r="B22" i="4"/>
  <c r="F22" i="4" s="1"/>
  <c r="B26" i="4"/>
  <c r="B61" i="4"/>
  <c r="P64" i="4"/>
  <c r="P63" i="4" s="1"/>
  <c r="P60" i="4"/>
  <c r="K64" i="4"/>
  <c r="K63" i="4" s="1"/>
  <c r="K60" i="4"/>
  <c r="X64" i="4"/>
  <c r="X63" i="4" s="1"/>
  <c r="X60" i="4"/>
  <c r="T60" i="4"/>
  <c r="T64" i="4"/>
  <c r="T63" i="4" s="1"/>
  <c r="Q60" i="4"/>
  <c r="Q64" i="4"/>
  <c r="Q63" i="4" s="1"/>
  <c r="V60" i="4"/>
  <c r="V64" i="4"/>
  <c r="V63" i="4" s="1"/>
  <c r="AE23" i="4"/>
  <c r="AE26" i="4" s="1"/>
  <c r="AE25" i="4" s="1"/>
  <c r="AE16" i="4"/>
  <c r="AE15" i="4" s="1"/>
  <c r="C17" i="4"/>
  <c r="C23" i="4" s="1"/>
  <c r="C61" i="4" s="1"/>
  <c r="C64" i="4" s="1"/>
  <c r="C63" i="4" s="1"/>
  <c r="C16" i="4" l="1"/>
  <c r="AG16" i="4" s="1"/>
  <c r="AG17" i="4"/>
  <c r="B60" i="4"/>
  <c r="F60" i="4" s="1"/>
  <c r="F61" i="4"/>
  <c r="B64" i="4"/>
  <c r="F26" i="4"/>
  <c r="B25" i="4"/>
  <c r="F25" i="4" s="1"/>
  <c r="C15" i="4"/>
  <c r="G16" i="4"/>
  <c r="AE22" i="4"/>
  <c r="AE61" i="4"/>
  <c r="G17" i="4"/>
  <c r="C26" i="4" l="1"/>
  <c r="C25" i="4" s="1"/>
  <c r="AG23" i="4"/>
  <c r="G15" i="4"/>
  <c r="AG15" i="4"/>
  <c r="C22" i="4"/>
  <c r="G23" i="4"/>
  <c r="F64" i="4"/>
  <c r="B63" i="4"/>
  <c r="F63" i="4" s="1"/>
  <c r="AE60" i="4"/>
  <c r="AE64" i="4"/>
  <c r="AE63" i="4" s="1"/>
  <c r="C60" i="4" l="1"/>
  <c r="AG61" i="4"/>
  <c r="G25" i="4"/>
  <c r="AG25" i="4"/>
  <c r="G22" i="4"/>
  <c r="AG22" i="4"/>
  <c r="G26" i="4"/>
  <c r="AG26" i="4"/>
  <c r="G61" i="4"/>
  <c r="G64" i="4" l="1"/>
  <c r="AG64" i="4"/>
  <c r="G60" i="4"/>
  <c r="AG60" i="4"/>
  <c r="B19" i="10"/>
  <c r="AG19" i="10" s="1"/>
  <c r="I13" i="10"/>
  <c r="I14" i="10"/>
  <c r="I91" i="10" s="1"/>
  <c r="B20" i="10"/>
  <c r="F20" i="10" s="1"/>
  <c r="H13" i="10"/>
  <c r="C20" i="10"/>
  <c r="H14" i="10"/>
  <c r="H91" i="10" s="1"/>
  <c r="C19" i="10"/>
  <c r="D13" i="10" l="1"/>
  <c r="D90" i="10" s="1"/>
  <c r="I90" i="10"/>
  <c r="H95" i="10"/>
  <c r="H90" i="10"/>
  <c r="G20" i="10"/>
  <c r="AH20" i="10"/>
  <c r="G19" i="10"/>
  <c r="AH19" i="10"/>
  <c r="G63" i="4"/>
  <c r="AG63" i="4"/>
  <c r="D14" i="10"/>
  <c r="D96" i="10" s="1"/>
  <c r="F19" i="10"/>
  <c r="AG20" i="10"/>
  <c r="H96" i="10"/>
  <c r="I96" i="10"/>
  <c r="D95" i="10"/>
  <c r="B14" i="10"/>
  <c r="AG14" i="10" s="1"/>
  <c r="C14" i="10"/>
  <c r="AH14" i="10" s="1"/>
  <c r="I95" i="10"/>
  <c r="C13" i="10"/>
  <c r="B13" i="10"/>
  <c r="B90" i="10" s="1"/>
  <c r="AH13" i="10" l="1"/>
  <c r="C90" i="10"/>
  <c r="AH90" i="10" s="1"/>
  <c r="D91" i="10"/>
  <c r="C91" i="10"/>
  <c r="C96" i="10"/>
  <c r="B95" i="10"/>
  <c r="AG13" i="10"/>
  <c r="C95" i="10"/>
  <c r="AH95" i="10" s="1"/>
  <c r="B91" i="10"/>
  <c r="F91" i="10" s="1"/>
  <c r="B96" i="10"/>
  <c r="F96" i="10" s="1"/>
  <c r="G96" i="10" l="1"/>
  <c r="AH96" i="10"/>
  <c r="G91" i="10"/>
  <c r="AH91" i="10"/>
  <c r="F95" i="10"/>
  <c r="B22" i="10"/>
  <c r="F22" i="10" s="1"/>
  <c r="I16" i="10"/>
  <c r="I98" i="10" s="1"/>
  <c r="C22" i="10"/>
  <c r="H16" i="10"/>
  <c r="C16" i="10" s="1"/>
  <c r="AH16" i="10" s="1"/>
  <c r="G22" i="10" l="1"/>
  <c r="AH22" i="10"/>
  <c r="D16" i="10"/>
  <c r="D98" i="10" s="1"/>
  <c r="C98" i="10"/>
  <c r="AH98" i="10" s="1"/>
  <c r="C93" i="10"/>
  <c r="AH93" i="10" s="1"/>
  <c r="B16" i="10"/>
  <c r="H98" i="10"/>
  <c r="I12" i="10"/>
  <c r="I11" i="10" s="1"/>
  <c r="AG22" i="10"/>
  <c r="H93" i="10"/>
  <c r="I93" i="10"/>
  <c r="D93" i="10" l="1"/>
  <c r="D12" i="10"/>
  <c r="D11" i="10" s="1"/>
  <c r="B98" i="10"/>
  <c r="F98" i="10" s="1"/>
  <c r="B93" i="10"/>
  <c r="F93" i="10" s="1"/>
  <c r="AG16" i="10"/>
  <c r="G93" i="10"/>
  <c r="G98" i="10"/>
  <c r="I18" i="10"/>
  <c r="B21" i="10"/>
  <c r="AG21" i="10" s="1"/>
  <c r="H18" i="10"/>
  <c r="C21" i="10"/>
  <c r="AH21" i="10" s="1"/>
  <c r="H15" i="10"/>
  <c r="H12" i="10" s="1"/>
  <c r="G21" i="10" l="1"/>
  <c r="C15" i="10"/>
  <c r="B15" i="10"/>
  <c r="B12" i="10" s="1"/>
  <c r="B11" i="10" s="1"/>
  <c r="C18" i="10"/>
  <c r="H11" i="10"/>
  <c r="H97" i="10"/>
  <c r="H94" i="10" s="1"/>
  <c r="H92" i="10" s="1"/>
  <c r="H89" i="10" s="1"/>
  <c r="B18" i="10"/>
  <c r="F21" i="10"/>
  <c r="G18" i="10" l="1"/>
  <c r="AH18" i="10"/>
  <c r="C92" i="10"/>
  <c r="C94" i="10" s="1"/>
  <c r="C97" i="10" s="1"/>
  <c r="AH15" i="10"/>
  <c r="B92" i="10"/>
  <c r="B89" i="10" s="1"/>
  <c r="AG11" i="10"/>
  <c r="AG12" i="10"/>
  <c r="B97" i="10"/>
  <c r="B94" i="10" s="1"/>
  <c r="AG15" i="10"/>
  <c r="C12" i="10"/>
  <c r="AH92" i="10"/>
  <c r="F18" i="10"/>
  <c r="AG18" i="10"/>
  <c r="C11" i="10" l="1"/>
  <c r="AH11" i="10" s="1"/>
  <c r="AH12" i="10"/>
  <c r="C89" i="10"/>
  <c r="AH89" i="10" s="1"/>
  <c r="D80" i="6"/>
  <c r="AH97" i="10" l="1"/>
  <c r="AH94" i="10"/>
  <c r="D78" i="6"/>
  <c r="D77" i="6" l="1"/>
  <c r="D99" i="6"/>
  <c r="F78" i="6"/>
  <c r="D102" i="6" l="1"/>
  <c r="D101" i="6" s="1"/>
  <c r="D98" i="6"/>
  <c r="F98" i="6" s="1"/>
  <c r="F99" i="6"/>
  <c r="E107" i="6"/>
  <c r="C107" i="6"/>
  <c r="B107" i="6"/>
  <c r="B106" i="6" s="1"/>
  <c r="D107" i="6"/>
  <c r="D106" i="6" s="1"/>
  <c r="C106" i="6" l="1"/>
  <c r="C132" i="6"/>
  <c r="C129" i="6" s="1"/>
  <c r="G107" i="6"/>
  <c r="F107" i="6"/>
  <c r="D110" i="6"/>
  <c r="B110" i="6"/>
  <c r="C110" i="6"/>
  <c r="E110" i="6"/>
  <c r="E106" i="6"/>
  <c r="C137" i="6" l="1"/>
  <c r="C134" i="6" s="1"/>
  <c r="C113" i="6"/>
  <c r="C109" i="6"/>
  <c r="B113" i="6"/>
  <c r="B112" i="6" s="1"/>
  <c r="B109" i="6"/>
  <c r="D109" i="6"/>
  <c r="D113" i="6"/>
  <c r="D112" i="6" s="1"/>
  <c r="G106" i="6"/>
  <c r="F106" i="6"/>
  <c r="G110" i="6"/>
  <c r="F110" i="6"/>
  <c r="E113" i="6"/>
  <c r="E109" i="6"/>
  <c r="C112" i="6" l="1"/>
  <c r="G113" i="6"/>
  <c r="E112" i="6"/>
  <c r="F113" i="6"/>
  <c r="G109" i="6"/>
  <c r="F109" i="6"/>
  <c r="B137" i="6"/>
  <c r="B134" i="6" s="1"/>
  <c r="F112" i="6" l="1"/>
  <c r="G112" i="6"/>
  <c r="D19" i="6"/>
  <c r="D18" i="6" s="1"/>
  <c r="F19" i="6"/>
  <c r="G19" i="6"/>
  <c r="E15" i="6"/>
  <c r="F15" i="6" s="1"/>
  <c r="D16" i="6"/>
  <c r="D15" i="6" s="1"/>
  <c r="F16" i="6"/>
  <c r="G16" i="6"/>
  <c r="D13" i="6"/>
  <c r="F13" i="6"/>
  <c r="G13" i="6"/>
  <c r="D56" i="6"/>
  <c r="D133" i="6" s="1"/>
  <c r="D138" i="6" s="1"/>
  <c r="E56" i="6"/>
  <c r="F56" i="6"/>
  <c r="G56" i="6"/>
  <c r="E18" i="6"/>
  <c r="F18" i="6" s="1"/>
  <c r="F20" i="6"/>
  <c r="G20" i="6"/>
  <c r="G15" i="6" l="1"/>
  <c r="E133" i="6"/>
  <c r="G18" i="6"/>
  <c r="E22" i="6"/>
  <c r="F22" i="6" s="1"/>
  <c r="G22" i="6"/>
  <c r="F23" i="6"/>
  <c r="G23" i="6"/>
  <c r="E53" i="6"/>
  <c r="G53" i="6" s="1"/>
  <c r="E130" i="6"/>
  <c r="E135" i="6" s="1"/>
  <c r="G133" i="6" l="1"/>
  <c r="F133" i="6"/>
  <c r="E138" i="6"/>
  <c r="E59" i="6"/>
  <c r="F138" i="6" l="1"/>
  <c r="G138" i="6"/>
  <c r="F59" i="6"/>
  <c r="G59" i="6"/>
  <c r="E28" i="6"/>
  <c r="F29" i="6"/>
  <c r="G29" i="6"/>
  <c r="E26" i="6"/>
  <c r="E25" i="6" s="1"/>
  <c r="E31" i="6"/>
  <c r="F32" i="6"/>
  <c r="G32" i="6"/>
  <c r="G26" i="6" l="1"/>
  <c r="F26" i="6"/>
  <c r="G25" i="6"/>
  <c r="F25" i="6"/>
  <c r="E46" i="6"/>
  <c r="F47" i="6"/>
  <c r="G47" i="6"/>
  <c r="G46" i="6" s="1"/>
  <c r="E49" i="6" l="1"/>
  <c r="G50" i="6"/>
  <c r="F50" i="6"/>
  <c r="G129" i="6"/>
  <c r="F129" i="6"/>
  <c r="E136" i="6"/>
  <c r="F132" i="6"/>
  <c r="G132" i="6"/>
  <c r="E137" i="6"/>
  <c r="F137" i="6" s="1"/>
  <c r="E134" i="6" l="1"/>
  <c r="G137" i="6"/>
  <c r="F134" i="6" l="1"/>
  <c r="G134" i="6"/>
  <c r="G11" i="6" l="1"/>
  <c r="F11" i="6"/>
  <c r="F12" i="6"/>
  <c r="G12" i="6"/>
  <c r="E10" i="6"/>
  <c r="G10" i="6" s="1"/>
  <c r="F44" i="6"/>
  <c r="E60" i="6"/>
  <c r="G60" i="6" s="1"/>
  <c r="G44" i="6"/>
  <c r="G43" i="6"/>
  <c r="E43" i="6"/>
  <c r="E41" i="6" s="1"/>
  <c r="G41" i="6" s="1"/>
  <c r="E54" i="6"/>
  <c r="G54" i="6" s="1"/>
  <c r="D11" i="6"/>
  <c r="D131" i="6" s="1"/>
  <c r="D44" i="6"/>
  <c r="D43" i="6" s="1"/>
  <c r="D41" i="6"/>
  <c r="D40" i="6" s="1"/>
  <c r="D12" i="6"/>
  <c r="D55" i="6" s="1"/>
  <c r="D132" i="6"/>
  <c r="D137" i="6" s="1"/>
  <c r="F43" i="6" l="1"/>
  <c r="F60" i="6"/>
  <c r="E40" i="6"/>
  <c r="F41" i="6"/>
  <c r="E55" i="6"/>
  <c r="E61" i="6" s="1"/>
  <c r="G61" i="6" s="1"/>
  <c r="F55" i="6"/>
  <c r="D61" i="6"/>
  <c r="D136" i="6"/>
  <c r="D134" i="6" s="1"/>
  <c r="D129" i="6"/>
  <c r="F10" i="6"/>
  <c r="D10" i="6"/>
  <c r="D9" i="6" s="1"/>
  <c r="D54" i="6"/>
  <c r="E9" i="6"/>
  <c r="F61" i="6" l="1"/>
  <c r="G55" i="6"/>
  <c r="E52" i="6"/>
  <c r="G52" i="6" s="1"/>
  <c r="E58" i="6"/>
  <c r="F58" i="6" s="1"/>
  <c r="G40" i="6"/>
  <c r="F40" i="6"/>
  <c r="F54" i="6"/>
  <c r="D52" i="6"/>
  <c r="F52" i="6" s="1"/>
  <c r="D60" i="6"/>
  <c r="D58" i="6"/>
  <c r="G58" i="6" l="1"/>
</calcChain>
</file>

<file path=xl/comments1.xml><?xml version="1.0" encoding="utf-8"?>
<comments xmlns="http://schemas.openxmlformats.org/spreadsheetml/2006/main">
  <authors>
    <author>Степаненко Наталья Алексеевна</author>
  </authors>
  <commentList>
    <comment ref="C63" authorId="0" guid="{2074A79C-4FEA-4863-9AFB-7A283165BBB4}" shapeId="0">
      <text>
        <r>
          <rPr>
            <b/>
            <sz val="9"/>
            <color indexed="81"/>
            <rFont val="Tahoma"/>
            <family val="2"/>
            <charset val="204"/>
          </rPr>
          <t>Степаненко Наталья Алексеевна:</t>
        </r>
        <r>
          <rPr>
            <sz val="9"/>
            <color indexed="81"/>
            <rFont val="Tahoma"/>
            <family val="2"/>
            <charset val="204"/>
          </rPr>
          <t xml:space="preserve">
13396,72
</t>
        </r>
      </text>
    </comment>
    <comment ref="E63" authorId="0" guid="{FBC4E4DF-BBBD-415B-919F-F44F0902B169}" shapeId="0">
      <text>
        <r>
          <rPr>
            <b/>
            <sz val="9"/>
            <color indexed="81"/>
            <rFont val="Tahoma"/>
            <family val="2"/>
            <charset val="204"/>
          </rPr>
          <t>Степаненко Наталья Алексеевна:</t>
        </r>
        <r>
          <rPr>
            <sz val="9"/>
            <color indexed="81"/>
            <rFont val="Tahoma"/>
            <family val="2"/>
            <charset val="204"/>
          </rPr>
          <t xml:space="preserve">
11975,716
</t>
        </r>
      </text>
    </comment>
  </commentList>
</comments>
</file>

<file path=xl/comments2.xml><?xml version="1.0" encoding="utf-8"?>
<comments xmlns="http://schemas.openxmlformats.org/spreadsheetml/2006/main">
  <authors>
    <author>Степаненко Наталья Алексеевна</author>
  </authors>
  <commentList>
    <comment ref="C25" authorId="0" guid="{0590DC3F-6BE1-4FD6-8FA6-6644A5743760}" shapeId="0">
      <text>
        <r>
          <rPr>
            <b/>
            <sz val="9"/>
            <color indexed="81"/>
            <rFont val="Tahoma"/>
            <family val="2"/>
            <charset val="204"/>
          </rPr>
          <t>Степаненко Наталья Алексеевна:</t>
        </r>
        <r>
          <rPr>
            <sz val="9"/>
            <color indexed="81"/>
            <rFont val="Tahoma"/>
            <family val="2"/>
            <charset val="204"/>
          </rPr>
          <t xml:space="preserve">
12529,63
</t>
        </r>
      </text>
    </comment>
    <comment ref="J25" authorId="0" guid="{4B55C8BB-D1E4-452E-B3E8-CF2F2CB719D1}" shapeId="0">
      <text>
        <r>
          <rPr>
            <b/>
            <sz val="9"/>
            <color indexed="81"/>
            <rFont val="Tahoma"/>
            <family val="2"/>
            <charset val="204"/>
          </rPr>
          <t>Степаненко Наталья Алексеевна:</t>
        </r>
        <r>
          <rPr>
            <sz val="9"/>
            <color indexed="81"/>
            <rFont val="Tahoma"/>
            <family val="2"/>
            <charset val="204"/>
          </rPr>
          <t xml:space="preserve">
3934,18
</t>
        </r>
      </text>
    </comment>
    <comment ref="N25" authorId="0" guid="{C25E6902-469B-4F05-846C-CE01DF1813E3}" shapeId="0">
      <text>
        <r>
          <rPr>
            <b/>
            <sz val="9"/>
            <color indexed="81"/>
            <rFont val="Tahoma"/>
            <family val="2"/>
            <charset val="204"/>
          </rPr>
          <t>Степаненко Наталья Алексеевна:</t>
        </r>
        <r>
          <rPr>
            <sz val="9"/>
            <color indexed="81"/>
            <rFont val="Tahoma"/>
            <family val="2"/>
            <charset val="204"/>
          </rPr>
          <t xml:space="preserve">
3245,20
</t>
        </r>
      </text>
    </comment>
    <comment ref="AD25" authorId="0" guid="{7B89D0FA-7775-415C-9CCF-2864430F3C37}" shapeId="0">
      <text>
        <r>
          <rPr>
            <b/>
            <sz val="9"/>
            <color indexed="81"/>
            <rFont val="Tahoma"/>
            <family val="2"/>
            <charset val="204"/>
          </rPr>
          <t>Степаненко Наталья Алексеевна:</t>
        </r>
        <r>
          <rPr>
            <sz val="9"/>
            <color indexed="81"/>
            <rFont val="Tahoma"/>
            <family val="2"/>
            <charset val="204"/>
          </rPr>
          <t xml:space="preserve">
6377,67
</t>
        </r>
      </text>
    </comment>
    <comment ref="B37" authorId="0" guid="{D142AFCC-D2EF-45D3-911B-323231BD39E5}" shapeId="0">
      <text>
        <r>
          <rPr>
            <b/>
            <sz val="9"/>
            <color indexed="81"/>
            <rFont val="Tahoma"/>
            <family val="2"/>
            <charset val="204"/>
          </rPr>
          <t>Степаненко Наталья Алексеевна:</t>
        </r>
        <r>
          <rPr>
            <sz val="9"/>
            <color indexed="81"/>
            <rFont val="Tahoma"/>
            <family val="2"/>
            <charset val="204"/>
          </rPr>
          <t xml:space="preserve">
151964,80</t>
        </r>
        <r>
          <rPr>
            <sz val="9"/>
            <color indexed="81"/>
            <rFont val="Tahoma"/>
            <family val="2"/>
            <charset val="204"/>
          </rPr>
          <t xml:space="preserve">
</t>
        </r>
      </text>
    </comment>
    <comment ref="J37" authorId="0" guid="{77BCDCFA-58C1-402E-AB3D-3958D5B9B03B}" shapeId="0">
      <text>
        <r>
          <rPr>
            <b/>
            <sz val="9"/>
            <color indexed="81"/>
            <rFont val="Tahoma"/>
            <family val="2"/>
            <charset val="204"/>
          </rPr>
          <t>Степаненко Наталья Алексеевна:</t>
        </r>
        <r>
          <rPr>
            <sz val="9"/>
            <color indexed="81"/>
            <rFont val="Tahoma"/>
            <family val="2"/>
            <charset val="204"/>
          </rPr>
          <t xml:space="preserve">
14 873,32</t>
        </r>
      </text>
    </comment>
    <comment ref="L37" authorId="0" guid="{DCB06E0E-178E-49EE-A436-DFB422EEE28E}" shapeId="0">
      <text>
        <r>
          <rPr>
            <b/>
            <sz val="9"/>
            <color indexed="81"/>
            <rFont val="Tahoma"/>
            <family val="2"/>
            <charset val="204"/>
          </rPr>
          <t>Степаненко Наталья Алексеевна:</t>
        </r>
        <r>
          <rPr>
            <sz val="9"/>
            <color indexed="81"/>
            <rFont val="Tahoma"/>
            <family val="2"/>
            <charset val="204"/>
          </rPr>
          <t xml:space="preserve">
9 932,14</t>
        </r>
      </text>
    </comment>
    <comment ref="T37" authorId="0" guid="{8F428B73-2E3B-408F-8BCD-2ECCB756F0A9}" shapeId="0">
      <text>
        <r>
          <rPr>
            <b/>
            <sz val="9"/>
            <color indexed="81"/>
            <rFont val="Tahoma"/>
            <family val="2"/>
            <charset val="204"/>
          </rPr>
          <t>Степаненко Наталья Алексеевна:</t>
        </r>
        <r>
          <rPr>
            <sz val="9"/>
            <color indexed="81"/>
            <rFont val="Tahoma"/>
            <family val="2"/>
            <charset val="204"/>
          </rPr>
          <t xml:space="preserve">
18911,99</t>
        </r>
      </text>
    </comment>
    <comment ref="V37" authorId="0" guid="{8B6C6B6C-1BF5-4CA1-AF3A-79059B2A9433}" shapeId="0">
      <text>
        <r>
          <rPr>
            <b/>
            <sz val="9"/>
            <color indexed="81"/>
            <rFont val="Tahoma"/>
            <family val="2"/>
            <charset val="204"/>
          </rPr>
          <t>Степаненко Наталья Алексеевна:</t>
        </r>
        <r>
          <rPr>
            <sz val="9"/>
            <color indexed="81"/>
            <rFont val="Tahoma"/>
            <family val="2"/>
            <charset val="204"/>
          </rPr>
          <t xml:space="preserve">
12619,52</t>
        </r>
      </text>
    </comment>
    <comment ref="AD37" authorId="0" guid="{FA78A135-9480-4784-9827-A972DA881DE6}" shapeId="0">
      <text>
        <r>
          <rPr>
            <b/>
            <sz val="9"/>
            <color indexed="81"/>
            <rFont val="Tahoma"/>
            <family val="2"/>
            <charset val="204"/>
          </rPr>
          <t>Степаненко Наталья Алексеевна:</t>
        </r>
        <r>
          <rPr>
            <sz val="9"/>
            <color indexed="81"/>
            <rFont val="Tahoma"/>
            <family val="2"/>
            <charset val="204"/>
          </rPr>
          <t xml:space="preserve">
18030,70</t>
        </r>
      </text>
    </comment>
    <comment ref="B40" authorId="0" guid="{C16529E0-57DE-40E3-992E-E7C25E790767}" shapeId="0">
      <text>
        <r>
          <rPr>
            <b/>
            <sz val="9"/>
            <color indexed="81"/>
            <rFont val="Tahoma"/>
            <family val="2"/>
            <charset val="204"/>
          </rPr>
          <t>Степаненко Наталья Алексеевна:</t>
        </r>
        <r>
          <rPr>
            <sz val="9"/>
            <color indexed="81"/>
            <rFont val="Tahoma"/>
            <family val="2"/>
            <charset val="204"/>
          </rPr>
          <t xml:space="preserve">
27895,68</t>
        </r>
      </text>
    </comment>
    <comment ref="H40" authorId="0" guid="{93785CF8-8BC6-4F93-A61F-F0553D5F29A3}" shapeId="0">
      <text>
        <r>
          <rPr>
            <b/>
            <sz val="9"/>
            <color indexed="81"/>
            <rFont val="Tahoma"/>
            <family val="2"/>
            <charset val="204"/>
          </rPr>
          <t>Степаненко Наталья Алексеевна:</t>
        </r>
        <r>
          <rPr>
            <sz val="9"/>
            <color indexed="81"/>
            <rFont val="Tahoma"/>
            <family val="2"/>
            <charset val="204"/>
          </rPr>
          <t xml:space="preserve">
1 526,47</t>
        </r>
      </text>
    </comment>
    <comment ref="R40" authorId="0" guid="{8E79FE38-8044-41EF-8DE5-B2450FF11974}" shapeId="0">
      <text>
        <r>
          <rPr>
            <b/>
            <sz val="9"/>
            <color indexed="81"/>
            <rFont val="Tahoma"/>
            <family val="2"/>
            <charset val="204"/>
          </rPr>
          <t>Степаненко Наталья Алексеевна:</t>
        </r>
        <r>
          <rPr>
            <sz val="9"/>
            <color indexed="81"/>
            <rFont val="Tahoma"/>
            <family val="2"/>
            <charset val="204"/>
          </rPr>
          <t xml:space="preserve">
2730,31</t>
        </r>
      </text>
    </comment>
    <comment ref="T40" authorId="0" guid="{E228A23F-DB11-4A1E-8ADF-C9FF05F8F601}" shapeId="0">
      <text>
        <r>
          <rPr>
            <b/>
            <sz val="9"/>
            <color indexed="81"/>
            <rFont val="Tahoma"/>
            <family val="2"/>
            <charset val="204"/>
          </rPr>
          <t>Степаненко Наталья Алексеевна:</t>
        </r>
        <r>
          <rPr>
            <sz val="9"/>
            <color indexed="81"/>
            <rFont val="Tahoma"/>
            <family val="2"/>
            <charset val="204"/>
          </rPr>
          <t xml:space="preserve">
2290,88</t>
        </r>
      </text>
    </comment>
    <comment ref="A51" authorId="0" guid="{CA265AEA-3C68-4D4B-9CDF-62D7E9955204}" shapeId="0">
      <text>
        <r>
          <rPr>
            <b/>
            <sz val="9"/>
            <color indexed="81"/>
            <rFont val="Tahoma"/>
            <family val="2"/>
            <charset val="204"/>
          </rPr>
          <t>Степаненко Наталья Алексеевна:</t>
        </r>
        <r>
          <rPr>
            <sz val="9"/>
            <color indexed="81"/>
            <rFont val="Tahoma"/>
            <family val="2"/>
            <charset val="204"/>
          </rPr>
          <t xml:space="preserve">
на 01.04.2024 доблены привлеченные средства 55 532,51 Лукойл
</t>
        </r>
      </text>
    </comment>
  </commentList>
</comments>
</file>

<file path=xl/comments3.xml><?xml version="1.0" encoding="utf-8"?>
<comments xmlns="http://schemas.openxmlformats.org/spreadsheetml/2006/main">
  <authors>
    <author>Степаненко Наталья Алексеевна</author>
    <author>Шишкина Юлия Андреева</author>
  </authors>
  <commentList>
    <comment ref="A47" authorId="0" guid="{760DC628-8DBD-4E3D-A0E0-4D67DABCD4C1}" shapeId="0">
      <text>
        <r>
          <rPr>
            <b/>
            <sz val="9"/>
            <color indexed="81"/>
            <rFont val="Tahoma"/>
            <family val="2"/>
            <charset val="204"/>
          </rPr>
          <t>Степаненко Наталья Алексеевна:</t>
        </r>
        <r>
          <rPr>
            <sz val="9"/>
            <color indexed="81"/>
            <rFont val="Tahoma"/>
            <family val="2"/>
            <charset val="204"/>
          </rPr>
          <t xml:space="preserve">
необходимо заполнить софинонирвоание по всем мерпориятиям где есть</t>
        </r>
      </text>
    </comment>
    <comment ref="I59" authorId="1" guid="{7B115AC1-026A-403B-9CBF-83121BD59EB3}" shapeId="0">
      <text>
        <r>
          <rPr>
            <b/>
            <sz val="9"/>
            <color indexed="81"/>
            <rFont val="Tahoma"/>
            <family val="2"/>
            <charset val="204"/>
          </rPr>
          <t>Шишкина Юлия Андреева:</t>
        </r>
        <r>
          <rPr>
            <sz val="9"/>
            <color indexed="81"/>
            <rFont val="Tahoma"/>
            <family val="2"/>
            <charset val="204"/>
          </rPr>
          <t xml:space="preserve">
2 224,7 в АИС Бюджете, уточнить
</t>
        </r>
      </text>
    </comment>
    <comment ref="I108" authorId="1" guid="{9E62417B-1528-4BCE-BFFC-0F647417D528}" shapeId="0">
      <text>
        <r>
          <rPr>
            <b/>
            <sz val="9"/>
            <color indexed="81"/>
            <rFont val="Tahoma"/>
            <family val="2"/>
            <charset val="204"/>
          </rPr>
          <t>Шишкина Юлия Андреева:</t>
        </r>
        <r>
          <rPr>
            <sz val="9"/>
            <color indexed="81"/>
            <rFont val="Tahoma"/>
            <family val="2"/>
            <charset val="204"/>
          </rPr>
          <t xml:space="preserve">
4 455,3 в АИС Бюджете, уточнить
</t>
        </r>
      </text>
    </comment>
    <comment ref="I144" authorId="1" guid="{BDC66CED-7856-4095-9802-E9E0DDA1C078}" shapeId="0">
      <text>
        <r>
          <rPr>
            <b/>
            <sz val="9"/>
            <color indexed="81"/>
            <rFont val="Tahoma"/>
            <family val="2"/>
            <charset val="204"/>
          </rPr>
          <t>Шишкина Юлия Андреева:</t>
        </r>
        <r>
          <rPr>
            <sz val="9"/>
            <color indexed="81"/>
            <rFont val="Tahoma"/>
            <family val="2"/>
            <charset val="204"/>
          </rPr>
          <t xml:space="preserve">
3 705,292 в АИС Бюджете, уточнить
</t>
        </r>
      </text>
    </comment>
    <comment ref="I202" authorId="1" guid="{F9CF2473-8215-487D-A57E-B3E222B1BC84}" shapeId="0">
      <text>
        <r>
          <rPr>
            <b/>
            <sz val="9"/>
            <color indexed="81"/>
            <rFont val="Tahoma"/>
            <family val="2"/>
            <charset val="204"/>
          </rPr>
          <t>Шишкина Юлия Андреева:</t>
        </r>
        <r>
          <rPr>
            <sz val="9"/>
            <color indexed="81"/>
            <rFont val="Tahoma"/>
            <family val="2"/>
            <charset val="204"/>
          </rPr>
          <t xml:space="preserve">
576,594 в АИС Бюджете, уточнить
</t>
        </r>
      </text>
    </comment>
    <comment ref="I214" authorId="1" guid="{F72C5B17-8058-4CF5-B149-A167D84FD773}" shapeId="0">
      <text>
        <r>
          <rPr>
            <b/>
            <sz val="9"/>
            <color indexed="81"/>
            <rFont val="Tahoma"/>
            <family val="2"/>
            <charset val="204"/>
          </rPr>
          <t>Шишкина Юлия Андреева:</t>
        </r>
        <r>
          <rPr>
            <sz val="9"/>
            <color indexed="81"/>
            <rFont val="Tahoma"/>
            <family val="2"/>
            <charset val="204"/>
          </rPr>
          <t xml:space="preserve">
8 452, 609 в АИС Бюджете, уточнить
</t>
        </r>
      </text>
    </comment>
  </commentList>
</comments>
</file>

<file path=xl/comments4.xml><?xml version="1.0" encoding="utf-8"?>
<comments xmlns="http://schemas.openxmlformats.org/spreadsheetml/2006/main">
  <authors>
    <author>Степаненко Наталья Алексеевна</author>
  </authors>
  <commentList>
    <comment ref="C61" authorId="0" guid="{FE1F26CE-E58C-43A3-98F2-A6BBE36E34CD}" shapeId="0">
      <text>
        <r>
          <rPr>
            <b/>
            <sz val="9"/>
            <color indexed="81"/>
            <rFont val="Tahoma"/>
            <family val="2"/>
            <charset val="204"/>
          </rPr>
          <t>Степаненко Наталья Алексеевна:</t>
        </r>
        <r>
          <rPr>
            <sz val="9"/>
            <color indexed="81"/>
            <rFont val="Tahoma"/>
            <family val="2"/>
            <charset val="204"/>
          </rPr>
          <t xml:space="preserve">
3795,88
</t>
        </r>
      </text>
    </comment>
    <comment ref="AD61" authorId="0" guid="{C83E9D8F-FC32-461F-89FD-2A6E7407D821}" shapeId="0">
      <text>
        <r>
          <rPr>
            <b/>
            <sz val="9"/>
            <color indexed="81"/>
            <rFont val="Tahoma"/>
            <family val="2"/>
            <charset val="204"/>
          </rPr>
          <t>Степаненко Наталья Алексеевна:</t>
        </r>
        <r>
          <rPr>
            <sz val="9"/>
            <color indexed="81"/>
            <rFont val="Tahoma"/>
            <family val="2"/>
            <charset val="204"/>
          </rPr>
          <t xml:space="preserve">
1181,42
</t>
        </r>
      </text>
    </comment>
  </commentList>
</comments>
</file>

<file path=xl/comments5.xml><?xml version="1.0" encoding="utf-8"?>
<comments xmlns="http://schemas.openxmlformats.org/spreadsheetml/2006/main">
  <authors>
    <author>Степаненко Наталья Алексеевна</author>
    <author>Шишкина Юлия Андреева</author>
    <author>Цёвка Елена Александровна</author>
  </authors>
  <commentList>
    <comment ref="E28" authorId="0" guid="{37AB102C-F90F-4FEE-8FF2-1B2E8A98F7BD}" shapeId="0">
      <text>
        <r>
          <rPr>
            <b/>
            <sz val="9"/>
            <color indexed="81"/>
            <rFont val="Tahoma"/>
            <family val="2"/>
            <charset val="204"/>
          </rPr>
          <t>Степаненко Наталья Алексеевна:</t>
        </r>
        <r>
          <rPr>
            <sz val="9"/>
            <color indexed="81"/>
            <rFont val="Tahoma"/>
            <family val="2"/>
            <charset val="204"/>
          </rPr>
          <t xml:space="preserve">
1503,53
</t>
        </r>
      </text>
    </comment>
    <comment ref="I28" authorId="1" guid="{D3723659-408B-49EE-A513-FB9EBA96D5F1}" shapeId="0">
      <text>
        <r>
          <rPr>
            <b/>
            <sz val="9"/>
            <color indexed="81"/>
            <rFont val="Tahoma"/>
            <family val="2"/>
            <charset val="204"/>
          </rPr>
          <t>Шишкина Юлия Андреева:</t>
        </r>
        <r>
          <rPr>
            <sz val="9"/>
            <color indexed="81"/>
            <rFont val="Tahoma"/>
            <family val="2"/>
            <charset val="204"/>
          </rPr>
          <t xml:space="preserve">
в АИС Бюджете 130,4928, уточнить
</t>
        </r>
      </text>
    </comment>
    <comment ref="B34" authorId="0" guid="{774A3CB3-B9D2-45A7-B237-55D72D0BEF0A}" shapeId="0">
      <text>
        <r>
          <rPr>
            <b/>
            <sz val="9"/>
            <color indexed="81"/>
            <rFont val="Tahoma"/>
            <family val="2"/>
            <charset val="204"/>
          </rPr>
          <t>Степаненко Наталья Алексеевна:</t>
        </r>
        <r>
          <rPr>
            <sz val="9"/>
            <color indexed="81"/>
            <rFont val="Tahoma"/>
            <family val="2"/>
            <charset val="204"/>
          </rPr>
          <t xml:space="preserve">
162140,257
</t>
        </r>
      </text>
    </comment>
    <comment ref="C34" authorId="0" guid="{6F84866E-2386-4474-808A-46817AC112E3}" shapeId="0">
      <text>
        <r>
          <rPr>
            <b/>
            <sz val="9"/>
            <color indexed="81"/>
            <rFont val="Tahoma"/>
            <family val="2"/>
            <charset val="204"/>
          </rPr>
          <t>Степаненко Наталья Алексеевна:</t>
        </r>
        <r>
          <rPr>
            <sz val="9"/>
            <color indexed="81"/>
            <rFont val="Tahoma"/>
            <family val="2"/>
            <charset val="204"/>
          </rPr>
          <t xml:space="preserve">
51906,52
</t>
        </r>
      </text>
    </comment>
    <comment ref="E34" authorId="0" guid="{94530B9D-8ABE-45F9-885F-1617E1683388}" shapeId="0">
      <text>
        <r>
          <rPr>
            <b/>
            <sz val="9"/>
            <color indexed="81"/>
            <rFont val="Tahoma"/>
            <family val="2"/>
            <charset val="204"/>
          </rPr>
          <t>Степаненко Наталья Алексеевна:</t>
        </r>
        <r>
          <rPr>
            <sz val="9"/>
            <color indexed="81"/>
            <rFont val="Tahoma"/>
            <family val="2"/>
            <charset val="204"/>
          </rPr>
          <t xml:space="preserve">
51906,524
</t>
        </r>
      </text>
    </comment>
    <comment ref="I34" authorId="1" guid="{774CD918-1338-443B-8498-FE07C838F51A}" shapeId="0">
      <text>
        <r>
          <rPr>
            <b/>
            <sz val="9"/>
            <color indexed="81"/>
            <rFont val="Tahoma"/>
            <family val="2"/>
            <charset val="204"/>
          </rPr>
          <t>Шишкина Юлия Андреева:</t>
        </r>
        <r>
          <rPr>
            <sz val="9"/>
            <color indexed="81"/>
            <rFont val="Tahoma"/>
            <family val="2"/>
            <charset val="204"/>
          </rPr>
          <t xml:space="preserve">
38 397,55 в АИС Бюджете, уточнить
</t>
        </r>
      </text>
    </comment>
    <comment ref="E40" authorId="0" guid="{F6BF7A16-7F86-425C-B3D6-4B1D1044AD70}" shapeId="0">
      <text>
        <r>
          <rPr>
            <b/>
            <sz val="9"/>
            <color indexed="81"/>
            <rFont val="Tahoma"/>
            <family val="2"/>
            <charset val="204"/>
          </rPr>
          <t>Степаненко Наталья Алексеевна:</t>
        </r>
        <r>
          <rPr>
            <sz val="9"/>
            <color indexed="81"/>
            <rFont val="Tahoma"/>
            <family val="2"/>
            <charset val="204"/>
          </rPr>
          <t xml:space="preserve">
149,37
</t>
        </r>
      </text>
    </comment>
    <comment ref="I40" authorId="1" guid="{84B31187-5375-47D5-86AD-E73651A649C5}" shapeId="0">
      <text>
        <r>
          <rPr>
            <b/>
            <sz val="9"/>
            <color indexed="81"/>
            <rFont val="Tahoma"/>
            <family val="2"/>
            <charset val="204"/>
          </rPr>
          <t>Шишкина Юлия Андреева:</t>
        </r>
        <r>
          <rPr>
            <sz val="9"/>
            <color indexed="81"/>
            <rFont val="Tahoma"/>
            <family val="2"/>
            <charset val="204"/>
          </rPr>
          <t xml:space="preserve">
в АИС Бюджете 12,822, уточнить
</t>
        </r>
      </text>
    </comment>
    <comment ref="B51" authorId="0" guid="{FFE4235E-4953-43C1-AB1F-F4285AED06B9}" shapeId="0">
      <text>
        <r>
          <rPr>
            <b/>
            <sz val="9"/>
            <color indexed="81"/>
            <rFont val="Tahoma"/>
            <family val="2"/>
            <charset val="204"/>
          </rPr>
          <t>Степаненко Наталья Алексеевна:</t>
        </r>
        <r>
          <rPr>
            <sz val="9"/>
            <color indexed="81"/>
            <rFont val="Tahoma"/>
            <family val="2"/>
            <charset val="204"/>
          </rPr>
          <t xml:space="preserve">
1940,10
</t>
        </r>
      </text>
    </comment>
    <comment ref="C51" authorId="0" guid="{212C5631-4AD7-4C81-BB4C-E8AEE49C8296}" shapeId="0">
      <text>
        <r>
          <rPr>
            <b/>
            <sz val="9"/>
            <color indexed="81"/>
            <rFont val="Tahoma"/>
            <family val="2"/>
            <charset val="204"/>
          </rPr>
          <t>Степаненко Наталья Алексеевна:</t>
        </r>
        <r>
          <rPr>
            <sz val="9"/>
            <color indexed="81"/>
            <rFont val="Tahoma"/>
            <family val="2"/>
            <charset val="204"/>
          </rPr>
          <t xml:space="preserve">
0
</t>
        </r>
      </text>
    </comment>
    <comment ref="A52" authorId="0" guid="{AFF45DA8-E267-4001-90DE-A38CC0E10711}" shapeId="0">
      <text>
        <r>
          <rPr>
            <b/>
            <sz val="9"/>
            <color indexed="81"/>
            <rFont val="Tahoma"/>
            <family val="2"/>
            <charset val="204"/>
          </rPr>
          <t>Степаненко Наталья Алексеевна:</t>
        </r>
        <r>
          <rPr>
            <sz val="9"/>
            <color indexed="81"/>
            <rFont val="Tahoma"/>
            <family val="2"/>
            <charset val="204"/>
          </rPr>
          <t xml:space="preserve">
необходимо выделит ьстроку мб в части софинансирвоания согласно форме порядка по программам
</t>
        </r>
      </text>
    </comment>
    <comment ref="E52" authorId="0" guid="{54A6E252-A512-49FA-A9F3-BBA423BA5DE1}" shapeId="0">
      <text>
        <r>
          <rPr>
            <b/>
            <sz val="9"/>
            <color indexed="81"/>
            <rFont val="Tahoma"/>
            <family val="2"/>
            <charset val="204"/>
          </rPr>
          <t>Степаненко Наталья Алексеевна:</t>
        </r>
        <r>
          <rPr>
            <sz val="9"/>
            <color indexed="81"/>
            <rFont val="Tahoma"/>
            <family val="2"/>
            <charset val="204"/>
          </rPr>
          <t xml:space="preserve">
404,80
</t>
        </r>
      </text>
    </comment>
    <comment ref="B64" authorId="0" guid="{482488A4-2E33-47E4-8BE0-1F9B48EEBDAB}" shapeId="0">
      <text>
        <r>
          <rPr>
            <b/>
            <sz val="9"/>
            <color indexed="81"/>
            <rFont val="Tahoma"/>
            <family val="2"/>
            <charset val="204"/>
          </rPr>
          <t>Степаненко Наталья Алексеевна:</t>
        </r>
        <r>
          <rPr>
            <sz val="9"/>
            <color indexed="81"/>
            <rFont val="Tahoma"/>
            <family val="2"/>
            <charset val="204"/>
          </rPr>
          <t xml:space="preserve">
97976,88
</t>
        </r>
      </text>
    </comment>
    <comment ref="E70" authorId="0" guid="{522CC313-4AF5-45FD-A170-28DAA56B1A1A}" shapeId="0">
      <text>
        <r>
          <rPr>
            <b/>
            <sz val="9"/>
            <color indexed="81"/>
            <rFont val="Tahoma"/>
            <family val="2"/>
            <charset val="204"/>
          </rPr>
          <t>Степаненко Наталья Алексеевна:</t>
        </r>
        <r>
          <rPr>
            <sz val="9"/>
            <color indexed="81"/>
            <rFont val="Tahoma"/>
            <family val="2"/>
            <charset val="204"/>
          </rPr>
          <t xml:space="preserve">
1900,0
</t>
        </r>
      </text>
    </comment>
    <comment ref="I70" authorId="1" guid="{B8EEA315-B93F-44D3-9964-0523520D7A4E}" shapeId="0">
      <text>
        <r>
          <rPr>
            <b/>
            <sz val="9"/>
            <color indexed="81"/>
            <rFont val="Tahoma"/>
            <family val="2"/>
            <charset val="204"/>
          </rPr>
          <t>Шишкина Юлия Андреева:</t>
        </r>
        <r>
          <rPr>
            <sz val="9"/>
            <color indexed="81"/>
            <rFont val="Tahoma"/>
            <family val="2"/>
            <charset val="204"/>
          </rPr>
          <t xml:space="preserve">
в АИС Бюджете 1 750,0, уточнить
</t>
        </r>
      </text>
    </comment>
    <comment ref="I96" authorId="1" guid="{08B2C0C5-8C3F-43C8-9B99-C866F2C9E14C}" shapeId="0">
      <text>
        <r>
          <rPr>
            <b/>
            <sz val="9"/>
            <color indexed="81"/>
            <rFont val="Tahoma"/>
            <family val="2"/>
            <charset val="204"/>
          </rPr>
          <t>Шишкина Юлия Андреева:</t>
        </r>
        <r>
          <rPr>
            <sz val="9"/>
            <color indexed="81"/>
            <rFont val="Tahoma"/>
            <family val="2"/>
            <charset val="204"/>
          </rPr>
          <t xml:space="preserve">
в АИС Бюджете 864,9 , уточнить
</t>
        </r>
      </text>
    </comment>
    <comment ref="B101" authorId="0" guid="{81D22E6A-D233-47EF-A83E-2A18D3C5BFB6}" shapeId="0">
      <text>
        <r>
          <rPr>
            <b/>
            <sz val="9"/>
            <color indexed="81"/>
            <rFont val="Tahoma"/>
            <family val="2"/>
            <charset val="204"/>
          </rPr>
          <t>Степаненко Наталья Алексеевна:</t>
        </r>
        <r>
          <rPr>
            <sz val="9"/>
            <color indexed="81"/>
            <rFont val="Tahoma"/>
            <family val="2"/>
            <charset val="204"/>
          </rPr>
          <t xml:space="preserve">
8211,7
</t>
        </r>
      </text>
    </comment>
    <comment ref="B102" authorId="0" guid="{4E562E36-AB58-4EAB-90C0-DFBD488C22B6}" shapeId="0">
      <text>
        <r>
          <rPr>
            <b/>
            <sz val="9"/>
            <color indexed="81"/>
            <rFont val="Tahoma"/>
            <family val="2"/>
            <charset val="204"/>
          </rPr>
          <t>Степаненко Наталья Алексеевна:</t>
        </r>
        <r>
          <rPr>
            <sz val="9"/>
            <color indexed="81"/>
            <rFont val="Tahoma"/>
            <family val="2"/>
            <charset val="204"/>
          </rPr>
          <t xml:space="preserve">
16 799,28
</t>
        </r>
      </text>
    </comment>
    <comment ref="E102" authorId="0" guid="{58AD0B89-CC84-4217-A5D6-A97FF2E6F4D5}" shapeId="0">
      <text>
        <r>
          <rPr>
            <b/>
            <sz val="9"/>
            <color indexed="81"/>
            <rFont val="Tahoma"/>
            <family val="2"/>
            <charset val="204"/>
          </rPr>
          <t>Степаненко Наталья Алексеевна:</t>
        </r>
        <r>
          <rPr>
            <sz val="9"/>
            <color indexed="81"/>
            <rFont val="Tahoma"/>
            <family val="2"/>
            <charset val="204"/>
          </rPr>
          <t xml:space="preserve">
5 242,85
</t>
        </r>
      </text>
    </comment>
    <comment ref="I102" authorId="1" guid="{BD4ABA51-86DB-4B89-8F71-FDE4B9144D29}" shapeId="0">
      <text>
        <r>
          <rPr>
            <b/>
            <sz val="9"/>
            <color indexed="81"/>
            <rFont val="Tahoma"/>
            <family val="2"/>
            <charset val="204"/>
          </rPr>
          <t>Шишкина Юлия Андреева:</t>
        </r>
        <r>
          <rPr>
            <sz val="9"/>
            <color indexed="81"/>
            <rFont val="Tahoma"/>
            <family val="2"/>
            <charset val="204"/>
          </rPr>
          <t xml:space="preserve">
в АИС Бюджете 1 840,167, уточнить
</t>
        </r>
      </text>
    </comment>
    <comment ref="E118" authorId="0" guid="{FCD800F5-413D-4945-A53A-FF1DCDEFDCB5}" shapeId="0">
      <text>
        <r>
          <rPr>
            <b/>
            <sz val="9"/>
            <color indexed="81"/>
            <rFont val="Tahoma"/>
            <family val="2"/>
            <charset val="204"/>
          </rPr>
          <t>Степаненко Наталья Алексеевна:</t>
        </r>
        <r>
          <rPr>
            <sz val="9"/>
            <color indexed="81"/>
            <rFont val="Tahoma"/>
            <family val="2"/>
            <charset val="204"/>
          </rPr>
          <t xml:space="preserve">
210,71
</t>
        </r>
      </text>
    </comment>
    <comment ref="B132" authorId="2" guid="{3BBB923D-6436-4943-A82C-50D5315E11D6}" shapeId="0">
      <text>
        <r>
          <rPr>
            <b/>
            <sz val="9"/>
            <color indexed="81"/>
            <rFont val="Tahoma"/>
            <family val="2"/>
            <charset val="204"/>
          </rPr>
          <t>Цёвка Елена Александровна:</t>
        </r>
        <r>
          <rPr>
            <sz val="9"/>
            <color indexed="81"/>
            <rFont val="Tahoma"/>
            <family val="2"/>
            <charset val="204"/>
          </rPr>
          <t xml:space="preserve">
АЭС Бюджет 396 624,17 Уточнить
</t>
        </r>
      </text>
    </comment>
    <comment ref="B134" authorId="2" guid="{09AAA497-11D8-4E48-9B0B-D0B38BE49C2E}" shapeId="0">
      <text>
        <r>
          <rPr>
            <b/>
            <sz val="9"/>
            <color indexed="81"/>
            <rFont val="Tahoma"/>
            <family val="2"/>
            <charset val="204"/>
          </rPr>
          <t>Цёвка Елена Александровна:</t>
        </r>
        <r>
          <rPr>
            <sz val="9"/>
            <color indexed="81"/>
            <rFont val="Tahoma"/>
            <family val="2"/>
            <charset val="204"/>
          </rPr>
          <t xml:space="preserve">
АЭС Бюджет: 10 151,80 Уточнить
</t>
        </r>
      </text>
    </comment>
    <comment ref="B135" authorId="2" guid="{7EDBC8AA-A47B-4FE9-B1CF-AD9C34B65C63}" shapeId="0">
      <text>
        <r>
          <rPr>
            <b/>
            <sz val="9"/>
            <color indexed="81"/>
            <rFont val="Tahoma"/>
            <family val="2"/>
            <charset val="204"/>
          </rPr>
          <t>Цёвка Елена Александровна:</t>
        </r>
        <r>
          <rPr>
            <sz val="9"/>
            <color indexed="81"/>
            <rFont val="Tahoma"/>
            <family val="2"/>
            <charset val="204"/>
          </rPr>
          <t xml:space="preserve">
АЭС Бюджет: 386 472,37
</t>
        </r>
      </text>
    </comment>
  </commentList>
</comments>
</file>

<file path=xl/comments6.xml><?xml version="1.0" encoding="utf-8"?>
<comments xmlns="http://schemas.openxmlformats.org/spreadsheetml/2006/main">
  <authors>
    <author>Цёвка Елена Александровна</author>
    <author>Степаненко Наталья Алексеевна</author>
  </authors>
  <commentList>
    <comment ref="V18" authorId="0" guid="{EE6EB2D8-1EAA-402E-B0B7-2B44947F6641}" shapeId="0">
      <text>
        <r>
          <rPr>
            <b/>
            <sz val="9"/>
            <color indexed="81"/>
            <rFont val="Tahoma"/>
            <family val="2"/>
            <charset val="204"/>
          </rPr>
          <t>Цёвка Елена Александровна:</t>
        </r>
        <r>
          <rPr>
            <sz val="9"/>
            <color indexed="81"/>
            <rFont val="Tahoma"/>
            <family val="2"/>
            <charset val="204"/>
          </rPr>
          <t xml:space="preserve">
АЭС Бюджет: МБ:100000,00
Уточнить</t>
        </r>
      </text>
    </comment>
    <comment ref="Z21" authorId="0" guid="{11EE0B00-3901-4DE6-85E0-124DB5A5E2FB}" shapeId="0">
      <text>
        <r>
          <rPr>
            <b/>
            <sz val="9"/>
            <color indexed="81"/>
            <rFont val="Tahoma"/>
            <family val="2"/>
            <charset val="204"/>
          </rPr>
          <t>Цёвка Елена Александровна:</t>
        </r>
        <r>
          <rPr>
            <sz val="9"/>
            <color indexed="81"/>
            <rFont val="Tahoma"/>
            <family val="2"/>
            <charset val="204"/>
          </rPr>
          <t xml:space="preserve">
АЭС Бюджет: МБ:2 221,60
Уточнить</t>
        </r>
      </text>
    </comment>
    <comment ref="H37" authorId="0" guid="{C3A424A8-94AB-4B26-97BB-155BE1732C10}" shapeId="0">
      <text>
        <r>
          <rPr>
            <b/>
            <sz val="9"/>
            <color indexed="81"/>
            <rFont val="Tahoma"/>
            <family val="2"/>
            <charset val="204"/>
          </rPr>
          <t>Цёвка Елена Александровна:</t>
        </r>
        <r>
          <rPr>
            <sz val="9"/>
            <color indexed="81"/>
            <rFont val="Tahoma"/>
            <family val="2"/>
            <charset val="204"/>
          </rPr>
          <t xml:space="preserve">
АЭС Бюджет:            300 000,00
Уточнить</t>
        </r>
      </text>
    </comment>
    <comment ref="J37" authorId="0" guid="{99D09639-2CA6-4E3E-AFDD-69508D5DBB02}" shapeId="0">
      <text>
        <r>
          <rPr>
            <b/>
            <sz val="9"/>
            <color indexed="81"/>
            <rFont val="Tahoma"/>
            <family val="2"/>
            <charset val="204"/>
          </rPr>
          <t>Цёвка Елена Александровна:</t>
        </r>
        <r>
          <rPr>
            <sz val="9"/>
            <color indexed="81"/>
            <rFont val="Tahoma"/>
            <family val="2"/>
            <charset val="204"/>
          </rPr>
          <t xml:space="preserve">
АЭС Бюджет:            114 654,00
Уточнить</t>
        </r>
      </text>
    </comment>
    <comment ref="L37" authorId="0" guid="{2295B288-5DD1-4193-94EC-A31DAE5A24E5}" shapeId="0">
      <text>
        <r>
          <rPr>
            <b/>
            <sz val="9"/>
            <color indexed="81"/>
            <rFont val="Tahoma"/>
            <family val="2"/>
            <charset val="204"/>
          </rPr>
          <t>Цёвка Елена Александровна:</t>
        </r>
        <r>
          <rPr>
            <sz val="9"/>
            <color indexed="81"/>
            <rFont val="Tahoma"/>
            <family val="2"/>
            <charset val="204"/>
          </rPr>
          <t xml:space="preserve">
АЭС Бюджет: 
126 788,75
Уточнить</t>
        </r>
      </text>
    </comment>
    <comment ref="N37" authorId="0" guid="{0303A3A8-2F11-46C8-8FEF-9DD61AA960EA}" shapeId="0">
      <text>
        <r>
          <rPr>
            <b/>
            <sz val="9"/>
            <color indexed="81"/>
            <rFont val="Tahoma"/>
            <family val="2"/>
            <charset val="204"/>
          </rPr>
          <t>Цёвка Елена Александровна:</t>
        </r>
        <r>
          <rPr>
            <sz val="9"/>
            <color indexed="81"/>
            <rFont val="Tahoma"/>
            <family val="2"/>
            <charset val="204"/>
          </rPr>
          <t xml:space="preserve">
АЭС Бюджет: 0,00. Уточнить</t>
        </r>
      </text>
    </comment>
    <comment ref="R37" authorId="0" guid="{F78503F9-BD8E-4A7C-B2C5-C0FE6A67DBA9}" shapeId="0">
      <text>
        <r>
          <rPr>
            <b/>
            <sz val="9"/>
            <color indexed="81"/>
            <rFont val="Tahoma"/>
            <family val="2"/>
            <charset val="204"/>
          </rPr>
          <t>Цёвка Елена Александровна:</t>
        </r>
        <r>
          <rPr>
            <sz val="9"/>
            <color indexed="81"/>
            <rFont val="Tahoma"/>
            <family val="2"/>
            <charset val="204"/>
          </rPr>
          <t xml:space="preserve">
АЭС Бюджет: 45000,00</t>
        </r>
      </text>
    </comment>
    <comment ref="AD37" authorId="0" guid="{125F9729-9870-459F-838A-0982DD40B9A5}" shapeId="0">
      <text>
        <r>
          <rPr>
            <b/>
            <sz val="9"/>
            <color indexed="81"/>
            <rFont val="Tahoma"/>
            <family val="2"/>
            <charset val="204"/>
          </rPr>
          <t>Цёвка Елена Александровна:</t>
        </r>
        <r>
          <rPr>
            <sz val="9"/>
            <color indexed="81"/>
            <rFont val="Tahoma"/>
            <family val="2"/>
            <charset val="204"/>
          </rPr>
          <t xml:space="preserve">
АЭС Бюджет:             358 057,25
Уточнить</t>
        </r>
      </text>
    </comment>
    <comment ref="AD43" authorId="0" guid="{4AF4D924-F0E1-48BA-8011-D1899770F7C5}" shapeId="0">
      <text>
        <r>
          <rPr>
            <b/>
            <sz val="9"/>
            <color indexed="81"/>
            <rFont val="Tahoma"/>
            <family val="2"/>
            <charset val="204"/>
          </rPr>
          <t>Цёвка Елена Александровна:</t>
        </r>
        <r>
          <rPr>
            <sz val="9"/>
            <color indexed="81"/>
            <rFont val="Tahoma"/>
            <family val="2"/>
            <charset val="204"/>
          </rPr>
          <t xml:space="preserve">
АЭС Бюджет:                540 000,00. Уточнить
</t>
        </r>
      </text>
    </comment>
    <comment ref="AD67" authorId="0" guid="{F3D7216A-2F31-47AF-A132-E7A1E15D7C0B}" shapeId="0">
      <text>
        <r>
          <rPr>
            <b/>
            <sz val="9"/>
            <color indexed="81"/>
            <rFont val="Tahoma"/>
            <family val="2"/>
            <charset val="204"/>
          </rPr>
          <t>Цёвка Елена Александровна: АЭС Бюджет: 1 686 796,57
Уточнить округления</t>
        </r>
      </text>
    </comment>
    <comment ref="AD73" authorId="0" guid="{F8EB21E4-4590-471B-B4F5-740EACEE1916}" shapeId="0">
      <text>
        <r>
          <rPr>
            <b/>
            <sz val="9"/>
            <color indexed="81"/>
            <rFont val="Tahoma"/>
            <family val="2"/>
            <charset val="204"/>
          </rPr>
          <t>Цёвка Елена Александровна:</t>
        </r>
        <r>
          <rPr>
            <sz val="9"/>
            <color indexed="81"/>
            <rFont val="Tahoma"/>
            <family val="2"/>
            <charset val="204"/>
          </rPr>
          <t xml:space="preserve">
АЭС Бюджет:              23 855 290,34
Уточнить
</t>
        </r>
      </text>
    </comment>
    <comment ref="Z97" authorId="0" guid="{89FC81C1-7635-4E83-B607-BC8A701F18B7}" shapeId="0">
      <text>
        <r>
          <rPr>
            <b/>
            <sz val="9"/>
            <color indexed="81"/>
            <rFont val="Tahoma"/>
            <family val="2"/>
            <charset val="204"/>
          </rPr>
          <t>Цёвка Елена Александровна:</t>
        </r>
        <r>
          <rPr>
            <sz val="9"/>
            <color indexed="81"/>
            <rFont val="Tahoma"/>
            <family val="2"/>
            <charset val="204"/>
          </rPr>
          <t xml:space="preserve">
АЭС Бюджет: 25 066 754,85
Уточнить</t>
        </r>
      </text>
    </comment>
    <comment ref="AB97" authorId="0" guid="{A84C2339-D75C-46F9-835D-94D3AAF7ABC4}" shapeId="0">
      <text>
        <r>
          <rPr>
            <b/>
            <sz val="9"/>
            <color indexed="81"/>
            <rFont val="Tahoma"/>
            <family val="2"/>
            <charset val="204"/>
          </rPr>
          <t>Цёвка Елена Александровна:</t>
        </r>
        <r>
          <rPr>
            <sz val="9"/>
            <color indexed="81"/>
            <rFont val="Tahoma"/>
            <family val="2"/>
            <charset val="204"/>
          </rPr>
          <t xml:space="preserve">
АЭС Бюджет: 22 355 783,45
Уточнить</t>
        </r>
      </text>
    </comment>
    <comment ref="AD97" authorId="0" guid="{1325054F-3F4B-4495-AB58-13276EFDC8F3}" shapeId="0">
      <text>
        <r>
          <rPr>
            <b/>
            <sz val="9"/>
            <color indexed="81"/>
            <rFont val="Tahoma"/>
            <family val="2"/>
            <charset val="204"/>
          </rPr>
          <t>Цёвка Елена Александровна:</t>
        </r>
        <r>
          <rPr>
            <sz val="9"/>
            <color indexed="81"/>
            <rFont val="Tahoma"/>
            <family val="2"/>
            <charset val="204"/>
          </rPr>
          <t xml:space="preserve">
АЭС Бюджет: 21 350 058,85
Уточнить</t>
        </r>
      </text>
    </comment>
    <comment ref="AD182" authorId="1" guid="{5187EDED-53D9-4B01-A4C7-3C03D4D84280}" shapeId="0">
      <text>
        <r>
          <rPr>
            <b/>
            <sz val="9"/>
            <color indexed="81"/>
            <rFont val="Tahoma"/>
            <family val="2"/>
            <charset val="204"/>
          </rPr>
          <t>Степаненко Наталья Алексеевна:</t>
        </r>
        <r>
          <rPr>
            <sz val="9"/>
            <color indexed="81"/>
            <rFont val="Tahoma"/>
            <family val="2"/>
            <charset val="204"/>
          </rPr>
          <t xml:space="preserve">
53,77
</t>
        </r>
      </text>
    </comment>
    <comment ref="C330" authorId="1" guid="{229D5C1D-38AA-4E4F-B7A3-3A9B001D53DB}" shapeId="0">
      <text>
        <r>
          <rPr>
            <b/>
            <sz val="9"/>
            <color indexed="81"/>
            <rFont val="Tahoma"/>
            <family val="2"/>
            <charset val="204"/>
          </rPr>
          <t>Степаненко Наталья Алексеевна:</t>
        </r>
        <r>
          <rPr>
            <sz val="9"/>
            <color indexed="81"/>
            <rFont val="Tahoma"/>
            <family val="2"/>
            <charset val="204"/>
          </rPr>
          <t xml:space="preserve">
45539,71. Нужно скорректировать планы.
</t>
        </r>
      </text>
    </comment>
    <comment ref="J330" authorId="1" guid="{F3C7EF28-3F9F-413B-81D0-D831ACBEEB03}" shapeId="0">
      <text>
        <r>
          <rPr>
            <b/>
            <sz val="9"/>
            <color indexed="81"/>
            <rFont val="Tahoma"/>
            <family val="2"/>
            <charset val="204"/>
          </rPr>
          <t>Степаненко Наталья Алексеевна:</t>
        </r>
        <r>
          <rPr>
            <sz val="9"/>
            <color indexed="81"/>
            <rFont val="Tahoma"/>
            <family val="2"/>
            <charset val="204"/>
          </rPr>
          <t xml:space="preserve">
18083,64</t>
        </r>
      </text>
    </comment>
    <comment ref="L330" authorId="1" guid="{F4E7A73B-21CA-4316-8AF5-C8A377FB4428}" shapeId="0">
      <text>
        <r>
          <rPr>
            <b/>
            <sz val="9"/>
            <color indexed="81"/>
            <rFont val="Tahoma"/>
            <family val="2"/>
            <charset val="204"/>
          </rPr>
          <t>Степаненко Наталья Алексеевна:</t>
        </r>
        <r>
          <rPr>
            <sz val="9"/>
            <color indexed="81"/>
            <rFont val="Tahoma"/>
            <family val="2"/>
            <charset val="204"/>
          </rPr>
          <t xml:space="preserve">
17454,57</t>
        </r>
      </text>
    </comment>
    <comment ref="AD330" authorId="1" guid="{8EFDF60C-AF14-4F06-BE28-48AF887D7C0C}" shapeId="0">
      <text>
        <r>
          <rPr>
            <b/>
            <sz val="9"/>
            <color indexed="81"/>
            <rFont val="Tahoma"/>
            <family val="2"/>
            <charset val="204"/>
          </rPr>
          <t>Степаненко Наталья Алексеевна:</t>
        </r>
        <r>
          <rPr>
            <sz val="9"/>
            <color indexed="81"/>
            <rFont val="Tahoma"/>
            <family val="2"/>
            <charset val="204"/>
          </rPr>
          <t xml:space="preserve">
9989,81</t>
        </r>
      </text>
    </comment>
    <comment ref="C351" authorId="0" guid="{6480EBF8-A496-4BD4-909E-4820B103D172}" shapeId="0">
      <text>
        <r>
          <rPr>
            <b/>
            <sz val="9"/>
            <color indexed="81"/>
            <rFont val="Tahoma"/>
            <family val="2"/>
            <charset val="204"/>
          </rPr>
          <t>Цёвка Елена Александровна:</t>
        </r>
        <r>
          <rPr>
            <sz val="9"/>
            <color indexed="81"/>
            <rFont val="Tahoma"/>
            <family val="2"/>
            <charset val="204"/>
          </rPr>
          <t xml:space="preserve">
898 573 294,12
Уточнить
</t>
        </r>
      </text>
    </comment>
    <comment ref="H351" authorId="0" guid="{5BBE0330-5966-4BC9-9D78-291E0163A507}" shapeId="0">
      <text>
        <r>
          <rPr>
            <b/>
            <sz val="9"/>
            <color indexed="81"/>
            <rFont val="Tahoma"/>
            <family val="2"/>
            <charset val="204"/>
          </rPr>
          <t>Цёвка Елена Александровна:</t>
        </r>
        <r>
          <rPr>
            <sz val="9"/>
            <color indexed="81"/>
            <rFont val="Tahoma"/>
            <family val="2"/>
            <charset val="204"/>
          </rPr>
          <t xml:space="preserve">
260 996 849,53
Уточнить
</t>
        </r>
      </text>
    </comment>
    <comment ref="J351" authorId="0" guid="{5C67B08A-E92F-4E7B-A2A3-AE5D5CF49F50}" shapeId="0">
      <text>
        <r>
          <rPr>
            <b/>
            <sz val="9"/>
            <color indexed="81"/>
            <rFont val="Tahoma"/>
            <family val="2"/>
            <charset val="204"/>
          </rPr>
          <t>Цёвка Елена Александровна:</t>
        </r>
        <r>
          <rPr>
            <sz val="9"/>
            <color indexed="81"/>
            <rFont val="Tahoma"/>
            <family val="2"/>
            <charset val="204"/>
          </rPr>
          <t xml:space="preserve">
340 898 057,25
Уточнить
</t>
        </r>
      </text>
    </comment>
    <comment ref="L351" authorId="0" guid="{706AE069-50F4-4A6A-9C96-592A9FC52E02}" shapeId="0">
      <text>
        <r>
          <rPr>
            <b/>
            <sz val="9"/>
            <color indexed="81"/>
            <rFont val="Tahoma"/>
            <family val="2"/>
            <charset val="204"/>
          </rPr>
          <t>Цёвка Елена Александровна:</t>
        </r>
        <r>
          <rPr>
            <sz val="9"/>
            <color indexed="81"/>
            <rFont val="Tahoma"/>
            <family val="2"/>
            <charset val="204"/>
          </rPr>
          <t xml:space="preserve">
296 678 387,34
Уточнить
</t>
        </r>
      </text>
    </comment>
    <comment ref="N351" authorId="0" guid="{92E8EBB9-0718-4931-939C-76DE32EC4A42}" shapeId="0">
      <text>
        <r>
          <rPr>
            <b/>
            <sz val="9"/>
            <color indexed="81"/>
            <rFont val="Tahoma"/>
            <family val="2"/>
            <charset val="204"/>
          </rPr>
          <t>Цёвка Елена Александровна:</t>
        </r>
        <r>
          <rPr>
            <sz val="9"/>
            <color indexed="81"/>
            <rFont val="Tahoma"/>
            <family val="2"/>
            <charset val="204"/>
          </rPr>
          <t xml:space="preserve">
350 837 219,72
Уточнить
</t>
        </r>
      </text>
    </comment>
    <comment ref="P351" authorId="0" guid="{9B4EDFAF-DF92-4E2E-AD5D-BE9EE491F5ED}" shapeId="0">
      <text>
        <r>
          <rPr>
            <b/>
            <sz val="9"/>
            <color indexed="81"/>
            <rFont val="Tahoma"/>
            <family val="2"/>
            <charset val="204"/>
          </rPr>
          <t>Цёвка Елена Александровна:</t>
        </r>
        <r>
          <rPr>
            <sz val="9"/>
            <color indexed="81"/>
            <rFont val="Tahoma"/>
            <family val="2"/>
            <charset val="204"/>
          </rPr>
          <t xml:space="preserve">
632 030 322,62
Уточнить
</t>
        </r>
      </text>
    </comment>
    <comment ref="R351" authorId="0" guid="{AD55D099-0CBA-42F2-ABBA-17C348586D85}" shapeId="0">
      <text>
        <r>
          <rPr>
            <b/>
            <sz val="9"/>
            <color indexed="81"/>
            <rFont val="Tahoma"/>
            <family val="2"/>
            <charset val="204"/>
          </rPr>
          <t>Цёвка Елена Александровна:</t>
        </r>
        <r>
          <rPr>
            <sz val="9"/>
            <color indexed="81"/>
            <rFont val="Tahoma"/>
            <family val="2"/>
            <charset val="204"/>
          </rPr>
          <t xml:space="preserve">
281 794 680,64
Уточнить
</t>
        </r>
      </text>
    </comment>
    <comment ref="T351" authorId="0" guid="{1C6DB517-C2C9-4173-9F8E-CEF9553657DC}" shapeId="0">
      <text>
        <r>
          <rPr>
            <b/>
            <sz val="9"/>
            <color indexed="81"/>
            <rFont val="Tahoma"/>
            <family val="2"/>
            <charset val="204"/>
          </rPr>
          <t>Цёвка Елена Александровна:</t>
        </r>
        <r>
          <rPr>
            <sz val="9"/>
            <color indexed="81"/>
            <rFont val="Tahoma"/>
            <family val="2"/>
            <charset val="204"/>
          </rPr>
          <t xml:space="preserve">
274 881 889,00
Уточнить
</t>
        </r>
      </text>
    </comment>
    <comment ref="V351" authorId="0" guid="{EFA41E25-163B-487D-8C97-9FFE04A0753A}" shapeId="0">
      <text>
        <r>
          <rPr>
            <b/>
            <sz val="9"/>
            <color indexed="81"/>
            <rFont val="Tahoma"/>
            <family val="2"/>
            <charset val="204"/>
          </rPr>
          <t>Цёвка Елена Александровна:</t>
        </r>
        <r>
          <rPr>
            <sz val="9"/>
            <color indexed="81"/>
            <rFont val="Tahoma"/>
            <family val="2"/>
            <charset val="204"/>
          </rPr>
          <t xml:space="preserve">
188 150 566,14
Уточнить
</t>
        </r>
      </text>
    </comment>
    <comment ref="X351" authorId="0" guid="{31B4D47A-F91F-4AC2-A6E8-118A76D560B4}" shapeId="0">
      <text>
        <r>
          <rPr>
            <b/>
            <sz val="9"/>
            <color indexed="81"/>
            <rFont val="Tahoma"/>
            <family val="2"/>
            <charset val="204"/>
          </rPr>
          <t>Цёвка Елена Александровна:</t>
        </r>
        <r>
          <rPr>
            <sz val="9"/>
            <color indexed="81"/>
            <rFont val="Tahoma"/>
            <family val="2"/>
            <charset val="204"/>
          </rPr>
          <t xml:space="preserve">
262 899 654,80
Уточнить
</t>
        </r>
      </text>
    </comment>
    <comment ref="Z351" authorId="0" guid="{EE6B49A2-8D38-4E9E-84FF-58098E477368}" shapeId="0">
      <text>
        <r>
          <rPr>
            <b/>
            <sz val="9"/>
            <color indexed="81"/>
            <rFont val="Tahoma"/>
            <family val="2"/>
            <charset val="204"/>
          </rPr>
          <t>Цёвка Елена Александровна:</t>
        </r>
        <r>
          <rPr>
            <sz val="9"/>
            <color indexed="81"/>
            <rFont val="Tahoma"/>
            <family val="2"/>
            <charset val="204"/>
          </rPr>
          <t xml:space="preserve">
245 912 386,64
Уточнить
</t>
        </r>
      </text>
    </comment>
    <comment ref="AB351" authorId="0" guid="{485F8C55-98A7-49EA-A9A4-6965CC3B58F3}" shapeId="0">
      <text>
        <r>
          <rPr>
            <b/>
            <sz val="9"/>
            <color indexed="81"/>
            <rFont val="Tahoma"/>
            <family val="2"/>
            <charset val="204"/>
          </rPr>
          <t>Цёвка Елена Александровна:</t>
        </r>
        <r>
          <rPr>
            <sz val="9"/>
            <color indexed="81"/>
            <rFont val="Tahoma"/>
            <family val="2"/>
            <charset val="204"/>
          </rPr>
          <t xml:space="preserve">
307 949 173,78
Уточнить
</t>
        </r>
      </text>
    </comment>
    <comment ref="AD351" authorId="0" guid="{2EFA4AC0-5D8C-4810-B17E-1BBD6832B0C2}" shapeId="0">
      <text>
        <r>
          <rPr>
            <b/>
            <sz val="9"/>
            <color indexed="81"/>
            <rFont val="Tahoma"/>
            <family val="2"/>
            <charset val="204"/>
          </rPr>
          <t>Цёвка Елена Александровна:</t>
        </r>
        <r>
          <rPr>
            <sz val="9"/>
            <color indexed="81"/>
            <rFont val="Tahoma"/>
            <family val="2"/>
            <charset val="204"/>
          </rPr>
          <t xml:space="preserve">
1 375 917 978,38
Уточнить
</t>
        </r>
      </text>
    </comment>
  </commentList>
</comments>
</file>

<file path=xl/comments7.xml><?xml version="1.0" encoding="utf-8"?>
<comments xmlns="http://schemas.openxmlformats.org/spreadsheetml/2006/main">
  <authors>
    <author>Степаненко Наталья Алексеевна</author>
  </authors>
  <commentList>
    <comment ref="AF14" authorId="0" guid="{99AFD189-A20B-4B80-841B-D51006BBF5F0}" shapeId="0">
      <text>
        <r>
          <rPr>
            <b/>
            <sz val="9"/>
            <color indexed="81"/>
            <rFont val="Tahoma"/>
            <family val="2"/>
            <charset val="204"/>
          </rPr>
          <t>Степаненко Наталья Алексеевна:</t>
        </r>
        <r>
          <rPr>
            <sz val="9"/>
            <color indexed="81"/>
            <rFont val="Tahoma"/>
            <family val="2"/>
            <charset val="204"/>
          </rPr>
          <t xml:space="preserve">
необходимо указать причины отклонений на 1 696,18
</t>
        </r>
      </text>
    </comment>
    <comment ref="L22" authorId="0" guid="{71DD3DEA-3E18-471A-ACAA-8B062DD796A9}" shapeId="0">
      <text>
        <r>
          <rPr>
            <b/>
            <sz val="9"/>
            <color indexed="81"/>
            <rFont val="Tahoma"/>
            <family val="2"/>
            <charset val="204"/>
          </rPr>
          <t>Степаненко Наталья Алексеевна:</t>
        </r>
        <r>
          <rPr>
            <sz val="9"/>
            <color indexed="81"/>
            <rFont val="Tahoma"/>
            <family val="2"/>
            <charset val="204"/>
          </rPr>
          <t xml:space="preserve">
3344,30
</t>
        </r>
      </text>
    </comment>
  </commentList>
</comments>
</file>

<file path=xl/comments8.xml><?xml version="1.0" encoding="utf-8"?>
<comments xmlns="http://schemas.openxmlformats.org/spreadsheetml/2006/main">
  <authors>
    <author>Степаненко Наталья Алексеевна</author>
  </authors>
  <commentList>
    <comment ref="A37" authorId="0" guid="{E9B3AB85-3AC0-49CA-B693-54734CCAC29D}" shapeId="0">
      <text>
        <r>
          <rPr>
            <b/>
            <sz val="9"/>
            <color indexed="81"/>
            <rFont val="Tahoma"/>
            <family val="2"/>
            <charset val="204"/>
          </rPr>
          <t>Степаненко Наталья Алексеевна:</t>
        </r>
        <r>
          <rPr>
            <sz val="9"/>
            <color indexed="81"/>
            <rFont val="Tahoma"/>
            <family val="2"/>
            <charset val="204"/>
          </rPr>
          <t xml:space="preserve">
необходимо заполнить</t>
        </r>
      </text>
    </comment>
    <comment ref="B38" authorId="0" guid="{F243937B-5A6D-4895-8C8A-88BCC9D667CC}" shapeId="0">
      <text>
        <r>
          <rPr>
            <b/>
            <sz val="9"/>
            <color indexed="81"/>
            <rFont val="Tahoma"/>
            <family val="2"/>
            <charset val="204"/>
          </rPr>
          <t>Степаненко Наталья Алексеевна:</t>
        </r>
        <r>
          <rPr>
            <sz val="9"/>
            <color indexed="81"/>
            <rFont val="Tahoma"/>
            <family val="2"/>
            <charset val="204"/>
          </rPr>
          <t xml:space="preserve">
356607,76
</t>
        </r>
      </text>
    </comment>
  </commentList>
</comments>
</file>

<file path=xl/comments9.xml><?xml version="1.0" encoding="utf-8"?>
<comments xmlns="http://schemas.openxmlformats.org/spreadsheetml/2006/main">
  <authors>
    <author>Степаненко Наталья Алексеевна</author>
  </authors>
  <commentList>
    <comment ref="E25" authorId="0" guid="{3762A61D-E4A2-4BDA-A147-144F1E1CFED8}" shapeId="0">
      <text>
        <r>
          <rPr>
            <b/>
            <sz val="9"/>
            <color indexed="81"/>
            <rFont val="Tahoma"/>
            <family val="2"/>
            <charset val="204"/>
          </rPr>
          <t>Степаненко Наталья Алексеевна:</t>
        </r>
        <r>
          <rPr>
            <sz val="9"/>
            <color indexed="81"/>
            <rFont val="Tahoma"/>
            <family val="2"/>
            <charset val="204"/>
          </rPr>
          <t xml:space="preserve">
кассу перепроверить 
</t>
        </r>
      </text>
    </comment>
    <comment ref="E81" authorId="0" guid="{1B5CD261-E767-48A0-BE41-86A335448D73}" shapeId="0">
      <text>
        <r>
          <rPr>
            <b/>
            <sz val="9"/>
            <color indexed="81"/>
            <rFont val="Tahoma"/>
            <family val="2"/>
            <charset val="204"/>
          </rPr>
          <t>Степаненко Наталья Алексеевна:</t>
        </r>
        <r>
          <rPr>
            <sz val="9"/>
            <color indexed="81"/>
            <rFont val="Tahoma"/>
            <family val="2"/>
            <charset val="204"/>
          </rPr>
          <t xml:space="preserve">
655,309
</t>
        </r>
      </text>
    </comment>
  </commentList>
</comments>
</file>

<file path=xl/sharedStrings.xml><?xml version="1.0" encoding="utf-8"?>
<sst xmlns="http://schemas.openxmlformats.org/spreadsheetml/2006/main" count="3214" uniqueCount="619">
  <si>
    <t>Отчет о ходе реализации муниципальной программы (сетевой график)</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</si>
  <si>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</si>
  <si>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</si>
  <si>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</si>
  <si>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</si>
  <si>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</si>
  <si>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</si>
  <si>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</si>
  <si>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</si>
  <si>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</si>
  <si>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</si>
  <si>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</si>
  <si>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</si>
  <si>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</si>
  <si>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</si>
  <si>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</si>
  <si>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</si>
  <si>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</si>
  <si>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</si>
  <si>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</si>
  <si>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</si>
  <si>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</si>
  <si>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</si>
  <si>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</si>
  <si>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1.1. Содействие трудоустройству граждан, в том числе граждан с инвалидностью (I, II, III, IV)</t>
  </si>
  <si>
    <t xml:space="preserve">1.1.1. Организация проведения оплачиваемых общественных работ для не занятых трудовой деятельностью и безработных граждан </t>
  </si>
  <si>
    <t>1.1.2. Содействие молодёжи в получении трудового опыта</t>
  </si>
  <si>
    <t xml:space="preserve">1.1.2.1. Организация временного трудоустройства несовершеннолетних граждан в возрасте от 14 до 18 лет в свободное от учёбы время </t>
  </si>
  <si>
    <t xml:space="preserve">1.1.2.2. Организация временного трудоустройства несовершеннолетних граждан в возрасте от 14 до 18 лет в течение учебного года </t>
  </si>
  <si>
    <t>1.1.2.3. Привлечение прочих специалистов для организации работ трудовых бригад несовершеннолетних граждан</t>
  </si>
  <si>
    <t>1.1.3. 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</si>
  <si>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Всего</t>
  </si>
  <si>
    <t>бюджет автономного округа</t>
  </si>
  <si>
    <t>бюджет города Когалыма</t>
  </si>
  <si>
    <t>2.1. Безопасный труд (IV)</t>
  </si>
  <si>
    <t>Итого по подпрограмме 2</t>
  </si>
  <si>
    <t>Подпрограмма 1 «Содействие трудоустройству граждан, в том числе граждан с инвалидностью»</t>
  </si>
  <si>
    <t>Подпрограмма 2 «Улучшение условий и охраны труда в городе Когалыме»</t>
  </si>
  <si>
    <t>2.1.1. Осуществление отдельных государственных полномочий в сфере трудовых отношений и  государственного управления охраной труда в городе Когалыме</t>
  </si>
  <si>
    <t>2.1.2 Организация и проведение в городе Когалыме смотра конкурса «Оказание первой помощи пострадавшим на производстве среди работников организаций, расположенных в городе Когалыме»</t>
  </si>
  <si>
    <t xml:space="preserve"> "Содействие занятости населения города Когалыма"</t>
  </si>
  <si>
    <t>Подпрограмма 1. «Развитие сельскохозяйственного производства и деятельности по заготовке и переработке дикоросов»</t>
  </si>
  <si>
    <t>1.1.Поддержка сельскохозяйственного производства и деятельности по заготовке и переработке дикоросов (I, 1,2, 3)</t>
  </si>
  <si>
    <t>1.1.1. Поддержка животноводства, переработки и реализации продукции животноводства</t>
  </si>
  <si>
    <t xml:space="preserve">1.1.2. Поддержка растениеводства, переработки и реализации продукции растениеводства </t>
  </si>
  <si>
    <t xml:space="preserve">1.1.3. Поддержка деятельности по заготовке и переработке дикоросов </t>
  </si>
  <si>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</si>
  <si>
    <t xml:space="preserve"> "Развитие агропромышленного комплекса в городе Когалыме"</t>
  </si>
  <si>
    <t xml:space="preserve"> "Безопасность жизнедеятельности населения города Когалыма"</t>
  </si>
  <si>
    <t>1.1. Обеспечение безопасности населения на водных объектах города Когалыма  (показатель 1)</t>
  </si>
  <si>
    <t>1.2. Содержание и развитие территориальной автоматизированной системы централизованного оповещения населения города Когалыма (показатель 2)</t>
  </si>
  <si>
    <t xml:space="preserve">1.3.Снижение рисков и смягчение последствий чрезвычайных ситуаций природного и  техногенного характера </t>
  </si>
  <si>
    <t>1.4. Организация, содержание и развитие муниципальных курсов граждансой обороны в городе Когалыме</t>
  </si>
  <si>
    <t>Итого по подпрограмме 1</t>
  </si>
  <si>
    <t>Процессная часть</t>
  </si>
  <si>
    <t xml:space="preserve">Подпрограмма 2. Укрепление пожарной безопасности в городе Когалыме </t>
  </si>
  <si>
    <t>2.1. Организация противопожарной пропаганды и обучение населения мерам пожарной безопасности (показатель 3)</t>
  </si>
  <si>
    <t>2.2. Приобретение средств для организации пожаротушения (показатель 5)</t>
  </si>
  <si>
    <t>2.3.Строительство пожарного депо в городе Когалыме (в том числе ПИР) (показатель 3)</t>
  </si>
  <si>
    <t xml:space="preserve">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t>
  </si>
  <si>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(показатели 1-5)</t>
  </si>
  <si>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(показатели 1-5)</t>
  </si>
  <si>
    <t>Итого по подпрограмме 3</t>
  </si>
  <si>
    <t>Всего по муниципальной программе:</t>
  </si>
  <si>
    <t>Процессная часть в целом по муниципальной программ</t>
  </si>
  <si>
    <t>всего</t>
  </si>
  <si>
    <t>Всего по муниципальной программе</t>
  </si>
  <si>
    <t xml:space="preserve">Процессная часть в целом по муниципальной программе </t>
  </si>
  <si>
    <t>(подпись)</t>
  </si>
  <si>
    <t>Исполнитель: 
тел.</t>
  </si>
  <si>
    <t>ФИО</t>
  </si>
  <si>
    <t>Руководитель структурного подразделения</t>
  </si>
  <si>
    <t>Процессная часть по подпрограмме 1</t>
  </si>
  <si>
    <t>Процессная часть по подпрограмме 2</t>
  </si>
  <si>
    <t xml:space="preserve">иные источники финасирования </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</si>
  <si>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</si>
  <si>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Процессная часть по подпрограмме 3</t>
  </si>
  <si>
    <t xml:space="preserve"> "Управление муниципальным имуществом города Когалыма"</t>
  </si>
  <si>
    <t xml:space="preserve">Подпрограмма 1: </t>
  </si>
  <si>
    <t xml:space="preserve">1.1. Организация обеспечения формирования состава и структуры муниципального имущества города Когалыма 
(I, II, III, 1)
</t>
  </si>
  <si>
    <t xml:space="preserve">Подпрограмма 2 </t>
  </si>
  <si>
    <t>2.1. Организационно-техническое и финансовое обеспечение органов местного самоуправления города Когалыма (III)</t>
  </si>
  <si>
    <t xml:space="preserve">Подпрограмма 3. </t>
  </si>
  <si>
    <t>3.1. Реконструкция и ремонт, в том числе капитальный, объектов муниципальной собственности города Когалыма (III, 2)</t>
  </si>
  <si>
    <t>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(3)</t>
  </si>
  <si>
    <t>Итого по подпрограмме 4</t>
  </si>
  <si>
    <t xml:space="preserve">2.1.1. Расходы на обеспечение функций комитета по управлению муниципальным имуществом Администрации города Когалыма </t>
  </si>
  <si>
    <t>2.1.2. Расходы на обеспечение автотранспортом органов местного самоуправления города Когалыма и муниципальных учреждений</t>
  </si>
  <si>
    <t>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</si>
  <si>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</si>
  <si>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2.1.3. Организационно-техническое обеспечение органов местного самоуправления города Когалыма</t>
  </si>
  <si>
    <t>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</si>
  <si>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Процессная часть по подпрограмме 4</t>
  </si>
  <si>
    <t xml:space="preserve">бюджет города Когалыма </t>
  </si>
  <si>
    <t>"Профилактика правонарушений и обеспечение отдельных прав граждан в городе Когалыме"</t>
  </si>
  <si>
    <t>Подпрограмма 1: Подпрограмма 1 «Профилактика правонарушений»</t>
  </si>
  <si>
    <t xml:space="preserve">1.1.Создание условий для деятельности  народных дружин (V)
</t>
  </si>
  <si>
    <t xml:space="preserve">бюджет автономного округа </t>
  </si>
  <si>
    <t xml:space="preserve">1.2. Обеспечение функционирования и развития систем видеонаблюдения в сфере общественного порядка (I)
</t>
  </si>
  <si>
    <t xml:space="preserve">1.3. Реализация отдельных государственных полномочий, предусмотренных Законом Ханты- Мансийского автономного округа - Югры от 02.03. 2009 №5-
оз «Об административных комиссиях в Ханты- Мансийском автономном округе – Югре» (VI)
</t>
  </si>
  <si>
    <t>Процессная часть в целом по муниципальной программе</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</si>
  <si>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(I)</t>
  </si>
  <si>
    <t xml:space="preserve">федеральный бюджет </t>
  </si>
  <si>
    <t>1.5. Совершенствование информационного и методического обеспечения профилактики правонарушений, повышения правосознания граждан (I)</t>
  </si>
  <si>
    <t xml:space="preserve">1.5.1. Проведение городских конкурсов
«Государство. Право. Я.»,
«Юный помощник полиции», «День правовой помощи детям»
</t>
  </si>
  <si>
    <t>1.5.2. Проведение семинаров, семинаров - тренингов, конференций, конкурсов, «круглых столов», совещаний для специалистов, преподавателей общественных организаций, волонтёров, занимающихся решением вопросов профилактики правонарушений среди подростков.Повышение профессионального уровня, квалификации специалистов субъектов профилактики правонарушений</t>
  </si>
  <si>
    <t>1.5.3. Проведение разъяснительной работы с несовершеннолетними и семьями, находящимися в социально опасном положении, с целью профилактики совершения рецидива преступлений и правонарушений</t>
  </si>
  <si>
    <t xml:space="preserve">1.5.4. Создание, распространение, проведение конкурса социальных видеороликов и иной тематической рекламы, направленной на профилактику
правонарушений
</t>
  </si>
  <si>
    <t>1.6. Тематическая социальная реклама в сфере безопасности дорожного движения (I)</t>
  </si>
  <si>
    <t>1.6.1. Приобретение световозвращающих приспособлений для распространения среди воспитанников и обучающихся образовательных организаций. Приобретение оборудования для обучения грамотного поведения детей на дороге и участие в окружном конкурсе  «Безопасное колесо»</t>
  </si>
  <si>
    <t xml:space="preserve">1.6.2. Организация и проведение игровой тематической программы среди детей и подростков
«Азбука дорог»
</t>
  </si>
  <si>
    <t>Подпрограмма 2 «Профилактика незаконного оборота и потребления наркотических средств и психотропных веществ, наркомании»</t>
  </si>
  <si>
    <t>2.1.Организация и проведение мероприятий с субъектами профилактики, в том числе с участием общественности (III,IV)</t>
  </si>
  <si>
    <t>2.1.1.Проведение семинаров, семинаров- тренингов, конференций, конкурсов,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 методических программ, пособий по профилактике наркомании</t>
  </si>
  <si>
    <t>2.2. Проведение информационной антинаркотической пропаганды (III, IV)</t>
  </si>
  <si>
    <t>2.2.1. Создание и распространение в городе Когалыме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</si>
  <si>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2.3. Формирование негативного отношения к незаконному обороту и потреблению наркотиков (III,IV)</t>
  </si>
  <si>
    <t>2.3.1. Реализация мероприятий «Спорт - основа здорового образа жизни»</t>
  </si>
  <si>
    <t>2.3.2. Организация и проведение детско- юношеского марафона «Прекрасное слово - жизнь»</t>
  </si>
  <si>
    <t>2.3.3. Организация профильной смены для лидеров детско- юношеских волонтёрских движений, с целью формирования негативного отношения к незаконному обороту и потребления наркотиков</t>
  </si>
  <si>
    <t xml:space="preserve">2.3.4. Организация и проведение мероприятий среди детей, подростков, молодёжи, направленных на здоровый образ жизни, профилактику наркомании, в том числе, проведение массовых профилактических мероприятий, направленных на пропаганду здорового образа жизни (международный день борьбы с наркоманией и незаконным оборотом наркотиков, всемирный день без табачного дыма, международный день отказа от курения, всероссийский день трезвости, день зимних видов спорта в России,
международный Олимпийский день и др.)
</t>
  </si>
  <si>
    <t xml:space="preserve">2.3.5. Проведение акции «Шаг навстречу»
</t>
  </si>
  <si>
    <t xml:space="preserve">2.3.6. Цикл мероприятий «Альтернатива»
</t>
  </si>
  <si>
    <t>Подпрограмма 3 «Обеспечение защиты прав потребителей»</t>
  </si>
  <si>
    <t xml:space="preserve">3.1.Информирование и консультирование в сфере защиты прав потребителей (I,II) </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</si>
  <si>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</si>
  <si>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Подпрограмма 4.</t>
  </si>
  <si>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(VI)</t>
  </si>
  <si>
    <t>4.2.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(VI)</t>
  </si>
  <si>
    <t xml:space="preserve">1.7. Ремонт участковых пунктов полиции города Когалыма 
</t>
  </si>
  <si>
    <t xml:space="preserve">в том числе в части софинансирования </t>
  </si>
  <si>
    <t>"Укрепление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</si>
  <si>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</si>
  <si>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 xml:space="preserve">1.1.Оказание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 (I,1,3)
</t>
  </si>
  <si>
    <t xml:space="preserve">1.2. Мероприятия просветительского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и терроризма на территории города Когалыма (I,1,3)
</t>
  </si>
  <si>
    <t xml:space="preserve">1.3.Содействие религиозным организациям в культурно-просветительской и социально 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 (I,1,3)
</t>
  </si>
  <si>
    <t>1.4. Реализация мер, направленных на социальную и культурную адаптацию мигрантов, анализ их эффективности, а также совершенствование системы мер, обеспечивающих уважительное отношение к культуре и традициям принимающего сообщества (I,1,3)</t>
  </si>
  <si>
    <t xml:space="preserve">1.4.1. Содействие в толерантном воспитании, мультикультурном образовании и социокультурной адаптации детей, в том числе детей мигрантов, в образовательных организациях города Когалыма </t>
  </si>
  <si>
    <t xml:space="preserve">1.5. Содействие этнокультурному многообразию народов России 
(I,1,3)
</t>
  </si>
  <si>
    <t xml:space="preserve">1.5.1.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России, День народного единства, День Конституции Российской Федерации и День образования Ханты-Мансийского автономного округа - Югры) 
</t>
  </si>
  <si>
    <t>1.5.2. Проведение мероприятий, приуроченных к Международному дню толерантности (концерты, фестивали, конкурсы рисунков, конкурсы плакатов, спортивные мероприятия и др.). Проведение выставок, конкурсов, акций, форумов, ярмарок, конференций городского, форумов общероссийского и регионального значения, направленных на изучение и популяризацию традиционной культуры народов Российской Федерации, укрепление межнационального мира и согласия, в том числе при принятии участия муниципального образования в Форуме национального Единства</t>
  </si>
  <si>
    <t xml:space="preserve">1.5.3. Содействие в функционировании деятельности Дома дружбы народов города Когалыма (имущественные, административные, финансовые и общественные формы поддержки) </t>
  </si>
  <si>
    <t xml:space="preserve">1.5.4.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а также поддержку родных языков народов России
</t>
  </si>
  <si>
    <t xml:space="preserve">бюджет автномног округа </t>
  </si>
  <si>
    <t xml:space="preserve">1.7. Издание и распространение информационных материалов, тематических словарей, разговорников для мигрантов
(I,2)
</t>
  </si>
  <si>
    <t xml:space="preserve">1.8. Привлечение средств массовой информации к формированию положительного образа мигранта, популяризация легального труда мигрантов.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(I,2)
</t>
  </si>
  <si>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</si>
  <si>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2.1.Профилактика экстремизма и терроризма (I,1,3)</t>
  </si>
  <si>
    <t xml:space="preserve">2.1.1.Организация и проведение воспитательной и просветительской работы среди обучающихся в образовательных организациях города Когалыма, проведение  в учреждениях спорта, в спортивных секциях и клубах силовых единоборств информационно-разъяснительной работы, направленной на профилактику экстремизма, терроризма и недопущение конфликтных ситуаций на национальной почве </t>
  </si>
  <si>
    <t xml:space="preserve">2.1.2. Проведение общественных мероприятий, и мероприятий в муниципальных образовательных организациях, посвященных Дню солидарности в борьбе с терроризмом </t>
  </si>
  <si>
    <t>2.1.3. Проведение разъяснительной работы с несовершеннолетними, в отношении которых проводится индивидуальная профилактическая работа в соответствии со статьями 5, 6 Федерального закона Российской Федерации от 24.06.1999 №120-ФЗ «Об основах системы профилактики безнадзорности и правонарушений несовершеннолетних», склонными к противоправным действиям экстремистского и террористического характера, а также с молодыми людьми, освободившимися из учреждений исполнения наказания с целью формирования веротерпимости, межнационального и межконфессионального согласия, негативного отношения к экстремистским проявлениям</t>
  </si>
  <si>
    <t xml:space="preserve">2.1.4. Организация проведения проверок образовательных учреждений,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экстремистской литературы </t>
  </si>
  <si>
    <t xml:space="preserve">2.1.5 .Мероприятия в рамках проекта «Живое слово», направленные на профилактику экстремизма в молодежной среде:
- встречи с представителями традиционных религиозных конфессий (православие, ислам); 
 </t>
  </si>
  <si>
    <t xml:space="preserve">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(I,I,3)
</t>
  </si>
  <si>
    <t xml:space="preserve">2.2.1. Создание и распространение в образовательных организациях социальной рекламы,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Проведение тематических конкурсов, игр, флеш-мобов, выставок. </t>
  </si>
  <si>
    <t>2.2.2. Информационное обеспечение реализации государственной национальной политики, профилактики экстремизма и терроризма.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и терроризма  (I,1,3)</t>
  </si>
  <si>
    <t xml:space="preserve">2.3. Мониторинг экстремистских настроений в молодежной среде 
(I,1,3)
</t>
  </si>
  <si>
    <t xml:space="preserve">2.3.1. Организация деятельности ячейки молодежного общественного движения «Кибердружина» для осуществления мониторинга сети Интернет на предмет выявления экстремизма, а также материалов с признаками терроризма </t>
  </si>
  <si>
    <t xml:space="preserve">2.4..Повышение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и терроризма 
(I,1,3)
</t>
  </si>
  <si>
    <t>Подпрограмма 3. Усиление антитеррористической защищенности объектов, находящихся в муниципальной собственности</t>
  </si>
  <si>
    <t xml:space="preserve">3.1. Повышение уровня антитеррористической защищенности объектов, находящихся в муниципальной собственности (I) </t>
  </si>
  <si>
    <t>1.6. Повышение уровня компетенций и активизации деятельности лидеров молодежных объединений в деятельности по обеспечению межнационального и межконфессионального согласия, профилактике экстремизма, продвижения лучших практик по реализации проектов в сфере государственной национальной политики(I)</t>
  </si>
  <si>
    <t>Комплексный план (сетевой график) по реализации муниципальной программы  "Культурное пространство города Когалыма"</t>
  </si>
  <si>
    <t>Основные мероприятия программы</t>
  </si>
  <si>
    <t>факт</t>
  </si>
  <si>
    <t>план</t>
  </si>
  <si>
    <t>Подпрограмма 1. "Модернизация и развитие учреждений и организаций культуры"</t>
  </si>
  <si>
    <t>Проектная часть</t>
  </si>
  <si>
    <t>П.1.1. Портфель проектов «Культура», региональный проект «Культурная среда» (II)</t>
  </si>
  <si>
    <t>федеральный бюджет</t>
  </si>
  <si>
    <t>привлеченные средства</t>
  </si>
  <si>
    <t xml:space="preserve">П.1.2. Портфель проектов «Образование», региональный проект «Успех каждого ребенка» (II)
</t>
  </si>
  <si>
    <t>1.1. Развитие библиотечного дела (II, 1)</t>
  </si>
  <si>
    <t>1.1.1. Комплектование книжного фонда города Когалыма</t>
  </si>
  <si>
    <t>в т.ч. бюджет города Когалыма в части софинансирования</t>
  </si>
  <si>
    <t>1.1.2. Проведение библиотечных мероприятий, направленных на повышение читательского интереса</t>
  </si>
  <si>
    <t>1.1.3. Обеспечение деятельности (оказание услуг) общедоступных библиотек города Когалыма</t>
  </si>
  <si>
    <t>1.1.4.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t>
  </si>
  <si>
    <t>1.1.5. Модернизация общедоступных библиотек города Когалыма</t>
  </si>
  <si>
    <t>1.2. Развитие музейного дела (I, 1)</t>
  </si>
  <si>
    <t>1.2.1. Пополнение фонда музея города Когалыма</t>
  </si>
  <si>
    <t>1.2.2. Информатизация музея города Когалыма</t>
  </si>
  <si>
    <t>1.2.3. Поддержка выставочных проектов на базе МБУ "МВЦ"</t>
  </si>
  <si>
    <t>1.2.4. Реализация музейных проектов</t>
  </si>
  <si>
    <t xml:space="preserve">1.2.5. Обеспечение деятельности (оказание  музейных услуг) </t>
  </si>
  <si>
    <t>1.3. Укрепление материально-технической базы учреждений культуры города Когалыма (II, 1)</t>
  </si>
  <si>
    <t>1.3.1. Развитие материально-технического состояния учреждений культуры города Когалыма/МАУ КДК "АРТ-Праздник"</t>
  </si>
  <si>
    <t>1.3.2. Развитие материально-технического состояния учреждений культуры города Когалыма /МАУ "МВЦ"</t>
  </si>
  <si>
    <t>1.3.3. Развитие материально-технического состояния учреждений культуры города Когалыма /МБУ "ЦБС"</t>
  </si>
  <si>
    <t>1.4. Развитие дополнительного образования в сфере культуры (8, 9)</t>
  </si>
  <si>
    <t xml:space="preserve">1.4.1. Обеспечение деятельности (оказание услуг дополнительного образования) </t>
  </si>
  <si>
    <t>Подпрограмма 2. "Поддержка творческих инициатив, способствующих самореализации населения"</t>
  </si>
  <si>
    <t>П.2.1. Портфель проектов «Культура», региональный проект «Творческие люди» (I)</t>
  </si>
  <si>
    <t>2.1. Сохранение нематериального и материального наследия города Когалыма и продвижение культурных проектов (I, 1)</t>
  </si>
  <si>
    <t>2.1.1. Сохранение, возрождение и развитие народных художественных промыслов и ремесел</t>
  </si>
  <si>
    <t>в том числе:</t>
  </si>
  <si>
    <t>МАУ "КДК "АРТ-Праздник"</t>
  </si>
  <si>
    <t>МБУ "МВЦ"</t>
  </si>
  <si>
    <t>МАУ "Дворец спорта"</t>
  </si>
  <si>
    <t>2.1.2 Создание условий для реализации продукции, произведенной мастерами народных художественных промыслов и ремесел города Когалыма</t>
  </si>
  <si>
    <t>2.2. Стимулирование культурного разнообразия (II, 1,4,5,6)</t>
  </si>
  <si>
    <t>2.2.1. Организация и проведение культурно-массовых мероприятий</t>
  </si>
  <si>
    <t>2.2.2. Поддержка деятелей культуры и искусства</t>
  </si>
  <si>
    <t>2.2.3. Обеспечение деятельности (оказание услуг) муниципального культурно-досугового учреждения города Когалыма</t>
  </si>
  <si>
    <t>2.2.4.Поддержка немуниципальных организаций (коммерческих, некоммерческих), осуществляющих деятельность в сфере культуры</t>
  </si>
  <si>
    <t>2.2.5.Поддержка некоммерческих организаций, в том числе добровольческих (волонтерских), по реализации проектов в сфере культуры</t>
  </si>
  <si>
    <t>Подпрограмма 3. "Организационные, экономические механизмы развития культуры, архивного дела и историко-культурного наследия"</t>
  </si>
  <si>
    <t>3.1. Реализация единой государственной политики в сфере культуры и архивного дела (II, 2,3)</t>
  </si>
  <si>
    <t>3.1.1. Обеспечение функций Управления культуры, спорта и молодежной политики Администрации города Когалыма</t>
  </si>
  <si>
    <t xml:space="preserve">3.1.2. Обеспечение деятельности (оказание услуг) архивного отдела Администрации города Когалыма </t>
  </si>
  <si>
    <t>3.2. Развитие архивного дела (II, 2,3)</t>
  </si>
  <si>
    <t>3.2.1. Осуществоение полномочий по хранению,комплектованию, учету и использованию архивных документов, относящихся к государственной собственности ХМАО-Югры</t>
  </si>
  <si>
    <t>3.3 Обеспечение хозяйственной деятельности учреждений культуры города Когалыма</t>
  </si>
  <si>
    <t>Подпрограмма 4. "Развитие туризма"</t>
  </si>
  <si>
    <t>4.1. Продвижение внутреннего и въездного туризма (II, 1,7)</t>
  </si>
  <si>
    <t>4.1.1. Создание условий для развития туризма</t>
  </si>
  <si>
    <t>4.1.2. Размещение информационного щита для продвижения туризма в городе Когалыме</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</si>
  <si>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</si>
  <si>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</si>
  <si>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</si>
  <si>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Подпрограмма 1. "Повышение профессионального уровня муниципальных служащих органов местного самоуправления города Когалыма"</t>
  </si>
  <si>
    <t>иные внебюджетные источники</t>
  </si>
  <si>
    <t>Подпрограмма 2. Создание условий для развития муниципальной службы в органах местного самоуправления города Когалыма</t>
  </si>
  <si>
    <t>2.1. Цифровизация функций управления кадрами органов местного самоуправления города Когалыма, в том числе кадрового делопроизводства (4)</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</si>
  <si>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</si>
  <si>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</si>
  <si>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</si>
  <si>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</si>
  <si>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</si>
  <si>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</si>
  <si>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</si>
  <si>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</si>
  <si>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</si>
  <si>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Итого по программе, в том числе</t>
  </si>
  <si>
    <t>Комплексный план (сетевой график) по реализации муниципальной программы "Развитие институтов гражданского общества города Когалыма"</t>
  </si>
  <si>
    <t>Подпрограмма 1. "Поддержка социально ориентированных некоммерческих организаций города Когалыма"</t>
  </si>
  <si>
    <t>1.1. Поддержка социально
ориентированных некоммерческих
организаций (I,II)</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</si>
  <si>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</si>
  <si>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</si>
  <si>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</si>
  <si>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2.2 Организация и проведение городского конкурса на присуждение премии «Общественное признание» (III)</t>
  </si>
  <si>
    <t>Подпрограмма 3. "Информационная открытость деятельности Администрации города Когалыма"</t>
  </si>
  <si>
    <t>3.1. Реализация взаимодействия с городскими средствами массовой информации (IV)</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</si>
  <si>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</si>
  <si>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</si>
  <si>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t>Подпрограмма 4. "Создание условий для выполнения отдельными структурными подразделениями Администрации города Когалыма своих полномочий
"</t>
  </si>
  <si>
    <t>4.1. Обеспечение деятельности структурных подразделений Администрации города Когалыма (I-VI)</t>
  </si>
  <si>
    <t>4.1.1. Обеспечение деятельности сектора по социальным вопросам Администрации города Когалыма</t>
  </si>
  <si>
    <t>4.1.2. Обеспечение деятельности сектора пресс-службы Администрации города Когалыма</t>
  </si>
  <si>
    <t>4.1.3. Обеспечение деятельности управления внутренней политики Администрации города Когалыма</t>
  </si>
  <si>
    <t>Комплексный план (сетевой график) по реализации муниципальной программы  "Развитие физической культуры и спорта в городе Когалыме"</t>
  </si>
  <si>
    <t>Подпрограмма 1. "Развитие физической культуры, массового и детско-юношеского спорта"</t>
  </si>
  <si>
    <t>П.1.1. Портфель проектов «Демография», региональный проект «Спорт – норма жизни» (I)</t>
  </si>
  <si>
    <t>1.1. Мероприятия по 
развитию 
физической культуры и спорта (II,1,2,3,4,5,6)</t>
  </si>
  <si>
    <t>1.1.1. Организация и проведение спортивно массовых мероприятий</t>
  </si>
  <si>
    <t>1.1.2. Содержание муниципального автономного учреждения дополнительного образования «Спортивная школа «Дворец 
спорта»</t>
  </si>
  <si>
    <t>1.1.3. Проведение мероприятий по внедрению Всероссийского физкультурно спортивного комплекса «Готов к труду и обороне» 
в городе Когалыме</t>
  </si>
  <si>
    <t xml:space="preserve">1.1.4. Организация работы по присвоению спортивных разрядов, квалификационных 
категорий </t>
  </si>
  <si>
    <t>1.1.5. Развитие материально технической базы 
МАУ ДО «СШ «Дворец спорта»</t>
  </si>
  <si>
    <t>1.2. Обеспечение 
комфортных 
условий в учреждениях физической 
культуры и спорта (1,2,3,4,5,6)</t>
  </si>
  <si>
    <t>1.2.1. Обеспечение хозяйственной деятельности 
учреждений спорта города Когалыма</t>
  </si>
  <si>
    <t>1.3. Поддержка некоммерческих организаций, реализующих проекты в сфере массовой физической культуры (II,1,2,3,4,7,8)</t>
  </si>
  <si>
    <t>1.4. Строительство, реконструкция и ремонт (в том числе капитальный) объектов спорта (I)</t>
  </si>
  <si>
    <t>1.4.1. Строительство велосипедных и беговых дорожек на территории города Когалыма</t>
  </si>
  <si>
    <t>1.4.2. Реконструкция объекта «Лыжероллерная 
трасса»</t>
  </si>
  <si>
    <t>Подпрограмма 2. "Развитие спорта высших достижений и системы подготовки спортивного резерва"</t>
  </si>
  <si>
    <t>2.1. Организация участия спортсменов города Когалыма в соревнованиях различного уровня 
окружного и  всероссийского масштаба (II,1,2,5,6,7,8)</t>
  </si>
  <si>
    <t>2.2. Обеспечение подготовки спортивного резерва и сборных команд города Когалыма по видам спорта (II,1,4,5,6,7)</t>
  </si>
  <si>
    <t>Подпрограмма 3. "Управление развитием отрасли физической культуры и спорта"</t>
  </si>
  <si>
    <t>3.1. Содержание отдела физической культуры и спорта управления культуры и спорта Администрации города Когалыма (1)</t>
  </si>
  <si>
    <t>Подпрограмма 4. "Укрепление общественного здоровья в городе Когалыме"</t>
  </si>
  <si>
    <t>4.1. Организация и проведение физкультурно оздоровительных мероприятий (II,8)</t>
  </si>
  <si>
    <t>4.2. Реализация Плана мероприятий по снижению уровня преждевременной смертности в городе Когалыме на 2021-2025 
годы (9,10)</t>
  </si>
  <si>
    <t>4.3. Реализация информационно просветительского проекта «Грани здоровья» (10,11)</t>
  </si>
  <si>
    <t>Комплексный план (сетевой график) по реализации муниципальной программы  "Развитие образования в городе Когалыме"</t>
  </si>
  <si>
    <t>Подпрограмма 1. "Общее образование. Дополнительное образование"</t>
  </si>
  <si>
    <t>П.1.1. Портфель проектов «Образование», региональный проект «Успех каждого ребенка» (III, IV, V)</t>
  </si>
  <si>
    <t xml:space="preserve">П.1.2. Портфель проектов «Образование», региональный проект «Цифровая образовательная среда» (VII, VIII, IX, X)
</t>
  </si>
  <si>
    <t>1.1. Развитие системы дошкольного и общего образования (1, 2, 3)</t>
  </si>
  <si>
    <t>1.1.1. Развитие системы выявления, поддержки, сопровождения и стимулирования одаренных 
детей в различных сферах деятельности</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</si>
  <si>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некоммерческих организаций</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</si>
  <si>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</si>
  <si>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1.2. Развитие системы дополнительного образования детей (III, VI, 
11, 12, 13)</t>
  </si>
  <si>
    <t>1.2.1. Развитие системы 
доступного дополнительного образования в соответствии с индивидуальными запросами населения, оснащение материально технической базы образовательных организаций</t>
  </si>
  <si>
    <t>1.2.2. Персонифицированное 
финансирование 
дополнительного 
образования детей</t>
  </si>
  <si>
    <t>1.3. Обеспечение реализации 
общеобразовательных программ в образовательных организациях, расположенных на территории города Когалыма (I, II, 4, 12)</t>
  </si>
  <si>
    <t>1.3.1.2. Реализация полномочий органов местного самоуправления в сфере 
общего образования</t>
  </si>
  <si>
    <t>1.3.2. 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</si>
  <si>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 xml:space="preserve">1.3.3.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
</t>
  </si>
  <si>
    <t xml:space="preserve">1.4. Организация отдыха и оздоровления детей (10, 11, 12)
</t>
  </si>
  <si>
    <t>1.4.1. 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 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</si>
  <si>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1.4.2. Организации культурно 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</si>
  <si>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"Система оценки качества образования и информационная прозрачность системы образования города Когалыма"</t>
  </si>
  <si>
    <t>2.1.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(1, 2, 3)</t>
  </si>
  <si>
    <t>2.1.1. Организация и проведение 
государственной итоговой аттестации</t>
  </si>
  <si>
    <t>Подпрограмма 3. "Молодёжь города Когалыма"</t>
  </si>
  <si>
    <t>П.3.1. Портфель проектов «Образование», региональный проект «Социальная активность» (показатель VI)</t>
  </si>
  <si>
    <t>П.3.1.1. Организация мероприятий в рамках реализации регионального проекта 
«Социальная активность»</t>
  </si>
  <si>
    <t xml:space="preserve">П.3.2. Портфель проектов «Образование», региональный проект «Патриотическое 
воспитание граждан Российской Федерации» 
(показатель 5, 6)
</t>
  </si>
  <si>
    <t>П.3.2.1.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</si>
  <si>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3.1. Создание условий для развития духовно-нравственных и гражданско,- военно -патриотических качеств детей и молодежи ( 5, 6, 7)</t>
  </si>
  <si>
    <t>3.1.1. Организация мероприятий 
по развитию духовно -нравственных и 
гражданско-патриотических качеств 
молодёжи и детей</t>
  </si>
  <si>
    <t xml:space="preserve">3.1.2. Организация и проведение городского конкурса среди общеобразовательных организаций на лучшую подготовку граждан РФ к военной службе
</t>
  </si>
  <si>
    <t>3.2. Создание условий для разностороннего развития, самореализации и роста созидательной активности молодёжи (5, 6, 7, 14)</t>
  </si>
  <si>
    <t>3.2.1. Организация мероприятий, проектов по повышению уровня потенциала и вовлечению молодёжи в творческую деятельность</t>
  </si>
  <si>
    <t xml:space="preserve">3.2.2. Организация мероприятий, проектов по вовлечению молодежи в добровольческую 
деятельность 
</t>
  </si>
  <si>
    <t xml:space="preserve">3.2.3. Поддержка студентов педагогических вузов
</t>
  </si>
  <si>
    <t xml:space="preserve">3.2.4. Субсидии некоммерческим организациям, не являющимся 
государственными (муниципальными), на выполнение функций ресурсного центра поддержки и развития добровольчества в городе Когалыме"
</t>
  </si>
  <si>
    <t>3.3. Обеспечение деятельности учреждения сферы работы с молодёжью и развитие 
его материально технической базы (7, 14)</t>
  </si>
  <si>
    <t>3.3.1. Финансовое и организационное 
сопровождение по исполнению МАУ «МКЦ «Феникс» муниципального задания, укрепление 
материально-технической базы учреждения</t>
  </si>
  <si>
    <t xml:space="preserve">3.3.2. Обеспечение хозяйственного обслуживания и надлежащего состояния учреждения молодежной политики
</t>
  </si>
  <si>
    <t>Подпрограмма 4. "Ресурсное обеспечение в сфере образования"</t>
  </si>
  <si>
    <t xml:space="preserve">П.4.1. Портфель проектов «Образование», 
региональный проект «Современная школа» 
(показатели XI, XIII, XIV, 9)
</t>
  </si>
  <si>
    <t>П.4.1.1.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</si>
  <si>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П.4.2. Портфель проектов «Демография», 
региональный проект «Содействие занятости» 
(показатели I, II)</t>
  </si>
  <si>
    <t>4.1. Финансовое обеспечение полномочий управления образования и ресурсного центра (1, 2, 3, 4, 8, 10)</t>
  </si>
  <si>
    <t>4.1.1. Финансовое и организационно 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</si>
  <si>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 Проведение мероприятий аппаратом управления</t>
  </si>
  <si>
    <t>4.1.3. Финансовое и организационно методическое сопровождение по исполнению МАУ «Информационно ресурсный центр города 
Когалыма» муниципального задания на 
оказание муниципальных услуг (выполнение работ), оснащение материально технической базы 
организации</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</si>
  <si>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(8)
</t>
  </si>
  <si>
    <t>4.2.1. 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</si>
  <si>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 Создание системных механизмов сохранения и укрепления здоровья детей 
в образовательных организациях</t>
  </si>
  <si>
    <t>4.2.2.1.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</si>
  <si>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4.2.2.2. Организация питания обучающихся 5-11 классов (не относящиеся к льготной категории)</t>
  </si>
  <si>
    <t>4.2.2.3.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t>
  </si>
  <si>
    <t>4.3. Развитие материально технической базы 
образовательных организаций (XIV)</t>
  </si>
  <si>
    <t>4.3.1. Развитие инфраструктуры общего и дополнительного образования</t>
  </si>
  <si>
    <t>4.3.2. Капитальный ремонт здания МАОУ СОШ №7</t>
  </si>
  <si>
    <t>Комплексный план (сетевой график) по реализации муниципальной программы "Управление муниципальными финансами в городе Когалыме"</t>
  </si>
  <si>
    <t>1.1. Обеспечение деятельности Комитета финансов Администрации города Когалыма (I, II)</t>
  </si>
  <si>
    <t>1.2.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(I, II)</t>
  </si>
  <si>
    <t>Комплексный план (сетевой график) по реализации муниципальной программы  "Развитие жилищной сферы в городе Когалыме"</t>
  </si>
  <si>
    <t>Подпрограмма 1. "Содействие развитию жилищного строительства"</t>
  </si>
  <si>
    <t>П.1.1. Портфель проектов «Жилье и городская среда», региональный проект «Жилье»  (I, III, 4)</t>
  </si>
  <si>
    <t xml:space="preserve">П.1.2. Портфель проектов «Жилье и городская среда», региональный проект«Обеспечение устойчивого сокращения непригодного для проживания жилищного фонда» (II, 6)
</t>
  </si>
  <si>
    <t>1.1. Реализация полномочий в области градостроительной деятельности (I,II)</t>
  </si>
  <si>
    <t>1.2. Приобретение жилья в целях реализации полномочий органов местного самоуправления в сфере жилищных отношений (I,III,4,2,7)</t>
  </si>
  <si>
    <t>1.3.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строительства.(6)</t>
  </si>
  <si>
    <t>1.4.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</si>
  <si>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</si>
  <si>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(3,1,7)</t>
  </si>
  <si>
    <t>2.2.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года.(3,1,7)</t>
  </si>
  <si>
    <t>2.3. Реализация полномочий по обеспечению жилыми помещениями отдельных категорий граждан (1,7)</t>
  </si>
  <si>
    <t>2.4.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предоставляемых по договорам социального найма, на приобретение (строительство) жилых помещений в собственность (3)</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</si>
  <si>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</si>
  <si>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отдела архитектуры и градостроительства Администрации города Когалыма(I-IV)</t>
  </si>
  <si>
    <t>3.2. Обеспечение деятельности управления по жилищной политике Администрации города Когалыма (I-IV)</t>
  </si>
  <si>
    <t>3.3. Обеспечение деятельности Муниципального казённого учреждения «Управление капитального строительства города Когалыма» (I-IV)</t>
  </si>
  <si>
    <t xml:space="preserve"> "Социально - экономическое развитие и инвестиции муниципального образования город Когалым" </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</si>
  <si>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</si>
  <si>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 xml:space="preserve">1.1. Реализация механизмов стратегического управления социально-экономическим развитием города Когалыма (I, 1, 2, 3) </t>
  </si>
  <si>
    <t>1.1.1. Мониторинг социально-экономического развития города Когалыма</t>
  </si>
  <si>
    <t>1.1.2. Реализация и корректировка стратегии социально-экономического развития города Когалыма до 2030 года</t>
  </si>
  <si>
    <t>1.1.3. Обеспечение деятельности управления экономики Администрации города Когалыма</t>
  </si>
  <si>
    <t>1.1.4. Обеспечение деятельности управления  инвестиционной деятельности и развития предпринимательства Администрации города Когалыма</t>
  </si>
  <si>
    <t>1.1.5. Организация и проведение определения поставщика (подрядчика, исполнителя) для заказчиков города Когалыма</t>
  </si>
  <si>
    <t>ИТОГО по подпрограмме 1</t>
  </si>
  <si>
    <t>Подпрограмма 2. «Развитие малого и среднего  предпринимательства»</t>
  </si>
  <si>
    <t xml:space="preserve">П.2.1. Региональный проект «Создание условий для легкого старта и комфортного ведения бизнеса» (показатели II, III, 4, 5) </t>
  </si>
  <si>
    <t>П.2.1.1. Финансовая поддержка субъектов малого и среднего предпринимательства, впервые зарегистрированных и действующих менее одного года, на развитие социального предпринимательства</t>
  </si>
  <si>
    <t>П.2.1.1.1 Финансовая поддержка субъектам малого и среднего предпринимательства (впервые зарегистрированным и действующим менее 1 года), осуществляющим социально значимые (приоритетные) виды деятельности в городе Когалыме</t>
  </si>
  <si>
    <t xml:space="preserve">П.2.1.1.2 Организация и проведение мероприятий, направленных на популяризацию деятельности в сфере социального предпринимательства </t>
  </si>
  <si>
    <t>П.2.1.1.2.1 Изготовление (приобретение материальных запасов, способствующих повышению информированности о социальном предпринимательстве, о существующих мерах и программах поддержки социального предпринимательства</t>
  </si>
  <si>
    <t>П.2.2. Региональный проект «Акселерация субъектов малого и среднего предпринимательства» (показатели II, III, 4, 5)</t>
  </si>
  <si>
    <t xml:space="preserve">П.2.2.1. Дополнительные меры государственной поддержки малого и среднего предпринимательства, а также физических лиц, применяющих специальный налоговый режим «Налог на профессиональный доход» (финансовая поддержка субъектов малого и среднего предпринимательства) </t>
  </si>
  <si>
    <t>П.2.2.1.1 Возмещение части затрат на аренду (субаренду) нежилых помещений</t>
  </si>
  <si>
    <t>П.2.2.1.2 Возмещение части затрат на приобретение нового оборудования (основных средств) и лицензионных программных продуктов</t>
  </si>
  <si>
    <t>П.2.2.1.3 Возмещение части затрат на оплату коммунальных услуг нежилых помещений</t>
  </si>
  <si>
    <t>П.2.2.1.4 Возмещение части затрат, связанных с оплатой жилищно-коммунальных услуг по нежилым помещениям, используемым в целях осуществления предпринимательской деятельности (бюджет города Когалыма сверх доли софинансирования)</t>
  </si>
  <si>
    <t>П.2.2.1.5 Возмещение части затрат на аренду нежилых помещений за счет средств бюджета города Когалыма (сверх доли софинансирования)</t>
  </si>
  <si>
    <t>П.2.2.1.6 Предоставление субсидий на создание и (или) обеспечение деятельности центров молодежного инновационного творчества (сверх доли софинансирования)</t>
  </si>
  <si>
    <t>П.2.2.1.7 Возмещение части затрат на приобретение нового оборудования (основных средств), лицензионных программных продуктов (сверх доли софинансирования)</t>
  </si>
  <si>
    <t>П.2.2.1.8 Грантовая поддержка на развитие предпринимательства (бюджет города Когалыма сверх доли софинансирования)</t>
  </si>
  <si>
    <t>П.2.2.1.9 Грантовая поддержка на развитие молодежного предпринимательства (бюджет города Когалыма сверх доли софинансирования)</t>
  </si>
  <si>
    <t>П.2.2.1.10  Грантовая поддержка социального и креативного предпринимательства (бюджет города Когалыма сверх доли софинансирования)</t>
  </si>
  <si>
    <t>П.2.2.1.11 Возмещение части затрат на обязательную сертификацию произведенной продукции</t>
  </si>
  <si>
    <t xml:space="preserve">2.1. Организация мероприятий по информационно-консультационной поддержке, популяризации и пропаганде предпринимательской деятельности (6) </t>
  </si>
  <si>
    <t>2.1.1. Размещение информационных материалов о проводимых мероприятиях в сфере малого и среднего предпринимательства в  средствах массовой информации (бюджет города Когалыма сверх доли софинансирования)</t>
  </si>
  <si>
    <t>ИТОГО по подпрограмме 2</t>
  </si>
  <si>
    <t>Проектная часть подпрограммы 2</t>
  </si>
  <si>
    <t>Процессная часть подпрограммы 2</t>
  </si>
  <si>
    <t>Проектная часть в целом по муниципальной программе</t>
  </si>
  <si>
    <t xml:space="preserve">«Экологическая безопасность города Когалыма» </t>
  </si>
  <si>
    <t>тыс.рублей</t>
  </si>
  <si>
    <t>Наименование мероприятий  программы</t>
  </si>
  <si>
    <t>План на 2024 год</t>
  </si>
  <si>
    <t>Исполнение,%</t>
  </si>
  <si>
    <t>Подпрограмма 1 «Регулирование качества окружающей среды в городе Когалыма»</t>
  </si>
  <si>
    <t xml:space="preserve">П.1.1. Портфель проектов «Экология», региональный проект «Сохранение уникальных водных объектов» (I, II, III), всего </t>
  </si>
  <si>
    <t>иные источники финансирования</t>
  </si>
  <si>
    <t>П.1.1.1. Выполнение работ по очистке береговой линии от бытового мусора в границах города Когалыма</t>
  </si>
  <si>
    <t>1.1. Предупреждение и ликвидация несанкционированных свалок на территории города Когалыма (IV), всего</t>
  </si>
  <si>
    <t>1.2. Организация и проведение экологически мотивированных культурных мероприятий города Когалыма (III), всего</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</si>
  <si>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</si>
  <si>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 (V), всего</t>
  </si>
  <si>
    <t>Проектная часть в целом по программе</t>
  </si>
  <si>
    <t>Процессная часть в целом по программе</t>
  </si>
  <si>
    <t xml:space="preserve">Отчет о ходе реализации (сетевой график)  муниципальной программы
«Развитие жилищно-коммунального комплекса в городе Когалыме» </t>
  </si>
  <si>
    <t>Основные мероприятия  программы</t>
  </si>
  <si>
    <t>План на
 2024 год, тыс.руб.</t>
  </si>
  <si>
    <t>Исполнено,%</t>
  </si>
  <si>
    <t>к плану на год</t>
  </si>
  <si>
    <t>Подпрограмма 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</si>
  <si>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 (2)</t>
  </si>
  <si>
    <t>1.1.1.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t>
  </si>
  <si>
    <t>1.1.2 Предоставление субсидии на долевое финансовое обеспечение проведения капитального ремонта общего имущества в многоквартирных домах, расположенных на территории города Когалыма</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</si>
  <si>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</si>
  <si>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2.1. Предоставление субсидий на реализацию полномочий в сфере жилищно-коммунального комплекса (1)</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</si>
  <si>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t>
  </si>
  <si>
    <r>
      <t xml:space="preserve">КУМИ Администрации г.Когалыма:
</t>
    </r>
    <r>
      <rPr>
        <sz val="12"/>
        <rFont val="Times New Roman"/>
        <family val="1"/>
        <charset val="204"/>
      </rPr>
      <t>Мероприятие направлено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Субсидия носит заявительный характер.</t>
    </r>
  </si>
  <si>
    <t>3.1. Строительство, реконструкция и капитальный ремонт объектов коммунального комплекса (I)</t>
  </si>
  <si>
    <t>3.1.2 Строительство, реконструкция, капитальный ремонт объектов инженерной инфраструктуры на территории города Когалыма (в том числе ПИР)</t>
  </si>
  <si>
    <t xml:space="preserve">Отчет о ходе реализации (сетевой график) муниципальной программы «Развитие транспортной системы города Когалыма» </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</si>
  <si>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</si>
  <si>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(I)</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</si>
  <si>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</si>
  <si>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</si>
  <si>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</si>
  <si>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</si>
  <si>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2.1.4 Капитальный ремонт объекта "Путепровод на км 0+468 автодороги Повховское шоссе в городе Когалыме"</t>
  </si>
  <si>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</si>
  <si>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</si>
  <si>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</si>
  <si>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</si>
  <si>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</si>
  <si>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</si>
  <si>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</si>
  <si>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</si>
  <si>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</si>
  <si>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</si>
  <si>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</si>
  <si>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</si>
  <si>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</si>
  <si>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</si>
  <si>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 xml:space="preserve">Отчет о ходе реализации (сетевой график) муниципальной программы "Формирование комфортной городской среды в городе Когалыме" </t>
  </si>
  <si>
    <t xml:space="preserve">Наименование мероприятий программы </t>
  </si>
  <si>
    <t>План на 2024</t>
  </si>
  <si>
    <t xml:space="preserve">Проектная часть </t>
  </si>
  <si>
    <t>П.1.1.1.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 в том числе:</t>
  </si>
  <si>
    <t>П.1.1.1.1. Объект благоустройства "Этнодеревня в городе Когалыме"</t>
  </si>
  <si>
    <t xml:space="preserve">Процессная часть </t>
  </si>
  <si>
    <t>1.1. Благоустройство дворовых территорий в городе Когалыме (3)</t>
  </si>
  <si>
    <t>п.п. 1.2  Основное мероприятие "Создание объектов благоустройства на территории города Когалыма" (4)</t>
  </si>
  <si>
    <t xml:space="preserve">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t>
  </si>
  <si>
    <t>Основные мероприятия
 муниципальной программы</t>
  </si>
  <si>
    <t>касса</t>
  </si>
  <si>
    <t>1.1.   Содержание объектов благоустройства территории города Когалыма, включая озеленение территории и содержание малых архитектурных форм (I)</t>
  </si>
  <si>
    <t xml:space="preserve">Всего </t>
  </si>
  <si>
    <t>1.1.1. Выполнение муниципальной работы «Уборка территории и аналогичная деятельность»</t>
  </si>
  <si>
    <t>1.1.2.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</si>
  <si>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1.1.3. Обустройство и текущее содержание объектов городского хозяйства</t>
  </si>
  <si>
    <t>федерадьный бюджет</t>
  </si>
  <si>
    <t>1.1.4. Ремонт пешеходного моста через реку ИнгуЯгун (Циркуль)</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</si>
  <si>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</si>
  <si>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</si>
  <si>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1.2.2. Обеспечение наружного освещения территории города Когалыма</t>
  </si>
  <si>
    <t>1.3. Организация ритуальных услуг и содержание мест захоронения (II, 2, 3)</t>
  </si>
  <si>
    <t xml:space="preserve">1.4. Реализация полномочий переданных Администрации города Когалыма в сферах жилищно-оммунального комплекса и городского хозяйства, в рамках осуществления учреждением функций заказчика (5)
</t>
  </si>
  <si>
    <t xml:space="preserve">1.5. Организация мероприятий при осуществлении деятельности по обращению с животными без владельцев (7) </t>
  </si>
  <si>
    <t>1.6. Создание приюта для животных на территории города Когалыма (7)</t>
  </si>
  <si>
    <t>1.7. Архитектурная подсветка улиц, зданий, сооружений и жилых домов, расположенных на территории города Когалыма (9)</t>
  </si>
  <si>
    <t xml:space="preserve">Всего  </t>
  </si>
  <si>
    <t>Комплексный план (сетевой график) по реализации муниципальной программы "Развитие муниципальной службы  в городе Когалыме"</t>
  </si>
  <si>
    <t xml:space="preserve">«Развитие жилищно-коммунального комплекса в городе Когалыме» </t>
  </si>
  <si>
    <t xml:space="preserve">«Развитие транспортной системы города Когалыма» </t>
  </si>
  <si>
    <t xml:space="preserve">«Содержание объектов городского хозяйства и инженерной инфраструктуры в городе Когалыме» </t>
  </si>
  <si>
    <t xml:space="preserve"> «Содействие занятости населения города Когалыма» </t>
  </si>
  <si>
    <t xml:space="preserve"> «Развитие агропромышленного комплекса в городе Когалыме» </t>
  </si>
  <si>
    <t xml:space="preserve"> «Безопасность жизнедеятельности населения города Когалыма» </t>
  </si>
  <si>
    <t xml:space="preserve"> «Управление муниципальным имуществом города Когалыма» </t>
  </si>
  <si>
    <t xml:space="preserve"> «Культурное пространство города Когалыма» </t>
  </si>
  <si>
    <t xml:space="preserve"> «Развитие образования в городе Когалыме» </t>
  </si>
  <si>
    <t xml:space="preserve"> «Управление муниципальными финансами в городе Когалыме» </t>
  </si>
  <si>
    <t xml:space="preserve"> «Социально - экономическое развитие и инвестиции муниципального образования город Когалым» </t>
  </si>
  <si>
    <t xml:space="preserve">«Профилактика правонарушений и обеспечение отдельных прав граждан в городе Когалыме» </t>
  </si>
  <si>
    <t xml:space="preserve">«Укрепление межнационального и межконфессионального согласия, профилактика экстремизма и терроризма в городе Когалыме» </t>
  </si>
  <si>
    <t xml:space="preserve">«Развитие муниципальной службы  в городе Когалыме» </t>
  </si>
  <si>
    <t xml:space="preserve">«Развитие институтов гражданского общества города Когалыма» </t>
  </si>
  <si>
    <t xml:space="preserve">«Развитие физической культуры и спорта в городе Когалыме» </t>
  </si>
  <si>
    <t xml:space="preserve">«Развитие жилищной сферы в городе Когалыме» </t>
  </si>
  <si>
    <t xml:space="preserve">«Формирование комфортной городской среды в городе Когалыме» </t>
  </si>
  <si>
    <t>Конкурс запланирован к проведению в 4 квартале 2024 года</t>
  </si>
  <si>
    <t>0.00</t>
  </si>
  <si>
    <t>В соответствии в решением Думы г.Когалыма от 17.01.2024 №362-ГД выделены плановые ассигнования в сумме 10,8 тыс.руб. на услуги связи для фотоловушек, в целях выявления с помощью фотофиксации лиц, допустивших несанкционированный сброс отходов в непредназначенных для этого местах, в том числе с автомобильного транспорта</t>
  </si>
  <si>
    <t xml:space="preserve">Председатель Комитета финансов </t>
  </si>
  <si>
    <t>Администрации города Когалыма</t>
  </si>
  <si>
    <t>___________</t>
  </si>
  <si>
    <t>М.Г.Рыбачок</t>
  </si>
  <si>
    <t>Исполнитель : Главный специалист:  Грязнова Е.В. 93-678</t>
  </si>
  <si>
    <t>2.1.3. Реконструкция развязки Восточная (проспект Нефтяников, улица Ноябрьская)</t>
  </si>
  <si>
    <t>Кассовый расход сформировался меньше планового в связи с: образованием листов временной нетрудоспособности, вакантных ставок (плотник, уборщик служебных помещений, уборщик территорий).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</si>
  <si>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</si>
  <si>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</si>
  <si>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t>Цыганкова И.А.</t>
  </si>
  <si>
    <t>тел.93-790</t>
  </si>
  <si>
    <t>Директор МКУ "УКС и ЖКК г.Когалыма"</t>
  </si>
  <si>
    <t>Начальник управления экономики Администрации г.Когалыма</t>
  </si>
  <si>
    <t>Загорская Е.Г.</t>
  </si>
  <si>
    <t>Исполнитель: Мартынова С.В, 
тел. 93785</t>
  </si>
  <si>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
Заключен МК от 26.02.2024 №13/2024 на оказание услуг по проведению негосударственной экспертизы проверки достоверности сметной стоимости ремонта автомобильных дорог г.Когалыма на сумму 59,00 тыс.руб.</t>
    </r>
  </si>
  <si>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В 2023 году выполнены и оплачены работы на сумму 169,959 тыс.руб.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156 414,0 тыс.руб.</t>
    </r>
  </si>
  <si>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выполнены и оплачены в полном объеме.</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</si>
  <si>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
МК от 06.02.2024 №11/2024 с ООО "Умный транспорт"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70,8 тыс.руб.</t>
    </r>
  </si>
  <si>
    <t>2.2.5. Проведение мониторинга дорожного движения на автомобильных дорогах местного значения</t>
  </si>
  <si>
    <t xml:space="preserve">Кадыров И.Р.  </t>
  </si>
  <si>
    <t>Ответственный за составление сетевого графика:</t>
  </si>
  <si>
    <t>1.1.1.  Организация и проведение конкурса социально значимы хпроектов среди социально ориентированных некоммерческих организаций города Когалыма</t>
  </si>
  <si>
    <t>Экономия по заработной плате и начислениям на оплату труда (наличие вакансий, листов временной нетрудоспособности).</t>
  </si>
  <si>
    <t xml:space="preserve">Конкурс запланирован к проведению в 4 квартале 2024 года. Премия "Общественное признание" проводится с целью признания заслуг граждан и не имеет денежного выражения. </t>
  </si>
  <si>
    <t>П.1.1. Портфель проектов "Жилье и городская среда", региональный проект "Формирование комфортной городской среды" (I, II, 1, 2)</t>
  </si>
  <si>
    <t>1.5.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</si>
  <si>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В.И. Феоктистов</t>
  </si>
  <si>
    <t>Начальник УИДиРП</t>
  </si>
  <si>
    <t>Исполнитель: Главный специалист ОПРиРП Шамерзоева Т.Ф.
тел.: 93-756</t>
  </si>
  <si>
    <t xml:space="preserve">1.1.4. Реализация мероприятий профориентационной направленности, в том числе в рамках сотрудничества с Пермским научно-исследовательским политехническим университетом </t>
  </si>
  <si>
    <t xml:space="preserve">Остаток плановых ассигнований сcоставил: 77,19 тыс. руб. в том числе:
1) по местному бюджету - 77,19 тыс. руб.  (приобретение канцелярских товаров). В связи с поиском поставщика с наиболее выгодной стоимостью товара.
</t>
  </si>
  <si>
    <t>План на 01.04.2024</t>
  </si>
  <si>
    <t>Профинансировано на 01.04.2024</t>
  </si>
  <si>
    <t>Кассовый расход на 01.04.2024</t>
  </si>
  <si>
    <t xml:space="preserve">Отклонение от плана составляет 9325,3 тыс.руб. в том числе:
1. 4710,99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1542,7 тыс.руб.  -неисполнение субсидии по статье начисления на оплату труда возникло в связи с оплатой страховых взносов в апреле 2024г.
3. 3,26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849,39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116,77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60,84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879,62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954,16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6,5 тыс. руб. - неисполнение по статье расходов прочие расходы  оплата налога на имущество будет произведена в феврале, в связи со сдачей декларации в апреле 2024г.
10. 152,5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11. 8,55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14,88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20,0 тыс. руб. неисполнение субсидии по статье  расходов на приобретение мягкого инвентаря, оплата будет произведена по факту поставки товара
14. 5,1  тыс.руб. неисполнении субсидии по статье расходов оплата медосмотров, оплата будет произведена по факту предоставленных документов на оплату
</t>
  </si>
  <si>
    <t xml:space="preserve">     На оказание услуг по очистке и вывозу снегу с территории города Когалыма в 2024-2025 годах заключены МК:
- №0187300013723000349 от 17.10.2023 с ООО "РУСАВТО" на сумму 17 272,25 тыс.руб.;
- №0187300013723000351 от 23.10.2023 с ООО "ТФК КИТ" на сумму 14 154,87 тыс.руб.;
- №0187300013723000352 от 23.10.2023 с ООО "ТФК КИТ"на сумму 18 932,41 тыс.руб.;
- №0187300013723000353 от 23.10.2023  с ООО "РУСАВТО" на сумму 14 968,32 тыс.руб.
     Работы ведутся. Оплата производится по факту выполненных работ.</t>
  </si>
  <si>
    <t xml:space="preserve">     Неполное освоение плановых ассигнований обусловлено несвоевременным предоставлением документов для оплаты исполнителем услуг по содержанию мест (площадок) накопления ТКО, а также экономией по итогам
     Заключены МК:
- №0187300013723000393 от 15.12.2023 с ИП Сагидовым М.С.  на сумму 1 159,686 тыс.руб. на оказание услуг по содержанию площадок для выгула животных. Период оказания услуг с 01.01.2024 по 31.12.2025.
- №0187300013723000397 от 15.12.2023 с ИП Сагидовым М.С.  на сумму 540,565 тыс.руб. на оказание услуг по содержанию мест (площадок) накопления твердых комунальных отходов. Период оказания услуг с 01.01.2024 по 31.12.2024;
- №7/2024 от 01.02.2024 с ИП Скляр Л.П. на сумму 302,5 тыс.руб.на оказание услуг по содержанию специальных урн (дог-боксов). Период оказания услуг с 01.01.2024 по 31.12.2024;
- №0187300013724000013 от 11.03.2024 на сумму 1 977,23 тыс.руб. с ИП Козер С.А. на выполнение работ по ремонту тротуара от административного здания ООО "АИК" вдоль улицы Мира в г.Когалыме;
- №0187300013724000023 от 26.03.2024 на сумму 708,63 тыс.руб. на выполнение работ по ремонту тротуаров в городе Когалыме;
- №20/2024 от 27.03.2024 с ООО "Экотехсервис"на сумму 594,00 тыс.руб. на оказание услуг по откачке дождевых вод;
- №21/2024 от 28.03.2024 с ИП Никулиной Н.Э. на сумму 391,17 тыс.руб. на поставку флагов.</t>
  </si>
  <si>
    <t xml:space="preserve">     В соответствии с МК от 15.12.2023 №119/2023 на сумму 576,312 тыс.руб. ведутся работы по ремонту сетей наружного освещения пешеходного моста через реку Ингу-Ягун по адресу: г.Когалым, район Административного здания блока "С".</t>
  </si>
  <si>
    <t xml:space="preserve">     Выполняются работы по энергосбережению и повышению энергетической эффективности при эксплуатации объектов наружного (уличного) освещения в городе Когалыме в соответствии с МК от 14.07.2020 №0187300013720000073 на сумму 51 159,4 тыс.руб. 
     Завершение работ по контракту - октябрь 2026 года.</t>
  </si>
  <si>
    <t xml:space="preserve">     Заключены муниципальные контракты:
- №0187300013723000407 от 25.12.2023 на выполнение работ по оперативному, тех.обслуживанию и текущему ремонту эл/оборудования сетей НО и светофорных объектов г.Когалыма с АО "ЮТЭК-Когалым" на сумму 27 125,2 тыс.руб.;
- №ЭС1902000062/24 от 29.12.2023 на поставку эл/энергии для наружного освещения г.Когалыма с АО "Газпром энергосбыт Тюмень" на сумму 20 523,8 тыс.руб.
     Оплата электроэнергии и ТО сетей НО производятся на основании выставленных счетов и актов оказанных услуг (выполненных работ) поставщиком.</t>
  </si>
  <si>
    <t xml:space="preserve">     С ООО "Ритуал" заключены муниципальные контракты с периодом оказания услуг с 01.01.2024 по 31.12.2025:
- №0187300013723000388 от 04.12.2023 на оказание услуг по перевозке умерших с места летального исхода на сумму 2 390,386 тыс.руб.;
- №0187300013723000392 от 15.12.2023 на оказание услуг по содержанию городского кладбища на территории города Когалыма на сумму 2 901,36 тыс.руб.
     На 2024 год с ООО "Ритуал" заключено соглашение №1-32-КО от 09.01.2024 о предоставлении из бюджета г.Когалыма субсидии на возмещение части затрат в связи с оказанием ритуальных услуг на сумму 1 517,24 тыс.руб.
     Оплата производится за фактически оказанные услуги на основании актов.</t>
  </si>
  <si>
    <t xml:space="preserve">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заключен муниципальный контракт  от 25.03.2024 №0187300013724000019  с ИП Коневым Виктором Аалексеевичем на сумму 992 167,12 руб. Срок окончания оказания услуг 18.09.2024.</t>
  </si>
  <si>
    <t xml:space="preserve">     На оказание услуг по обращению с животными без владельцев на территории г.Когалыма заключены МК с ИП Скляр Л.П.:
     - № 115/2023 от 15.12.2023 (услуги на сумму 582,6 тыс.руб. оказаны в период с 15.12.2023 по 21.01.2024). Услуги по МК выполнены и оплачены в полном объеме.;
     - № 6/2024 от 25.01.2024  на сумму 600,00 тыс.руб. 
     - №13/2024/13 от 01.03.2024 на сумму 600,00 тыс.руб.
     Заключены МК с Абабий О.Н. на оказание услуг по подготовке животного к проведению ветеринарных мероприятий с послеоперационным уходом на территории города Когалыма:
      - №8/2024 от 01.02.2024  на сумму 99,9 тыс.руб.;
     - 13/2024/14 от 01.03.2024 на сумму 99,9 тыс.руб.</t>
  </si>
  <si>
    <t xml:space="preserve">     Экономия плановых ассигнований в сумме 131,545 тыс.руб.</t>
  </si>
  <si>
    <t xml:space="preserve">     На основании постановления Администрации г.Когалыма от 13.02.2024 №295 выделены плановые ассигнования в сумме 6 871,9 тыс.руб., в том числе на архитектурную подсветку путепровода автодороги Повховское шоссе г.Когалыма в сумме 4 109,1 тыс.руб.; на архитектурную подсветку пешеходного моста "Циркуль" в сумме 2 762,8 тыс.руб.</t>
  </si>
  <si>
    <t>В целях реализации мероприятия на отчетную дату ведутся (выполнены) следующие мероприятия:
1. Ведется исполнение муниципального контракта №0187200001721001483 от 14.10.2021 (эл/а) заключенного  с Обществом с ограниченной ответственностью "СИБВИТОСЕРВИС" город Сургут на выполнение проектно-изыскательских и строительно-монтажных работ по объекту:
1.1. Заключено дополнительное соглашение №3 от 22.12.2022, в рамках которого увеличена стоимость проектно-изыскательских работ до 25 239,24 тыс. руб. за счет уменьшения стоимости строительно-монтажных работ и продлены сроки выполнения работ;
1.2. Заключено дополнительное соглашение №4 от 23.12.2022, в рамках которого установлено авансирование по контракту в размере 20,833% от цены контракта, что составляет 312 405,40 тыс. руб.;
1.3. Заключено дополнительное соглашение №6 от 22.06.2023, в рамках которого продлены сроки выполнения проектно-изыскательских работ по 31.08.2023;
1.4. Заключено дополнительное соглашение №7 от 26.07.2023, в рамках которого увеличен размер авансирования по контракту до 46,7538905945082% от цены контракта, что составляет 701 105,65 тыс.  руб. (из них 312 405,40 тыс. руб. за счет лимитов бюджетных обязательств 2022 года, 388 700,25 тыс. руб. за счет лимитов бюджетных обязательств 2023 года);
1.5. Стоимость работ по контракту 1 499 566,43 тыс. руб., из них стоимость проектно-изыскательских работ 25 239,24 тыс. руб.;
1.6. Состав и сроки выполнения работ этапа 1 Контракта: выполнение проектно-изыскательских работ): с даты заключения настоящего контракта по 31 августа 2023 года, в том числе эскизный проект, отчеты по инженерным изысканиям, проектная документация (без смет), положительное заключение государственной экспертизы результатов инженерных изысканий и проектной документации (без смет) по 28.02.2023,
1.7. Состав и сроки выполнения работ этапа 2 Контракта: строительно-монтажные, пусконаладочные работы, поставка оборудования и ввод объекта в эксплуатацию) с момента выполнения первого этапа по 13 февраля 2025 года, в том числе строительно-монтажные, пусконаладочные работы и поставка оборудования по 20 декабря 2024 года;
2. При строительстве объекта применяется экономически эффективная проектная документация повторного применения «Средняя общеобразовательная школа в микрорайоне 32 г. Сургута» шифр 1541-ПИ.00.32;
3. Муниципальным заказчиком перечислен аванс в 2022 году в размере 312 405,40тыс. руб., в 2023 году - 388 700,25 тыс.  руб.;
4. Степень готовности объекта:
4.1 Проектно-изыскательские работы:
- получено положительное заключение государственной экспертизы результатов инженерных изысканий и проектной документации (без смет) №86-1-1-3-091907-2022 от 23.12.2022;
- разработана проектно-сметная документация – 100%;
- получено отрицательное заключение государственной экспертизы о проверке достоверности определения сметной стоимости объекта №86-1-2-2-013819-2024 от 27.03.2024. Требуется повторная ценовая экспертиза после устранения замечаний к сметной документации.
4.2 Строительство объекта - готовность 14%:
- получено разрешение на строительство № RU86–301–726–2023 от 10.01.2023;
- выполнены 100%: подготовительные работы, разработка котлована, свайные работы, фундаменты, бетонирование наружных стен и колонн цокольного этажа;
- ведутся работы: обратная засыпка фундаментов – 94% (10170 м3); бетонирование плиты цокольного перекрытия – 34% (421 м3); устройство щебеночного основания полов подвала – 90% (4500 м3); монтаж опалубки и армирование для цокольного перекрытия – 42% (2100 м2); монтаж тепловых сетей к объекту – 56% (400 м.п.).
5. Выполнение проектно-изыскательских работ по 1 этапу контракта ведется с нарушением сроков выполнения работ подрядной организацией, выставлено четыре претензии об уплате неустойки на общую сумму 2 153 748,85 руб.</t>
  </si>
  <si>
    <t xml:space="preserve">План на 01.04.2024 </t>
  </si>
  <si>
    <t xml:space="preserve">Профинансировано на 01.04.2024 </t>
  </si>
  <si>
    <t xml:space="preserve">Кассовый расход на 01.04.2024  </t>
  </si>
  <si>
    <t>Неполное освоение плановых ассигнований обусловлено нахождением работника, осуществляющего отдельные гос.полномочия ХМАО-Югры в сфере обращения с ТКО, в отпуске. На время отсутствия данного работника приказ на доплату за исполнение его обязанностей не оформлялся.</t>
  </si>
  <si>
    <t>Подпрограмма 3. «Создание условий для обеспечения качественными коммунальными услугами».</t>
  </si>
  <si>
    <t>На отчетную дату ведется исполнение следующих контрактов:
1. Муниципальный контаркт № 5К/2023 от 20.11.2023 на выполнение работ по объекту: "Реконструкция участка ВЛ 35кВ ПП-35кВ "Аэропорт "ПС №35"
-сроки выполнения работ 14.02.2024;
-цена контракта 43 988,590 тыс.руб; в 2023 году перечислен аванс в размере 30% от цены контракта, что составило 13 196,58 тыс.руб;
 - в процесе приемки выполненных работ выявлена неисправность кабельной линии, ведется устранение.</t>
  </si>
  <si>
    <t xml:space="preserve">2. Муниципальный контракт № Т2/23/0013-ДТП от 18.12.2023 на осуществление технологического присоединения к электрическим сетям Этнодеревни в городе Когалыме.
-срок выполнения работ по 25.12.2024;
-цена контракта 8697,74 тыс.руб; по условиям которого произведено авансирование 10%, что составляет 869,774 тыс.руб. В адрес филиала АО "Россети Тюмень"  направлено письмо от 18.03.2024 №69-Исх-820 о расторжении договора.
 Технологическое присоединение объекта включено в инвестиционную программу АО "ЮТЭК-РС". </t>
  </si>
  <si>
    <t>3. Контракт № 1229-23 от 29.12.2023 (функции заказчика переданы 02.02.2024г.) на выполнение проектно изыскательских работ для строительства объекта: "Котельная по улице Сибирская и магистральные сети теплоснабжения в городе Когалыме"
-срок выполнения работ 30.10.2024 г.;
-цена контракта 22 602,62 тыс.руб;
-ведется выполнение работ.                                                        Неисполнение сетевого графика из-за нарушения сроков выполнения работ и начатой процедуры расторжения договора.</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</si>
  <si>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
Заключен МК от 25.03.2024 №0187300013724000021  с ИП Шахбазовым Фикрет Таха оглы на выполнение работ, связанных с осуществлением регулярных перевозок на сумму 30 099,182 тыс.руб. Период оказания услуг по МК с 01.04.2024 по 31.12.2024.</t>
    </r>
  </si>
  <si>
    <r>
      <rPr>
        <b/>
        <sz val="12"/>
        <rFont val="Times New Roman"/>
        <family val="1"/>
        <charset val="204"/>
      </rPr>
      <t>МКУ "УКС и ЖКК г.Когалыма":</t>
    </r>
    <r>
      <rPr>
        <sz val="12"/>
        <rFont val="Times New Roman"/>
        <family val="1"/>
        <charset val="204"/>
      </rPr>
      <t xml:space="preserve">
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 
В связи с прекращением работ по ремонту путепровода, пересекающего железнодорожные пути на 93 км ПК 4 + 59 м перегона Когалым - Кумали, заключено соглашение №1 от 06.03.2024 о расторжении МК №5369625 .</t>
    </r>
  </si>
  <si>
    <r>
      <rPr>
        <b/>
        <sz val="12"/>
        <rFont val="Times New Roman"/>
        <family val="1"/>
        <charset val="204"/>
      </rPr>
      <t>МБУ"КСАТ":</t>
    </r>
    <r>
      <rPr>
        <sz val="12"/>
        <rFont val="Times New Roman"/>
        <family val="1"/>
        <charset val="204"/>
      </rPr>
      <t xml:space="preserve">
Отклонение от плана составляет 16 372,02 тыс. руб. в том числе:
1. 7 176,96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2 145,76 тыс. руб.  -неисполнение субсидии по статье начисления на оплату труда возникло в связи с оплатой страховых взносов в апреле 2024 г.
3. 4,48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122,6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304,32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183,18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145,25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4 195,61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1 451,72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43,4 тыс. руб. - неисполнение по статье расходов прочие расходы  оплата налога на имущество будет произведена в феврале, в связи со сдачей декларации в апреле 2024 г  и транспортного налога (согласно декларации)
11. 24,98 тыс. руб. неисполнение по статье расходов  пособий по уходу за ребенком инвалидом, оплата  произведена по факту предоставленных документов
12.  210,85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использования оплаты  санаторно-курортных путевок, а так же в связи с оплатой по факту поставки молока, согласно поданных заявок..
13. 38,38тыс. руб. неисполнение субсидии по статье  расходов на приобретение мягкого инвентаря, оплата будет произведена по факту поставки товара
14. 82,33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242,5 тыс.руб неисполнение по статье расходов на приобретение основных средств, оплата будет произведена по факту поставки товара</t>
    </r>
  </si>
  <si>
    <r>
      <t xml:space="preserve">МБУ "КСАТ":
</t>
    </r>
    <r>
      <rPr>
        <sz val="12"/>
        <rFont val="Times New Roman"/>
        <family val="1"/>
        <charset val="204"/>
      </rPr>
      <t>Неисполнение субсидии по статье арендная плата 321,38 тыс. руб. за пользование имуществом возникло, в связи с тем, что оплата произведена согласно графика платежей.</t>
    </r>
  </si>
  <si>
    <t xml:space="preserve">Финансирование ШКОЛЫ + д.САДЫ.    Экономия плановых ассигнований складывается,из за перечисления средств по заключенным соглашениям и фактической потребности учреждений. </t>
  </si>
  <si>
    <t>Март: Неисполнение плановых ассигнований в сумме 203,2 тыс.руб. Мероприятие будет проводиться в мае 2024 г.Заключен договор на изготовление подарочной продукции. Закупка продукции оплачена, оставшиеся ассигнования будут потрачены в мае,  после проведения мероприятия</t>
  </si>
  <si>
    <r>
      <rPr>
        <b/>
        <sz val="16"/>
        <rFont val="Times New Roman"/>
        <family val="1"/>
        <charset val="204"/>
      </rPr>
      <t>Март:</t>
    </r>
    <r>
      <rPr>
        <sz val="16"/>
        <rFont val="Times New Roman"/>
        <family val="1"/>
        <charset val="204"/>
      </rPr>
      <t xml:space="preserve"> Неисполнение плановых ассигнований в сумме 80,0 тыс.руб. Договор со спикером заключен, мероприятия будут проведены 3 и 4  апреля.</t>
    </r>
  </si>
  <si>
    <t>По результатам электронного аукциона ведется процедура заключения муниципального контракта на выполнение проектно-изыскательных работ для реконструкции объекта "Лыжероллерная трасса" в городе Когалыме.</t>
  </si>
  <si>
    <t>1. Муниципальный контракт №0187300013723000018 от 16.03.2023 на выполнение проектно-изыскательских работ на строительство объекта: "Велосипедная дорожка от комплекса зданий по улице Янтарная, дом 10 до автобусной остановки, расположенной в районе улицы Дружбы народов, 41" на сумму 965,47 тыс. руб., срок окончания выполнения работ 07.08.2023, ведется выполнение работ.
2. Муниципальный контракт №0187300013723000267 от 28.08.2023 на выполнение проектно-изыскательских работ на строительство объекта :"Велосипедная дорожка от БУ "Когалымский политехнический колледж" до Лыжной базы в г.Когалым" на сумму 1 884,23 тыс. руб., срок окончания выполнения работ 30.11.2023, ведется выполнение работ.</t>
  </si>
  <si>
    <t xml:space="preserve">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маляр, токарь, столяр, электрогазосварщик, подсобный рабочий).        </t>
  </si>
  <si>
    <t xml:space="preserve">Неисполнение плановых ассигнований в размере 1 470,5 тыс. рублей по заработной плате и начислениям на выплаты по оплате труда, в связи с наличием вакансий, предоставлением листов нетрудоспособности </t>
  </si>
  <si>
    <t>НЕОБХОДИМО ЗАПОЛНИТЬ</t>
  </si>
  <si>
    <t>Исполнитель: Харченко Ольга Владимировна
тел. 9 36 49</t>
  </si>
  <si>
    <t xml:space="preserve">Перечисление средств происходит по фактической потребности учреждени, согласно предоставленных счетов по организации питания.  </t>
  </si>
  <si>
    <t>В рамках данного мероприятия предусмотрена компенсация затрат, связанных с выплатой заработной платы, налогов и приобретение оборудования для реализации образовательных программ Частный ДС "Академия детства" и АНО "Город детства". Согласно фактически предоставленных документов.</t>
  </si>
  <si>
    <t>бюджет города Когалыма - софинансирование</t>
  </si>
  <si>
    <t xml:space="preserve">Организация отдыха и оздоровления детей.   ОБ оплата питания в пришкольных лагерях, ОБ приобретение путевок,  МБ  - софинансирование питание. Перечисление средств происходит согласно, фактической потребности.
</t>
  </si>
  <si>
    <t>Руководитель</t>
  </si>
  <si>
    <t xml:space="preserve">Исполнитель :
тел. </t>
  </si>
  <si>
    <t xml:space="preserve">Неисполнение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год за фактически отработанное время)
Неисполнение по страхованию жизни и здоровья муниципальных служащих, в результате проведения аукциона в электронной форме.
Неисполнение по командировочным расходам и оплата по проведению курсов повышения квалификации образовалась в связи с переносом проведения мероприятия на второе полугодие 2024г.  Неисполнение сложилось в связи с фактическими расходами на услуги связи.
Текущий ремонт оргтехники производился по фактическим заявкам.
</t>
  </si>
  <si>
    <t>Остаток плановых ассигнований по бюджету автономного округа в сумме 252,13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300 устных и 1 письменное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</si>
  <si>
    <t xml:space="preserve">Остаток плановых ассигнований сcоставил: 249,51 тыс. рублей, в том числе:
1) по местному бюджету - 249,51 тыс. руб. (налоги с заработной платы работников). НДФЛ и страховые взносы будут перечислены в апреле 2024 года (в соответствии со сроками установленными в Налоговом Кодексе РФ).               
 </t>
  </si>
  <si>
    <t xml:space="preserve">Остаток плановых ассигнований сcоставил: 95,86 тыс. руб. в том числе:
1) по местному бюджету - 69,24 тыс. руб. 
-45,15 тыс. руб: оплата труда гражданского персонала (работники приняты не в запланированные даты и отработали не полный месяц) и налоги с заработной платы работников (НДФЛ и страховые взносы будут перечислены в апреле 2024 года (в соответствии со сроками установленными в Налоговом Кодексе РФ));        
- 24,09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- 26,62 тыс. руб.: оплата труда гражданского персонала  (работники приняты не в запланированные даты, отработали не полный месяц) и налоги с заработной платы работников (НДФЛ и страховые взносы будут перечислены в апреле 2024 года (в соответствии со сроками установленными в Налоговом Кодексе РФ)).         </t>
  </si>
  <si>
    <t xml:space="preserve">НЕОБХОДИМО ЗАПОЛНИТЬ </t>
  </si>
  <si>
    <r>
      <t xml:space="preserve">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штате ресурсного центра 5 человек, из них : 2- основных сотрудника (директор и менеджер), 3 - внешних сотрудника – бухгалтер и два специалиста по развитию СО НКО. У трех членов команды опыт в сфере поддержки некоммерческих организаций более трех лет.
Ресурсный центр функционирует на базе "Дома Дружбы" (по адресу пр. Нефтяников 2а), который оснащен всей необходимой мебелью и офисной техникой для полноценной работы и оказания услуг. Предоставляются кабинеты, оборудована коворгинг-зона  для проведения мероприятий.
График работы и вся информация размещена на информационном стенде в здании РЦ и на сайте учреждения https://vk.link/rcnkokgl
            В ходе деятельности  ресурсного центра осуществляются: консультации для НКО по вопросам реализации проектов и участия в мероприятиях (всего по различным направлениям консультаций) -51(январь), 54 (февраль).
- 18.01.2024 специалисты РЦ приняли участие в вебинаре «Правовой команды» на тему «Изменение состава учредителей НКО: новое в процедуре регистрации в 2024 году» Ссылка на публикацию: https://vk.com/wall-203821726_1282;
- 27.01.2024 специалисты РЦ, совместно с ТГКОО «НУР» организовали и приняли участие в лектории «Информация в век информации: национальный аспект»,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Ссылка на пресс-релиз: https://vk.com/wall-203821726_1294
-22.02.2024 Специалисты РЦ организовали и провели открытие Этно-мастерской для молодежи «ЮХ» в Доме Дружбы: Ссылка на пресс-релиз https://vk.com/wall-203821726_1340
-27.02.2024 на базе ресурсного центра прошел День открытых дверей в рамках всемирного дня НКО. Ссылка на пресс-релиз:https://vk.com/wall-203821726_1360
             </t>
    </r>
    <r>
      <rPr>
        <u/>
        <sz val="8"/>
        <rFont val="Times New Roman"/>
        <family val="1"/>
        <charset val="204"/>
      </rPr>
      <t xml:space="preserve">Реализация образовательного проекта "Школа  актива НКО":   - 30.01.2024 </t>
    </r>
    <r>
      <rPr>
        <sz val="8"/>
        <rFont val="Times New Roman"/>
        <family val="1"/>
        <charset val="204"/>
      </rPr>
      <t xml:space="preserve"> в рамках «Проектной мастерской» Фонда «Центр гражданских и социальных инициатив Югры» с участием спикеров Фонда Дмитириевой М.В. и Шипиловой В. : https://vk.com/wall-203821726_1296
             АНО Ресцрсный центр поддержки НКО осуществляется </t>
    </r>
    <r>
      <rPr>
        <u/>
        <sz val="8"/>
        <rFont val="Times New Roman"/>
        <family val="1"/>
        <charset val="204"/>
      </rPr>
      <t>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t>
    </r>
    <r>
      <rPr>
        <sz val="8"/>
        <rFont val="Times New Roman"/>
        <family val="1"/>
        <charset val="204"/>
      </rPr>
      <t>публикаций, сюжетов, интервью и др. Все ссылки на посты в социальных сетях ресурсного центра (https://vk.link/rcnkokgl /https://vk.com/public203821726) и на официальном сайте: https://рцнкокогалыма.рф/  
Всего в отчетном периоде была размещено публикаций на различных площадках:  25 (январь), 37 (февраль).
   За отчетный период  проведены консультации для НКО по вопросам реализации проектов и участия в мероприятиях (март:  15 по телефону, 14 – электронная почта  и мессенджеры). 
       Проведены мероприятия в рамках проекта "Школа актива НКО ": -  30.01.2024 с привлечением специалистов  Фонда «Центр гражданских и социальных инициатив»,- 
07.03.2024 в формате офлайн по ФПГ, с привлечением эксперта А.А.Спасибина. Ссылка на пресс-релиз: https://vk.com/wall-203821726_1375.
- 02.03.2024 на базе ресурсного центра прошел мастер-класс в рамках проекта Гранта Губернатора Югры «Этно-мастерская для молодежи «Юх».                                                                                             - 06.03.2024 Специалисты РЦ ознакомились с памяткой Правовой команды на тему « Что нужно знать о последствиях признания контрагентов НКО иноагентами» . Ссылка на публикацию: https://vk.com/wall-203821726_1377
- 15.03.2024 Специалисты РЦ приняли участие в консультации Правовой команды на тему: «Ввод и вывод учредителей НКО» : Ссылка на публикацию: https://vk.com/wall-203821726_1338                                                                                    -в  рамках рнализации социально значимого проекта «Правовой аудит в НКО Когалыма» 28.03.2024 Специалисты РЦ провели итоговое мероприятие «Единый день самопроверки НКО».Меропритятие прошло при участии  привлеченных спикеров А.А. Спасибина и М.Н.Миронова.                                                                                                                     
         Поведен обучающий семинар на стартовавшие грантовые конкурсы 2024г – Президентский фонд культурных инициатив и Фонд Президентских грантов. Поданы заявки на ПФКИ КГОО ТБНКО «НУР» и АНО «Ермак». Результаты ожидаются. НА ФПГ были поданы заявки от АНО «РЦ НКО Когалыма», МОО «Совет Ветера-нов» и КГОО ТБНКО «НУР». АНО «Ресурсный центр поддержки НКО» одержала победу в конкурсе для ресурсный центров Югры . Общая сумма проекта более 7 млн рублей.</t>
    </r>
  </si>
  <si>
    <t>Лаврентьева А.Н.</t>
  </si>
  <si>
    <t xml:space="preserve">НЕОБХОДИМО ПРОПИСАТЬ ПРИЧИНЫ ОТКЛОНЕНИЙ ПЛАНА НА 1 КВ  ОТ КАССЫ </t>
  </si>
  <si>
    <t>Сложившаяся экономия по заработной плате и начислениям на нее, в связи с наличием больничных листов.</t>
  </si>
  <si>
    <t>Муниципальный контракт на предоставление статистической информации заключен 21.03.2024. В связи с поступлением сборников за март в апреле 2024 года, оплата за них будет осуществлена в апреле 2024 года.</t>
  </si>
  <si>
    <t xml:space="preserve">всего по отклонениям </t>
  </si>
  <si>
    <t>ВСЕГО ОТКЛОНЕНИЯ</t>
  </si>
  <si>
    <t xml:space="preserve">ПРИЧИНЫ ОТКЛОНЕНИЙ 2 160,88 ТЫС. РУБ </t>
  </si>
  <si>
    <t xml:space="preserve">ПРИЧИНЫ ОТКЛОНЕНИЙ  86,3 ТЫС. РУБ </t>
  </si>
  <si>
    <t xml:space="preserve">ПРИЧИНЫ ОТКЛОНЕНИЙ  2900,99 ТЫС. РУБ </t>
  </si>
  <si>
    <t xml:space="preserve">ПРИЧИНЫ ОТКЛОНЕНИЙ  1 513,53 ТЫС. РУБ </t>
  </si>
  <si>
    <t>Отклонение - 5654,855 тыс. руб., в том числе 3315,959 тыс. руб. - заработная плата, 28,504 тыс. руб. - оплата листка нетрудоспособности за счет средств работодателя, 372,105 тыс. руб. - начисление на выплаты по оплате труда,  35,186 тыс. руб. - услуги связи, 8,247 тыс. руб. - экономия по транспортным услугам, 13,588 тыс. руб. - экономия по водопотреблению, 49,631 тыс. руб. - услуги по обращению с ТКО, 65,904 тыс. руб. - уборка снега,  204,852 тыс. руб. - экономия по техническому обслуживанию зданий, 53,752 тыс. руб. - экономия по противопожарному обслуживанию,  12,0 тыс. руб. - экономия по сопровождению УРМ, 0,268 тыс. руб. - услуги охраны, 0,506 тыс. руб. - теплопотребление,  312,662 тыс.  - энергоснабжение; 1028,489 тыс. руб. - налог на землю, 140,436 тыс руб. - содержание объекта благоустройства Набережная реки Ингу-Ягун., 12,766 тыс. руб. - оплата льготного проезда.</t>
  </si>
  <si>
    <t>Отклонение - 683,524 тыс.руб. - в том числе: 114,663 тыс. руб. - командировочные расходы,  17,0 тыс. руб. - экономия, договор на транспортные услуги в рамках новогодних мероприятий не заключался, 17,0 тыс. руб. - документы на оплату транспортных услуг на мер. "Проводы зимы" не предоставлены, 107,560 тыс. руб. - оплата за участие в конкурсах-фестивалях, 2,4 тыс. руб. - приобретение воды в рамках мероприятия "Творческая лаборатория", 102,760 тыс. руб.   - украшения для новогодней ели не приобретались, 1,766 тыс. руб. -  батарейки и бумага для мер. "Творческая лаборатория" не приобретались, мероприятие перенесено с марта на май; 0,375 тыс. руб. - документы на потребление электроэнергии Снежного городка предоставлены на меньшую сумму; 160,0 тыс. руб. - оплата за мастер-классы в рамках мер. "День работника культуры" - по факту оказания услуг, 160,0 тыс.руб. - мастер-классы в рамках мер. "Творческая лаборатория" перенесены на май.</t>
  </si>
  <si>
    <t>Отклонение 90,0 тыс. руб. - оплата за костюмы сценические  - по факту поставки товара</t>
  </si>
  <si>
    <t>Отклонение 1007,475 тыс. руб.,   - оплата за приобретение костюмов сценических (979,950 тыс. руб.), ткани (27,525 тыс. руб.) осуществляется по факту поставки товара.</t>
  </si>
  <si>
    <t>Остаток средств в сумме -1 262,500 т.руб., в т.ч., прочее приобретение, оплата по факту на основании документов на оплату и товарных накладных, средства будут использованы в апреле.</t>
  </si>
  <si>
    <t>Приобретение печатных изданий для комплектования библиотечного фонда 1 133 шт. 447,017т.р. (МБ- 447,017т.р.,ОБ-0,00т.р.ФБ-0,00т.р.)</t>
  </si>
  <si>
    <t>Приобретение товара (диск, пленка для ламинирования, картриджи, канц. товары, грамоты,дипломы для награждения, книги для награждения)</t>
  </si>
  <si>
    <t xml:space="preserve">Отклонение возникло:
-по оплате труда и начисления - 4059,75т.р (большое количество больничных листов,средства будут освоены на очередной отпуск сотрудников в течение 2024г.)                                                -прочие несоц. выплаты персоналу в денежной форме -1,2т.р. (остаток средств будет освоен в течение 2024г.)                                                                                                                                                                                                - услуги связи -3,221т.р. (в учреждении действует режим экономиии на телефонную связь)                                                                                                                                                                                                                                                                                                                                                                                                                                                                                                                                                                                                                                                                                                                                                                                                                                                                           
-по коммунальным услугам -101,244т.р.(фактические показания счетчиков);
-по работам и услугам по содержанию имущества-35,559т.р. (остаток средств по дог.на тех. обслуживание,содержание,тек. ремонт жил. фонда, также на уборку снега будут освоены в течение 2024г.)                                                                                                                                                     - прочие работы, услуги- 235,020т.р. (остаток средств на оплату за обучение,командировочн. расходы, охрану обьекта будет освоен в течение 2024г.р., также остаток по договорам на провед. производств. контроля и спец. оценке труда будут освоены в апреле 2024г.)                                                                                                                                                                                                                                                                                                                                                                                                                                                                                - социальные компенсации персоналу в натуральной форме - 24,5т.р. (остаток средств будет освоен в течение 2024г.)                                                                                                                         -страхование -0,3т.р. (остаток средств будет освоен в течение 2024г.)                                              - социальные пособия и компенсации персоналу в денежной форме - 0,640т.р. (остаток средств будет освоен в апреле 2024г.)                                                                                                                                                                                         - налоги,пошлины и сборы -0,331 т.р. (остаток средств будет освоен в апреле 2024г.)                  -увеличение стоимости основных средств -2,982т.р. (остаток средств будет освоен в апреле 2024г. по факту поставки книжной продукции)                                                                                                                             - увеличение стоимости прочих оборотных запасов  (материалов) -29,550т.р. (остаток средств буде освоен по факту поставки питьевой воды и картриджей в апреле 2024г.)                                                                - прочие несоциальные выплаты персоналу в натуральной форме - 43,231т.р. (остаток средств будет освоен в течение 2024г. на оплату проезда в отпуск и обратно сотрудн.)  </t>
  </si>
  <si>
    <t>Услуги связи интернет) 9,4 т.р.(ОБ-0,00т.р.,МБ-9,4 т.р.)</t>
  </si>
  <si>
    <t>Оказание инфоррмационных услуг (Консультант Плюс) 23,30 т.р. (ОБ-10,80т.р.,МБ-12,50т.р.)</t>
  </si>
  <si>
    <t>Денежные средства запланированные в феврале не освоены в связи с переносом мероприятия на неопределенный срок, согласно письма от Управления Федеральной службы по надзору в сфере защиты прав потребителей и благополучия человека по ХМАО-Югре  от 26.03.2024 №438 "О заболеваемости коревой инфекции в г. Когалыме и дополнительных противоэпидемических мероприятий".</t>
  </si>
  <si>
    <t xml:space="preserve">Остаток денежных средств 928,90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 в  связи с тем, что оплата расходов произведена на основании выставленных счетов-фактур за работы и услуги.                                                                                                                                                                                                                                                                                                                                                                                                                                                                                                                                                                                                                                    </t>
  </si>
  <si>
    <t>Разница фпктических расходов от плановых составляет 328,42 тыс.руб. Расхождение фактических расходов  от плановых сложилось по причине неисолнения по заработной плате и начисленниям по оплате труда, в связи с тем что выплаты денежного поощрения по результам работы за год были выплачены за фактически отработанное время. Кроме того,  по причине досрочной уплаты запланированных на 2024 год страховых взносов в декабре 2023 года.</t>
  </si>
  <si>
    <t>Расхождение фактических расходов  от плановых составляет 630,98 тыс.руб, сложилось по причине неисполнения по заработной платы и начисленниям по оплате труда, в связи с тем, что выплаты денежного поощрения по результам работы за год была выплачены за фактически отработанное время и в связи с наличием листов временной нетрудоспособности. Кроме того,  по причине досрочной уплаты запланированных на 2024 год страховых взносов в декабре 2023 года.</t>
  </si>
  <si>
    <t>Расходжение фактических расходов от плановых составляет 717,07 тыс.руб. сложилось по причине неисполнения по заработной платы и начисленниям по оплате труда, в связи с тем, что выплаты денежного поощрения по результам работы  выплачены за фактически отработанное время. Кроме того,  по причине досрочной уплаты запланированных на 2024 год страховых взносов в декабре 2023 года.</t>
  </si>
  <si>
    <t>Расхождение плановых средст от фактических расходов составляет 196,36 тыс.руб. сложилось ввиду оплаты, согласно счетов по  фактически оказаному объему услуг.</t>
  </si>
  <si>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      В феврале произведена помесячная корректировка планов в связи с потребностью.</t>
  </si>
  <si>
    <t>В феврале запланированны денежные средства на сумму 210,7 тыс.руб., израсходованы денежные средства в размере 17,6 тыс.руб. 
Остаток на текущую дату  в размере 193,1 тыс.руб., из них: 
-на  оплату по договорам ГПХ за февраль в марте месяце в связи с несвоевременным предоставлением табеля рабочего времени;
- мед услуги в связи с фактическими расходами;
-типография  в сязи с не предоставлением платежных документов;
-приобретение канцелярских товаров на стадии заключения договора, выбор поставщика;
-приобретение наградной атрибутики и поощрительных призов для награждения спортсменов согласно фактических расходов</t>
  </si>
  <si>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В феврале запланированы денежные средства на сумму 1130,4 тыс. руб., израсходованы денежные средства в размере 141,2 тыс. руб. 
Остаток на текущую дату в размере 1091,3 тыс. руб., из них: 
-оплата ГПХ за февраль будет произведена в марте 2024г.
- мед. услуги в связи с фактическими расходами.
-на сумму 224,5 заключен договор на приобретение  кубков и дипломов.денежные средства будут освоены в марте.
 В марте запланированы денежные средства на сумму 242,6, тыс. руб., израсходованы денежные средства в размере 295,3 тыс. руб. 
Остаток на текущую дату в размере 1038,6 тыс. руб., из них: 
-оплата ГПХ за март будет произведена в апреле 2024г.
- мед. услуги в связи с фактическими расходами.
</t>
  </si>
  <si>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В марте запланированы денежные средства на сумму 123,7 тыс. руб.
Остаток на текущую дату в размере 118,5 тыс. руб., из них: 
--оплата ГПХ за март будет произведена в апреле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t>
  </si>
  <si>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 В феврале запланированы денежгые средства на сумму 15159,5 тыс.руб., израсходованы денежные средства в размере 13602,3 тыс.руб. Остаток на текущую дату в размере 16489,9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    В марте запланированы денежные средства на сумму 14292,7 тыс. руб., израсходованы денежные средства в размере 13188,3 тыс. руб. Остаток на текущую дату в размере 1104,4тыс.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 охране объектов, в связи с проведением закупочной процедуры ; 
-по налогам и сборам. 
</t>
  </si>
  <si>
    <t>всего отклонения</t>
  </si>
  <si>
    <t xml:space="preserve">ПРИЧИНЫ ОТКЛОНЕНИЙ ПЛАНА ОТ КАССЫ, КАКИЕ РАБОТЫ ВЫПОЛНЕНЫ </t>
  </si>
  <si>
    <t>По стостояниюна 01.04.2024 передано на исполнение НКО финансовые средства в размере 1900 тыс. рублей. Финансовые средства на сумму 1741,1 тыс. руб. будут переданы в апреле месяце (конкурсные процедуры проведены, соглашения находятся на подписи)</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</si>
  <si>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</si>
  <si>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Отклонение сложилось в результате оплаты электрической энергии согласно показания счетчиков по факту</t>
  </si>
  <si>
    <t>Неисполнение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год за фактически отработанное время)</t>
  </si>
  <si>
    <t xml:space="preserve">В марте денежные средства запланированы в сумме 404,8 тыс. руб.,  Договора в стадии согласования. Денежные средства будут освоены в апреле. (Договор  ИП Чурбанов № 24-ДС-62 поставка расходников для картингов.)
</t>
  </si>
  <si>
    <r>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      В феврале денежные средства запланированы в сумме 1685,25 тыс.руб., израсходованно в размере 1103,78 тыс.руб., Остаток денежных средств 1244,4  сформировался согласно фактически предоставленным документам         </t>
    </r>
    <r>
      <rPr>
        <b/>
        <sz val="9"/>
        <color rgb="FFFF0000"/>
        <rFont val="Times New Roman"/>
        <family val="1"/>
        <charset val="204"/>
      </rPr>
      <t xml:space="preserve">  В марте денежные средства запланированы в сумме 1717,44 тыс. руб., израсходовано в размере 1527,65 тыс. руб., Остаток денежных средств 1434,2 сформировался согласно фактически предоставленным документам.  (Договора заключены в феврале. Денежные средства не освоены в связи с задержкой товара поставщиком( спорт инвентаря,гимнастические маты, экипировка и т.д.)  Оконч. опл. за приобретение основных средств МБ(полусфера, турник и др.)согл.сч.270 от 26.02.2024г.,д.24ДС-35 от 28.02.2024г.            ИП Белых Владимир Сергеевич          
   -Част.оплата за приобретение основных средств МБ(гонг, лонжа)согл.сч.196 от 14.02.2024г.,д.24ДС-25 от 14.02.2024г.           ИП Белых Владимир Сергеевич 
        - Окон.оплата за приобретение основных средств МБ(груша, мешок)согл.сч.11 от 22.03.2024г.,д.24ДС-25 от 08.02.2024г.        Индивидуальный предприниматель Чурбанов Александр Иванович  
  - Окон.оплата за приобретение основных средств МБ(мешок бокс. и др.)согл.сч.14 от 22.03.2024г.,д.24ДС-47 от 21.03.2024г.         Индивидуальный предприниматель Чурбанов Александр Иванович    
</t>
    </r>
  </si>
  <si>
    <t>Исполнитель: Смекалин Д.А.
тел. 93-861</t>
  </si>
  <si>
    <t>План на  01.04.2024</t>
  </si>
  <si>
    <t>Кассовый расход на  01.04.2024</t>
  </si>
  <si>
    <t>С.С.Алексеев</t>
  </si>
  <si>
    <t>Исполнитель: Колесник Елена Николаевна
тел.93-736</t>
  </si>
  <si>
    <t>П.1.1.1. Развитие системы выявления, поддержки, сопровождения и стимулирования одаренных детей в различных сферах деятельности (03 01 11,12)</t>
  </si>
  <si>
    <t>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(сады и уо)</t>
  </si>
  <si>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(03 01 59)
</t>
  </si>
  <si>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 (53,54,55)</t>
  </si>
  <si>
    <t>1.3.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</si>
  <si>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ПК.1.1. Реализация инициативного проекта «Книга в движении» (II)</t>
  </si>
  <si>
    <t>П.1.2. Реализация инициативного проекта «Одуванчиковое поле» (II)</t>
  </si>
  <si>
    <t>Остаток средств в сумме 60,040 т.руб.-прочее приобретение,  оплата по факту на основании документов на оплату и товарных накладных, средства будут использованы в мае.</t>
  </si>
  <si>
    <t>Остаток средств в сумме 143,800 т.руб.-приобретение ОС,  оплата по факту на основании документов на оплату и товарных накладных, средства будут использованы в мае.</t>
  </si>
  <si>
    <t>Остаток средств в сумме 5 614,522 т.руб., в т.ч.  остаток по  выплате заработной платы и соц.выплат   - 3 040,674 т.р. , начисл. на зар.плату - 1 428,248 т.руб., оплаты за коммунальные услуги по фактическим расходам и показаниям счетчиков- 226,710 т.р.,оплаты за содержание здания по факту предоставленных документов на оплату от поставщика - 247,260 т.руб., оплата услуг связи - 32,318 т.руб., оплата б/л за счет ср-в работод - 127,858 т.руб.оплаты налога на имущество - 421,919 т.руб.оплата командировочных расходов - 36,335 т.руб., приобретение ОС - 23,200 т.руб., оплата проезда в отпуск и обратно - 30,000 т.руб.</t>
  </si>
  <si>
    <t>Остаток средств в сумме -357,585 т.руб., в т.ч., оплата командировочных расходов -124,585 т.руб.,   приобретение ОС - 18,760 т.руб., прочее приобретение - 10,200 т.руб., сувенирная продукция - 204,040 т.руб. оплата по факту на основании документов на оплату, товарных накладных и акта выполненных работ, средства будут использованы в мае.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</si>
</sst>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 _₽_-;\-* #,##0.00\ _₽_-;_-* &quot;-&quot;??\ _₽_-;_-@_-"/>
    <numFmt numFmtId="165" formatCode="#,##0.0_ ;[Red]\-#,##0.0\ "/>
    <numFmt numFmtId="166" formatCode="#,##0_ ;[Red]\-#,##0\ "/>
    <numFmt numFmtId="167" formatCode="#,##0.000\ _₽"/>
    <numFmt numFmtId="168" formatCode="#,##0.00\ _₽"/>
    <numFmt numFmtId="169" formatCode="#,##0.00_ ;[Red]\-#,##0.00\ "/>
    <numFmt numFmtId="170" formatCode="_(* #,##0.00_);_(* \(#,##0.00\);_(* &quot;-&quot;??_);_(@_)"/>
    <numFmt numFmtId="171" formatCode="#,##0.0"/>
    <numFmt numFmtId="172" formatCode="#,##0.00_р_."/>
    <numFmt numFmtId="173" formatCode="0.0%"/>
    <numFmt numFmtId="174" formatCode="#,##0.00_ ;\-#,##0.00\ "/>
    <numFmt numFmtId="175" formatCode="0.000"/>
    <numFmt numFmtId="176" formatCode="0.0"/>
  </numFmts>
  <fonts count="7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4"/>
      <name val="Times New Roman"/>
      <family val="1"/>
      <charset val="204"/>
    </font>
    <font>
      <sz val="14"/>
      <name val="Times New Roman"/>
      <family val="1"/>
      <charset val="204"/>
    </font>
    <font>
      <sz val="14"/>
      <color rgb="FFFF0000"/>
      <name val="Times New Roman"/>
      <family val="1"/>
      <charset val="204"/>
    </font>
    <font>
      <sz val="10"/>
      <name val="Arial"/>
      <family val="2"/>
      <charset val="204"/>
    </font>
    <font>
      <sz val="14"/>
      <color theme="1"/>
      <name val="Times New Roman"/>
      <family val="1"/>
      <charset val="204"/>
    </font>
    <font>
      <sz val="12"/>
      <name val="Times New Roman"/>
      <family val="1"/>
      <charset val="204"/>
    </font>
    <font>
      <sz val="11"/>
      <color rgb="FFFF0000"/>
      <name val="Calibri"/>
      <family val="2"/>
      <scheme val="minor"/>
    </font>
    <font>
      <sz val="11"/>
      <name val="Calibri"/>
      <family val="2"/>
      <scheme val="minor"/>
    </font>
    <font>
      <b/>
      <sz val="14"/>
      <color rgb="FFFF0000"/>
      <name val="Times New Roman"/>
      <family val="1"/>
      <charset val="204"/>
    </font>
    <font>
      <sz val="9"/>
      <color indexed="81"/>
      <name val="Tahoma"/>
      <family val="2"/>
      <charset val="204"/>
    </font>
    <font>
      <b/>
      <sz val="9"/>
      <color indexed="81"/>
      <name val="Tahoma"/>
      <family val="2"/>
      <charset val="204"/>
    </font>
    <font>
      <i/>
      <sz val="14"/>
      <name val="Times New Roman"/>
      <family val="1"/>
      <charset val="204"/>
    </font>
    <font>
      <b/>
      <sz val="11"/>
      <color theme="1"/>
      <name val="Calibri"/>
      <family val="2"/>
      <charset val="204"/>
      <scheme val="minor"/>
    </font>
    <font>
      <b/>
      <sz val="14"/>
      <color theme="1"/>
      <name val="Times New Roman"/>
      <family val="1"/>
      <charset val="204"/>
    </font>
    <font>
      <sz val="18"/>
      <name val="Times New Roman"/>
      <family val="1"/>
      <charset val="204"/>
    </font>
    <font>
      <b/>
      <sz val="16"/>
      <name val="Times New Roman"/>
      <family val="1"/>
      <charset val="204"/>
    </font>
    <font>
      <sz val="16"/>
      <name val="Times New Roman"/>
      <family val="1"/>
      <charset val="204"/>
    </font>
    <font>
      <b/>
      <sz val="9"/>
      <name val="Times New Roman"/>
      <family val="1"/>
      <charset val="204"/>
    </font>
    <font>
      <b/>
      <sz val="13"/>
      <name val="Times New Roman"/>
      <family val="1"/>
      <charset val="204"/>
    </font>
    <font>
      <b/>
      <sz val="11"/>
      <name val="Calibri"/>
      <family val="2"/>
      <scheme val="minor"/>
    </font>
    <font>
      <sz val="13"/>
      <name val="Times New Roman"/>
      <family val="1"/>
      <charset val="204"/>
    </font>
    <font>
      <sz val="9"/>
      <name val="Times New Roman"/>
      <family val="1"/>
      <charset val="204"/>
    </font>
    <font>
      <b/>
      <sz val="12"/>
      <name val="Times New Roman"/>
      <family val="1"/>
      <charset val="204"/>
    </font>
    <font>
      <b/>
      <sz val="8"/>
      <name val="Times New Roman"/>
      <family val="1"/>
      <charset val="204"/>
    </font>
    <font>
      <sz val="12"/>
      <color rgb="FFFF0000"/>
      <name val="Times New Roman"/>
      <family val="1"/>
      <charset val="204"/>
    </font>
    <font>
      <sz val="16"/>
      <color rgb="FFFF0000"/>
      <name val="Times New Roman"/>
      <family val="1"/>
      <charset val="204"/>
    </font>
    <font>
      <b/>
      <sz val="16"/>
      <color rgb="FFFF0000"/>
      <name val="Times New Roman"/>
      <family val="1"/>
      <charset val="204"/>
    </font>
    <font>
      <b/>
      <sz val="20"/>
      <name val="Times New Roman"/>
      <family val="1"/>
      <charset val="204"/>
    </font>
    <font>
      <b/>
      <sz val="18"/>
      <name val="Times New Roman"/>
      <family val="1"/>
      <charset val="204"/>
    </font>
    <font>
      <sz val="11"/>
      <name val="Times New Roman"/>
      <family val="1"/>
      <charset val="204"/>
    </font>
    <font>
      <sz val="10"/>
      <name val="Times New Roman"/>
      <family val="1"/>
      <charset val="204"/>
    </font>
    <font>
      <sz val="13"/>
      <color rgb="FFFF0000"/>
      <name val="Times New Roman"/>
      <family val="1"/>
      <charset val="204"/>
    </font>
    <font>
      <b/>
      <sz val="12"/>
      <color indexed="8"/>
      <name val="Times New Roman"/>
      <family val="1"/>
      <charset val="204"/>
    </font>
    <font>
      <sz val="12"/>
      <color indexed="8"/>
      <name val="Times New Roman"/>
      <family val="1"/>
      <charset val="204"/>
    </font>
    <font>
      <sz val="12"/>
      <color theme="1"/>
      <name val="Times New Roman"/>
      <family val="1"/>
      <charset val="204"/>
    </font>
    <font>
      <b/>
      <sz val="12"/>
      <color rgb="FFFF0000"/>
      <name val="Times New Roman"/>
      <family val="1"/>
      <charset val="204"/>
    </font>
    <font>
      <sz val="12"/>
      <color rgb="FFFF0000"/>
      <name val="Calibri"/>
      <family val="2"/>
      <charset val="204"/>
      <scheme val="minor"/>
    </font>
    <font>
      <b/>
      <sz val="12"/>
      <color rgb="FFFF0000"/>
      <name val="Calibri"/>
      <family val="2"/>
      <charset val="204"/>
      <scheme val="minor"/>
    </font>
    <font>
      <sz val="12"/>
      <color theme="1"/>
      <name val="Calibri"/>
      <family val="2"/>
      <charset val="204"/>
      <scheme val="minor"/>
    </font>
    <font>
      <sz val="12"/>
      <name val="Calibri"/>
      <family val="2"/>
      <charset val="204"/>
      <scheme val="minor"/>
    </font>
    <font>
      <i/>
      <sz val="12"/>
      <name val="Times New Roman"/>
      <family val="1"/>
      <charset val="204"/>
    </font>
    <font>
      <sz val="11"/>
      <name val="Calibri"/>
      <family val="2"/>
      <charset val="204"/>
      <scheme val="minor"/>
    </font>
    <font>
      <u/>
      <sz val="11"/>
      <color theme="10"/>
      <name val="Calibri"/>
      <family val="2"/>
      <scheme val="minor"/>
    </font>
    <font>
      <u/>
      <sz val="14"/>
      <name val="Times New Roman"/>
      <family val="1"/>
      <charset val="204"/>
    </font>
    <font>
      <sz val="12"/>
      <color theme="0"/>
      <name val="Times New Roman"/>
      <family val="1"/>
      <charset val="204"/>
    </font>
    <font>
      <sz val="8"/>
      <name val="Times New Roman"/>
      <family val="1"/>
      <charset val="204"/>
    </font>
    <font>
      <sz val="13"/>
      <color theme="1"/>
      <name val="Times New Roman"/>
      <family val="1"/>
      <charset val="204"/>
    </font>
    <font>
      <sz val="16"/>
      <color rgb="FFFF0000"/>
      <name val="Calibri"/>
      <family val="2"/>
      <scheme val="minor"/>
    </font>
    <font>
      <b/>
      <sz val="16"/>
      <color rgb="FFFF0000"/>
      <name val="Calibri"/>
      <family val="2"/>
      <charset val="204"/>
      <scheme val="minor"/>
    </font>
    <font>
      <sz val="11"/>
      <color theme="1"/>
      <name val="Times New Roman"/>
      <family val="1"/>
      <charset val="204"/>
    </font>
    <font>
      <sz val="8"/>
      <color theme="1"/>
      <name val="Times New Roman"/>
      <family val="1"/>
      <charset val="204"/>
    </font>
    <font>
      <sz val="14"/>
      <color theme="1"/>
      <name val="Times New Roman"/>
      <family val="1"/>
      <charset val="204"/>
    </font>
    <font>
      <u/>
      <sz val="8"/>
      <name val="Times New Roman"/>
      <family val="1"/>
      <charset val="204"/>
    </font>
    <font>
      <b/>
      <sz val="14"/>
      <color rgb="FF7030A0"/>
      <name val="Times New Roman"/>
      <family val="1"/>
      <charset val="204"/>
    </font>
    <font>
      <sz val="14"/>
      <color theme="1"/>
      <name val="Calibri"/>
      <family val="2"/>
      <scheme val="minor"/>
    </font>
    <font>
      <sz val="13"/>
      <name val="Times New Roman"/>
      <family val="1"/>
      <charset val="204"/>
    </font>
    <font>
      <sz val="8"/>
      <color theme="1"/>
      <name val="Times New Roman"/>
      <family val="1"/>
      <charset val="204"/>
    </font>
    <font>
      <sz val="14"/>
      <color rgb="FFC00000"/>
      <name val="Times New Roman"/>
      <family val="1"/>
      <charset val="204"/>
    </font>
    <font>
      <b/>
      <sz val="14"/>
      <color rgb="FFC00000"/>
      <name val="Times New Roman"/>
      <family val="1"/>
      <charset val="204"/>
    </font>
    <font>
      <b/>
      <sz val="12"/>
      <color rgb="FFC00000"/>
      <name val="Times New Roman"/>
      <family val="1"/>
      <charset val="204"/>
    </font>
    <font>
      <b/>
      <sz val="14"/>
      <color rgb="FFFF0000"/>
      <name val="Calibri"/>
      <family val="2"/>
      <charset val="204"/>
      <scheme val="minor"/>
    </font>
    <font>
      <sz val="18"/>
      <color theme="1"/>
      <name val="Calibri"/>
      <family val="2"/>
      <scheme val="minor"/>
    </font>
    <font>
      <sz val="16"/>
      <color theme="1"/>
      <name val="Calibri"/>
      <family val="2"/>
      <charset val="204"/>
      <scheme val="minor"/>
    </font>
    <font>
      <sz val="14"/>
      <name val="Calibri"/>
      <family val="2"/>
      <charset val="204"/>
      <scheme val="minor"/>
    </font>
    <font>
      <sz val="12"/>
      <color theme="1"/>
      <name val="Calibri"/>
      <family val="2"/>
      <scheme val="minor"/>
    </font>
    <font>
      <sz val="9"/>
      <color theme="1"/>
      <name val="Times New Roman"/>
      <family val="1"/>
      <charset val="204"/>
    </font>
    <font>
      <sz val="18"/>
      <color theme="1"/>
      <name val="Times New Roman"/>
      <family val="1"/>
      <charset val="204"/>
    </font>
    <font>
      <b/>
      <sz val="9"/>
      <color rgb="FFFF0000"/>
      <name val="Times New Roman"/>
      <family val="1"/>
      <charset val="204"/>
    </font>
    <font>
      <b/>
      <sz val="15"/>
      <color rgb="FF7030A0"/>
      <name val="Times New Roman"/>
      <family val="1"/>
      <charset val="204"/>
    </font>
    <font>
      <b/>
      <sz val="15"/>
      <color rgb="FF7030A0"/>
      <name val="Calibri"/>
      <family val="2"/>
      <scheme val="minor"/>
    </font>
    <font>
      <sz val="14"/>
      <name val="Times New Roman"/>
      <family val="1"/>
      <charset val="204"/>
    </font>
    <font>
      <sz val="11"/>
      <color theme="1"/>
      <name val="Times New Roman"/>
      <family val="1"/>
      <charset val="204"/>
    </font>
  </fonts>
  <fills count="2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ABF3CC"/>
        <bgColor indexed="64"/>
      </patternFill>
    </fill>
    <fill>
      <patternFill patternType="solid">
        <fgColor rgb="FF66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6CF4C0"/>
        <bgColor indexed="64"/>
      </patternFill>
    </fill>
    <fill>
      <patternFill patternType="solid">
        <fgColor rgb="FF6CF8CD"/>
        <bgColor indexed="64"/>
      </patternFill>
    </fill>
    <fill>
      <patternFill patternType="solid">
        <fgColor rgb="FFFFC000"/>
        <bgColor indexed="64"/>
      </patternFill>
    </fill>
    <fill>
      <patternFill patternType="solid">
        <fgColor rgb="FFFBFBFB"/>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s>
  <cellStyleXfs count="36">
    <xf numFmtId="0" fontId="0" fillId="0" borderId="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9" fillId="0" borderId="0"/>
    <xf numFmtId="164" fontId="9" fillId="0" borderId="0" applyFont="0" applyFill="0" applyBorder="0" applyAlignment="0" applyProtection="0"/>
    <xf numFmtId="0" fontId="4" fillId="0" borderId="0"/>
    <xf numFmtId="0" fontId="9" fillId="0" borderId="0"/>
    <xf numFmtId="164" fontId="5" fillId="0" borderId="0" applyFont="0" applyFill="0" applyBorder="0" applyAlignment="0" applyProtection="0"/>
    <xf numFmtId="0" fontId="4" fillId="0" borderId="0"/>
    <xf numFmtId="0" fontId="9" fillId="0" borderId="0"/>
    <xf numFmtId="0" fontId="9" fillId="0" borderId="0"/>
    <xf numFmtId="0" fontId="9" fillId="0" borderId="0"/>
    <xf numFmtId="0" fontId="4" fillId="0" borderId="0"/>
    <xf numFmtId="0" fontId="9" fillId="0" borderId="0"/>
    <xf numFmtId="0" fontId="4" fillId="0" borderId="0"/>
    <xf numFmtId="0" fontId="4" fillId="0" borderId="0"/>
    <xf numFmtId="0" fontId="4" fillId="0" borderId="0"/>
    <xf numFmtId="9" fontId="9" fillId="0" borderId="0" applyFont="0" applyFill="0" applyBorder="0" applyAlignment="0" applyProtection="0"/>
    <xf numFmtId="164" fontId="9" fillId="0" borderId="0" applyFont="0" applyFill="0" applyBorder="0" applyAlignment="0" applyProtection="0"/>
    <xf numFmtId="0" fontId="3" fillId="0" borderId="0"/>
    <xf numFmtId="170" fontId="9" fillId="0" borderId="0" applyFont="0" applyFill="0" applyBorder="0" applyAlignment="0" applyProtection="0"/>
    <xf numFmtId="0" fontId="3" fillId="0" borderId="0"/>
    <xf numFmtId="0" fontId="3" fillId="0" borderId="0"/>
    <xf numFmtId="0" fontId="48" fillId="0" borderId="0" applyNumberFormat="0" applyFill="0" applyBorder="0" applyAlignment="0" applyProtection="0"/>
    <xf numFmtId="0" fontId="9" fillId="0" borderId="0"/>
    <xf numFmtId="0" fontId="2" fillId="0" borderId="0"/>
    <xf numFmtId="164" fontId="2"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089">
    <xf numFmtId="0" fontId="0" fillId="0" borderId="0" xfId="0"/>
    <xf numFmtId="165" fontId="7" fillId="0" borderId="1" xfId="0" applyNumberFormat="1" applyFont="1" applyBorder="1" applyAlignment="1">
      <alignment horizontal="right" vertical="center" wrapText="1"/>
    </xf>
    <xf numFmtId="166" fontId="7" fillId="0" borderId="9" xfId="0" applyNumberFormat="1" applyFont="1" applyBorder="1" applyAlignment="1">
      <alignment horizontal="center" vertical="top" wrapText="1"/>
    </xf>
    <xf numFmtId="0" fontId="6" fillId="0" borderId="9" xfId="0" applyFont="1" applyBorder="1" applyAlignment="1">
      <alignment horizontal="center" vertical="center" wrapText="1"/>
    </xf>
    <xf numFmtId="14"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7" fillId="0" borderId="9" xfId="0" applyFont="1" applyBorder="1" applyAlignment="1">
      <alignment horizontal="left" wrapText="1"/>
    </xf>
    <xf numFmtId="0" fontId="7" fillId="0" borderId="9" xfId="0" applyFont="1" applyBorder="1" applyAlignment="1">
      <alignment horizontal="left" vertical="center" wrapText="1"/>
    </xf>
    <xf numFmtId="0" fontId="7" fillId="0" borderId="0" xfId="0" applyFont="1" applyAlignment="1">
      <alignment wrapText="1"/>
    </xf>
    <xf numFmtId="0" fontId="13" fillId="0" borderId="0" xfId="0" applyFont="1"/>
    <xf numFmtId="0" fontId="6" fillId="0" borderId="9" xfId="0" applyFont="1" applyBorder="1" applyAlignment="1">
      <alignment horizontal="left" wrapText="1"/>
    </xf>
    <xf numFmtId="0" fontId="6" fillId="0" borderId="9" xfId="4" applyFont="1" applyBorder="1" applyAlignment="1">
      <alignment horizontal="justify" wrapText="1"/>
    </xf>
    <xf numFmtId="0" fontId="7" fillId="0" borderId="9" xfId="4" applyFont="1" applyBorder="1" applyAlignment="1">
      <alignment horizontal="justify" wrapText="1"/>
    </xf>
    <xf numFmtId="0" fontId="7" fillId="0" borderId="9" xfId="4" applyFont="1" applyBorder="1" applyAlignment="1">
      <alignment horizontal="left" wrapText="1"/>
    </xf>
    <xf numFmtId="0" fontId="7" fillId="0" borderId="9" xfId="4" applyFont="1" applyBorder="1" applyAlignment="1">
      <alignment horizontal="left" vertical="top" wrapText="1"/>
    </xf>
    <xf numFmtId="0" fontId="7" fillId="0" borderId="0" xfId="0" applyFont="1" applyAlignment="1">
      <alignment horizontal="left" wrapText="1"/>
    </xf>
    <xf numFmtId="4" fontId="7" fillId="0" borderId="9" xfId="4" applyNumberFormat="1" applyFont="1" applyBorder="1" applyAlignment="1">
      <alignment horizontal="left" wrapText="1"/>
    </xf>
    <xf numFmtId="0" fontId="6" fillId="0" borderId="9" xfId="4" applyFont="1" applyBorder="1" applyAlignment="1">
      <alignment horizontal="justify" vertical="top" wrapText="1"/>
    </xf>
    <xf numFmtId="0" fontId="6" fillId="0" borderId="9" xfId="4" applyFont="1" applyBorder="1" applyAlignment="1">
      <alignment horizontal="left" vertical="top" wrapText="1"/>
    </xf>
    <xf numFmtId="0" fontId="11" fillId="0" borderId="0" xfId="0" applyFont="1" applyAlignment="1">
      <alignment horizontal="center" vertical="top" wrapText="1"/>
    </xf>
    <xf numFmtId="166" fontId="7" fillId="0" borderId="9" xfId="0" applyNumberFormat="1" applyFont="1" applyBorder="1" applyAlignment="1">
      <alignment vertical="center" wrapText="1"/>
    </xf>
    <xf numFmtId="0" fontId="11" fillId="0" borderId="0" xfId="0" applyFont="1" applyAlignment="1">
      <alignment vertical="top" wrapText="1"/>
    </xf>
    <xf numFmtId="0" fontId="7" fillId="0" borderId="0" xfId="0" applyFont="1" applyAlignment="1">
      <alignment horizontal="center" wrapText="1"/>
    </xf>
    <xf numFmtId="0" fontId="6" fillId="0" borderId="8" xfId="0" applyFont="1" applyBorder="1" applyAlignment="1">
      <alignment horizontal="left" vertical="center" wrapText="1"/>
    </xf>
    <xf numFmtId="0" fontId="7" fillId="0" borderId="0" xfId="0" applyFont="1" applyAlignment="1">
      <alignment horizontal="left" vertical="top" wrapText="1"/>
    </xf>
    <xf numFmtId="0" fontId="7" fillId="0" borderId="1" xfId="0" applyFont="1" applyBorder="1" applyAlignment="1">
      <alignment horizontal="center" wrapText="1"/>
    </xf>
    <xf numFmtId="0" fontId="0" fillId="0" borderId="9" xfId="0" applyBorder="1"/>
    <xf numFmtId="0" fontId="7" fillId="2" borderId="9" xfId="0" applyFont="1" applyFill="1" applyBorder="1" applyAlignment="1">
      <alignment horizontal="left" wrapText="1"/>
    </xf>
    <xf numFmtId="0" fontId="10" fillId="0" borderId="9" xfId="0" applyFont="1" applyBorder="1"/>
    <xf numFmtId="164" fontId="7" fillId="0" borderId="9" xfId="1" applyFont="1" applyFill="1" applyBorder="1" applyAlignment="1">
      <alignment vertical="center" wrapText="1"/>
    </xf>
    <xf numFmtId="164" fontId="10" fillId="0" borderId="9" xfId="1" applyFont="1" applyBorder="1"/>
    <xf numFmtId="164" fontId="10" fillId="0" borderId="9" xfId="1" applyFont="1" applyFill="1" applyBorder="1"/>
    <xf numFmtId="0" fontId="10" fillId="0" borderId="0" xfId="0" applyFont="1"/>
    <xf numFmtId="166" fontId="7" fillId="2" borderId="10" xfId="0" applyNumberFormat="1" applyFont="1" applyFill="1" applyBorder="1" applyAlignment="1">
      <alignment vertical="center" wrapText="1"/>
    </xf>
    <xf numFmtId="164" fontId="8" fillId="0" borderId="9" xfId="1" applyFont="1" applyFill="1" applyBorder="1"/>
    <xf numFmtId="166" fontId="7" fillId="0" borderId="10" xfId="0" applyNumberFormat="1" applyFont="1" applyBorder="1" applyAlignment="1">
      <alignment horizontal="left" vertical="center" wrapText="1"/>
    </xf>
    <xf numFmtId="0" fontId="6" fillId="0" borderId="9" xfId="0" applyFont="1" applyBorder="1" applyAlignment="1">
      <alignment horizontal="left" vertical="center" wrapText="1"/>
    </xf>
    <xf numFmtId="0" fontId="6" fillId="0" borderId="11" xfId="4" applyFont="1" applyBorder="1" applyAlignment="1">
      <alignment horizontal="left"/>
    </xf>
    <xf numFmtId="164" fontId="10" fillId="0" borderId="11" xfId="1" applyFont="1" applyFill="1" applyBorder="1" applyAlignment="1">
      <alignment horizontal="left"/>
    </xf>
    <xf numFmtId="164" fontId="10" fillId="0" borderId="12" xfId="1" applyFont="1" applyFill="1" applyBorder="1" applyAlignment="1">
      <alignment horizontal="left"/>
    </xf>
    <xf numFmtId="164" fontId="10" fillId="0" borderId="9" xfId="0" applyNumberFormat="1" applyFont="1" applyBorder="1"/>
    <xf numFmtId="0" fontId="6" fillId="3" borderId="10" xfId="4" applyFont="1" applyFill="1" applyBorder="1" applyAlignment="1">
      <alignment horizontal="left"/>
    </xf>
    <xf numFmtId="0" fontId="6" fillId="3" borderId="9" xfId="4" applyFont="1" applyFill="1" applyBorder="1" applyAlignment="1">
      <alignment vertical="center"/>
    </xf>
    <xf numFmtId="0" fontId="7" fillId="0" borderId="0" xfId="0" applyFont="1" applyAlignment="1">
      <alignment horizontal="left" vertical="center" wrapText="1"/>
    </xf>
    <xf numFmtId="164" fontId="10" fillId="0" borderId="9" xfId="1" applyFont="1" applyFill="1" applyBorder="1" applyAlignment="1"/>
    <xf numFmtId="0" fontId="0" fillId="4" borderId="0" xfId="0" applyFill="1"/>
    <xf numFmtId="164" fontId="7" fillId="0" borderId="9" xfId="1" applyFont="1" applyFill="1" applyBorder="1"/>
    <xf numFmtId="0" fontId="7" fillId="2" borderId="9" xfId="4" applyFont="1" applyFill="1" applyBorder="1" applyAlignment="1">
      <alignment horizontal="justify" wrapText="1"/>
    </xf>
    <xf numFmtId="166" fontId="7" fillId="2" borderId="9" xfId="0" applyNumberFormat="1" applyFont="1" applyFill="1" applyBorder="1" applyAlignment="1">
      <alignment horizontal="center" vertical="center" wrapText="1"/>
    </xf>
    <xf numFmtId="0" fontId="7" fillId="2" borderId="9" xfId="4" applyFont="1" applyFill="1" applyBorder="1" applyAlignment="1">
      <alignment horizontal="left" vertical="top" wrapText="1"/>
    </xf>
    <xf numFmtId="0" fontId="7" fillId="2" borderId="9" xfId="4" applyFont="1" applyFill="1" applyBorder="1" applyAlignment="1">
      <alignment wrapText="1"/>
    </xf>
    <xf numFmtId="0" fontId="7" fillId="0" borderId="9" xfId="4" applyFont="1" applyBorder="1" applyAlignment="1">
      <alignment horizontal="left" vertical="center" wrapText="1"/>
    </xf>
    <xf numFmtId="0" fontId="8" fillId="0" borderId="9" xfId="0" applyFont="1" applyBorder="1"/>
    <xf numFmtId="0" fontId="6" fillId="3" borderId="9" xfId="4" applyFont="1" applyFill="1" applyBorder="1" applyAlignment="1">
      <alignment horizontal="left" wrapText="1"/>
    </xf>
    <xf numFmtId="0" fontId="7" fillId="2" borderId="9" xfId="4" applyFont="1" applyFill="1" applyBorder="1" applyAlignment="1">
      <alignment horizontal="left" vertical="center" wrapText="1"/>
    </xf>
    <xf numFmtId="0" fontId="6" fillId="5" borderId="9" xfId="4" applyFont="1" applyFill="1" applyBorder="1" applyAlignment="1">
      <alignment horizontal="left" vertical="top" wrapText="1"/>
    </xf>
    <xf numFmtId="0" fontId="6" fillId="2" borderId="9" xfId="4" applyFont="1" applyFill="1" applyBorder="1" applyAlignment="1">
      <alignment horizontal="left" vertical="top" wrapText="1"/>
    </xf>
    <xf numFmtId="164" fontId="7" fillId="0" borderId="9" xfId="0" applyNumberFormat="1" applyFont="1" applyBorder="1"/>
    <xf numFmtId="0" fontId="14" fillId="0" borderId="8" xfId="0" applyFont="1" applyBorder="1" applyAlignment="1">
      <alignment horizontal="left" vertical="center" wrapText="1"/>
    </xf>
    <xf numFmtId="0" fontId="8" fillId="2" borderId="9" xfId="4" applyFont="1" applyFill="1" applyBorder="1" applyAlignment="1">
      <alignment horizontal="left" vertical="center" wrapText="1"/>
    </xf>
    <xf numFmtId="0" fontId="8" fillId="0" borderId="0" xfId="0" applyFont="1"/>
    <xf numFmtId="0" fontId="12" fillId="0" borderId="0" xfId="0" applyFont="1"/>
    <xf numFmtId="166" fontId="8" fillId="2" borderId="9" xfId="0" applyNumberFormat="1" applyFont="1" applyFill="1" applyBorder="1" applyAlignment="1">
      <alignment horizontal="left" vertical="center" wrapText="1"/>
    </xf>
    <xf numFmtId="166" fontId="7" fillId="0" borderId="9" xfId="0" applyNumberFormat="1" applyFont="1" applyBorder="1" applyAlignment="1">
      <alignment horizontal="left" vertical="center" wrapText="1"/>
    </xf>
    <xf numFmtId="164" fontId="10" fillId="0" borderId="0" xfId="1" applyFont="1" applyFill="1"/>
    <xf numFmtId="166" fontId="7" fillId="2" borderId="9" xfId="0" applyNumberFormat="1" applyFont="1" applyFill="1" applyBorder="1" applyAlignment="1">
      <alignment horizontal="left" vertical="center" wrapText="1"/>
    </xf>
    <xf numFmtId="0" fontId="6" fillId="2" borderId="9" xfId="0" applyFont="1" applyFill="1" applyBorder="1" applyAlignment="1">
      <alignment horizontal="left" wrapText="1"/>
    </xf>
    <xf numFmtId="0" fontId="7" fillId="6" borderId="9" xfId="4" applyFont="1" applyFill="1" applyBorder="1" applyAlignment="1">
      <alignment horizontal="left" vertical="top" wrapText="1"/>
    </xf>
    <xf numFmtId="0" fontId="7" fillId="6" borderId="9" xfId="4" applyFont="1" applyFill="1" applyBorder="1" applyAlignment="1">
      <alignment wrapText="1"/>
    </xf>
    <xf numFmtId="4" fontId="7" fillId="2" borderId="9" xfId="4" applyNumberFormat="1" applyFont="1" applyFill="1" applyBorder="1" applyAlignment="1">
      <alignment horizontal="left" wrapText="1"/>
    </xf>
    <xf numFmtId="164" fontId="0" fillId="0" borderId="0" xfId="0" applyNumberFormat="1"/>
    <xf numFmtId="0" fontId="7" fillId="0" borderId="9" xfId="4" applyFont="1" applyBorder="1" applyAlignment="1">
      <alignment wrapText="1"/>
    </xf>
    <xf numFmtId="4" fontId="17" fillId="0" borderId="9" xfId="4" applyNumberFormat="1" applyFont="1" applyBorder="1" applyAlignment="1">
      <alignment horizontal="left" wrapText="1"/>
    </xf>
    <xf numFmtId="0" fontId="17" fillId="0" borderId="0" xfId="0" applyFont="1" applyAlignment="1">
      <alignment wrapText="1"/>
    </xf>
    <xf numFmtId="0" fontId="17" fillId="0" borderId="9" xfId="0" applyFont="1" applyBorder="1" applyAlignment="1">
      <alignment wrapText="1"/>
    </xf>
    <xf numFmtId="164" fontId="12" fillId="0" borderId="0" xfId="0" applyNumberFormat="1" applyFont="1"/>
    <xf numFmtId="4" fontId="7" fillId="0" borderId="9" xfId="4" applyNumberFormat="1" applyFont="1" applyBorder="1" applyAlignment="1">
      <alignment horizontal="left" vertical="top" wrapText="1"/>
    </xf>
    <xf numFmtId="4" fontId="7" fillId="2" borderId="9" xfId="4" applyNumberFormat="1" applyFont="1" applyFill="1" applyBorder="1" applyAlignment="1">
      <alignment horizontal="left" vertical="top" wrapText="1"/>
    </xf>
    <xf numFmtId="0" fontId="6" fillId="0" borderId="8" xfId="0" applyFont="1" applyBorder="1" applyAlignment="1">
      <alignment horizontal="left" vertical="top" wrapText="1"/>
    </xf>
    <xf numFmtId="166" fontId="7" fillId="2" borderId="9" xfId="0" applyNumberFormat="1" applyFont="1" applyFill="1" applyBorder="1" applyAlignment="1">
      <alignment horizontal="left" vertical="top" wrapText="1"/>
    </xf>
    <xf numFmtId="166" fontId="7" fillId="0" borderId="9" xfId="0" applyNumberFormat="1" applyFont="1" applyBorder="1" applyAlignment="1">
      <alignment horizontal="left" vertical="top" wrapText="1"/>
    </xf>
    <xf numFmtId="0" fontId="7" fillId="0" borderId="9" xfId="4" applyFont="1" applyBorder="1" applyAlignment="1">
      <alignment horizontal="justify" vertical="top" wrapText="1"/>
    </xf>
    <xf numFmtId="0" fontId="7" fillId="2" borderId="9" xfId="4" applyFont="1" applyFill="1" applyBorder="1" applyAlignment="1">
      <alignment horizontal="justify" vertical="top" wrapText="1"/>
    </xf>
    <xf numFmtId="4" fontId="17" fillId="0" borderId="9" xfId="4" applyNumberFormat="1" applyFont="1" applyBorder="1" applyAlignment="1">
      <alignment horizontal="left" vertical="top" wrapText="1"/>
    </xf>
    <xf numFmtId="0" fontId="7" fillId="2" borderId="9" xfId="4" applyFont="1" applyFill="1" applyBorder="1" applyAlignment="1">
      <alignment vertical="top" wrapText="1"/>
    </xf>
    <xf numFmtId="0" fontId="7" fillId="0" borderId="9" xfId="4" applyFont="1" applyBorder="1" applyAlignment="1">
      <alignment vertical="top" wrapText="1"/>
    </xf>
    <xf numFmtId="0" fontId="7" fillId="2" borderId="9" xfId="0" applyFont="1" applyFill="1" applyBorder="1" applyAlignment="1">
      <alignment horizontal="left" vertical="top" wrapText="1"/>
    </xf>
    <xf numFmtId="0" fontId="7" fillId="0" borderId="9" xfId="0" applyFont="1" applyBorder="1" applyAlignment="1">
      <alignment horizontal="left" vertical="top" wrapText="1"/>
    </xf>
    <xf numFmtId="0" fontId="12" fillId="0" borderId="0" xfId="0" applyFont="1" applyAlignment="1">
      <alignment vertical="top"/>
    </xf>
    <xf numFmtId="0" fontId="7" fillId="0" borderId="9" xfId="0" applyFont="1" applyBorder="1"/>
    <xf numFmtId="0" fontId="6" fillId="3" borderId="9" xfId="4" applyFont="1" applyFill="1" applyBorder="1" applyAlignment="1">
      <alignment horizontal="left" vertical="top" wrapText="1"/>
    </xf>
    <xf numFmtId="0" fontId="17" fillId="0" borderId="0" xfId="0" applyFont="1" applyAlignment="1">
      <alignment vertical="top" wrapText="1"/>
    </xf>
    <xf numFmtId="0" fontId="17" fillId="0" borderId="9" xfId="0" applyFont="1" applyBorder="1" applyAlignment="1">
      <alignment vertical="top" wrapText="1"/>
    </xf>
    <xf numFmtId="0" fontId="13" fillId="0" borderId="9" xfId="0" applyFont="1" applyBorder="1"/>
    <xf numFmtId="165" fontId="6" fillId="0" borderId="9" xfId="0" applyNumberFormat="1" applyFont="1" applyBorder="1" applyAlignment="1">
      <alignment horizontal="center" vertical="center" wrapText="1"/>
    </xf>
    <xf numFmtId="165" fontId="7" fillId="0" borderId="9" xfId="0" applyNumberFormat="1" applyFont="1" applyBorder="1" applyAlignment="1">
      <alignment horizontal="center" vertical="center" wrapText="1"/>
    </xf>
    <xf numFmtId="0" fontId="19" fillId="0" borderId="0" xfId="0" applyFont="1"/>
    <xf numFmtId="0" fontId="6" fillId="8" borderId="9" xfId="0" applyFont="1" applyFill="1" applyBorder="1" applyAlignment="1">
      <alignment horizontal="left" vertical="top" wrapText="1"/>
    </xf>
    <xf numFmtId="2" fontId="7" fillId="8" borderId="9" xfId="0" applyNumberFormat="1" applyFont="1" applyFill="1" applyBorder="1" applyAlignment="1">
      <alignment horizontal="right" wrapText="1"/>
    </xf>
    <xf numFmtId="2" fontId="8" fillId="8" borderId="9" xfId="0" applyNumberFormat="1" applyFont="1" applyFill="1" applyBorder="1" applyAlignment="1">
      <alignment horizontal="right" wrapText="1"/>
    </xf>
    <xf numFmtId="0" fontId="10" fillId="8" borderId="9" xfId="0" applyFont="1" applyFill="1" applyBorder="1"/>
    <xf numFmtId="2" fontId="10" fillId="0" borderId="0" xfId="0" applyNumberFormat="1" applyFont="1"/>
    <xf numFmtId="167" fontId="6" fillId="8" borderId="9" xfId="0" applyNumberFormat="1" applyFont="1" applyFill="1" applyBorder="1" applyAlignment="1">
      <alignment horizontal="left" wrapText="1"/>
    </xf>
    <xf numFmtId="168" fontId="6" fillId="8" borderId="9" xfId="0" applyNumberFormat="1" applyFont="1" applyFill="1" applyBorder="1" applyAlignment="1">
      <alignment horizontal="right" wrapText="1"/>
    </xf>
    <xf numFmtId="168" fontId="6" fillId="8" borderId="9" xfId="0" applyNumberFormat="1" applyFont="1" applyFill="1" applyBorder="1" applyAlignment="1">
      <alignment vertical="center" wrapText="1"/>
    </xf>
    <xf numFmtId="167" fontId="7" fillId="8" borderId="9" xfId="0" applyNumberFormat="1" applyFont="1" applyFill="1" applyBorder="1" applyAlignment="1">
      <alignment horizontal="left" wrapText="1"/>
    </xf>
    <xf numFmtId="168" fontId="7" fillId="8" borderId="9" xfId="0" applyNumberFormat="1" applyFont="1" applyFill="1" applyBorder="1" applyAlignment="1">
      <alignment horizontal="right" wrapText="1"/>
    </xf>
    <xf numFmtId="167" fontId="7" fillId="9" borderId="9" xfId="0" applyNumberFormat="1" applyFont="1" applyFill="1" applyBorder="1" applyAlignment="1">
      <alignment horizontal="left" vertical="top" wrapText="1"/>
    </xf>
    <xf numFmtId="168" fontId="7" fillId="9" borderId="9" xfId="0" applyNumberFormat="1" applyFont="1" applyFill="1" applyBorder="1" applyAlignment="1">
      <alignment horizontal="right" wrapText="1"/>
    </xf>
    <xf numFmtId="168" fontId="8" fillId="9" borderId="9" xfId="0" applyNumberFormat="1" applyFont="1" applyFill="1" applyBorder="1" applyAlignment="1">
      <alignment horizontal="right" wrapText="1"/>
    </xf>
    <xf numFmtId="4" fontId="10" fillId="0" borderId="9" xfId="0" applyNumberFormat="1" applyFont="1" applyBorder="1"/>
    <xf numFmtId="167" fontId="6" fillId="0" borderId="9" xfId="0" applyNumberFormat="1" applyFont="1" applyBorder="1" applyAlignment="1">
      <alignment horizontal="left" wrapText="1"/>
    </xf>
    <xf numFmtId="168" fontId="6" fillId="0" borderId="9" xfId="0" applyNumberFormat="1" applyFont="1" applyBorder="1" applyAlignment="1">
      <alignment horizontal="right" wrapText="1"/>
    </xf>
    <xf numFmtId="168" fontId="6" fillId="0" borderId="9" xfId="0" applyNumberFormat="1" applyFont="1" applyBorder="1" applyAlignment="1">
      <alignment wrapText="1"/>
    </xf>
    <xf numFmtId="167" fontId="7" fillId="0" borderId="9" xfId="0" applyNumberFormat="1" applyFont="1" applyBorder="1" applyAlignment="1">
      <alignment horizontal="left" wrapText="1"/>
    </xf>
    <xf numFmtId="168" fontId="7" fillId="0" borderId="9" xfId="0" applyNumberFormat="1" applyFont="1" applyBorder="1" applyAlignment="1">
      <alignment horizontal="right" wrapText="1"/>
    </xf>
    <xf numFmtId="169" fontId="7" fillId="0" borderId="9" xfId="0" applyNumberFormat="1" applyFont="1" applyBorder="1" applyAlignment="1">
      <alignment horizontal="right"/>
    </xf>
    <xf numFmtId="169" fontId="7" fillId="0" borderId="9" xfId="0" applyNumberFormat="1" applyFont="1" applyBorder="1"/>
    <xf numFmtId="167" fontId="7" fillId="10" borderId="9" xfId="0" applyNumberFormat="1" applyFont="1" applyFill="1" applyBorder="1" applyAlignment="1">
      <alignment horizontal="left" vertical="top" wrapText="1"/>
    </xf>
    <xf numFmtId="168" fontId="7" fillId="10" borderId="9" xfId="0" applyNumberFormat="1" applyFont="1" applyFill="1" applyBorder="1" applyAlignment="1">
      <alignment horizontal="right" wrapText="1"/>
    </xf>
    <xf numFmtId="167" fontId="7" fillId="0" borderId="9" xfId="0" applyNumberFormat="1" applyFont="1" applyBorder="1" applyAlignment="1">
      <alignment horizontal="left" vertical="center" wrapText="1"/>
    </xf>
    <xf numFmtId="168" fontId="14" fillId="0" borderId="9" xfId="0" applyNumberFormat="1" applyFont="1" applyBorder="1" applyAlignment="1">
      <alignment horizontal="right" wrapText="1"/>
    </xf>
    <xf numFmtId="167" fontId="7" fillId="0" borderId="9" xfId="0" applyNumberFormat="1" applyFont="1" applyBorder="1" applyAlignment="1">
      <alignment horizontal="left" vertical="top" wrapText="1"/>
    </xf>
    <xf numFmtId="168" fontId="8" fillId="0" borderId="9" xfId="0" applyNumberFormat="1" applyFont="1" applyBorder="1" applyAlignment="1">
      <alignment horizontal="right" wrapText="1"/>
    </xf>
    <xf numFmtId="167" fontId="6" fillId="8" borderId="9" xfId="0" applyNumberFormat="1" applyFont="1" applyFill="1" applyBorder="1" applyAlignment="1">
      <alignment horizontal="left" vertical="top" wrapText="1"/>
    </xf>
    <xf numFmtId="168" fontId="14" fillId="8" borderId="9" xfId="0" applyNumberFormat="1" applyFont="1" applyFill="1" applyBorder="1" applyAlignment="1">
      <alignment horizontal="right" wrapText="1"/>
    </xf>
    <xf numFmtId="167" fontId="6" fillId="9" borderId="9" xfId="0" applyNumberFormat="1" applyFont="1" applyFill="1" applyBorder="1" applyAlignment="1">
      <alignment horizontal="left" wrapText="1"/>
    </xf>
    <xf numFmtId="167" fontId="7" fillId="9" borderId="9" xfId="0" applyNumberFormat="1" applyFont="1" applyFill="1" applyBorder="1" applyAlignment="1">
      <alignment horizontal="left" wrapText="1"/>
    </xf>
    <xf numFmtId="168" fontId="6" fillId="8" borderId="9" xfId="0" applyNumberFormat="1" applyFont="1" applyFill="1" applyBorder="1" applyAlignment="1">
      <alignment horizontal="left" wrapText="1"/>
    </xf>
    <xf numFmtId="168" fontId="7" fillId="8" borderId="9" xfId="0" applyNumberFormat="1" applyFont="1" applyFill="1" applyBorder="1" applyAlignment="1">
      <alignment horizontal="left" wrapText="1"/>
    </xf>
    <xf numFmtId="168" fontId="6" fillId="9" borderId="9" xfId="0" applyNumberFormat="1" applyFont="1" applyFill="1" applyBorder="1" applyAlignment="1">
      <alignment horizontal="right" wrapText="1"/>
    </xf>
    <xf numFmtId="168" fontId="14" fillId="9" borderId="9" xfId="0" applyNumberFormat="1" applyFont="1" applyFill="1" applyBorder="1" applyAlignment="1">
      <alignment horizontal="right" wrapText="1"/>
    </xf>
    <xf numFmtId="167" fontId="7" fillId="8" borderId="9" xfId="0" applyNumberFormat="1" applyFont="1" applyFill="1" applyBorder="1" applyAlignment="1">
      <alignment horizontal="right" wrapText="1"/>
    </xf>
    <xf numFmtId="167" fontId="8" fillId="8" borderId="9" xfId="0" applyNumberFormat="1" applyFont="1" applyFill="1" applyBorder="1" applyAlignment="1">
      <alignment horizontal="right" wrapText="1"/>
    </xf>
    <xf numFmtId="168" fontId="7" fillId="0" borderId="9" xfId="0" applyNumberFormat="1" applyFont="1" applyBorder="1" applyAlignment="1">
      <alignment horizontal="right" vertical="center" wrapText="1"/>
    </xf>
    <xf numFmtId="168" fontId="8" fillId="0" borderId="9" xfId="0" applyNumberFormat="1" applyFont="1" applyBorder="1" applyAlignment="1">
      <alignment horizontal="right" vertical="center" wrapText="1"/>
    </xf>
    <xf numFmtId="168" fontId="8" fillId="8" borderId="9" xfId="0" applyNumberFormat="1" applyFont="1" applyFill="1" applyBorder="1" applyAlignment="1">
      <alignment horizontal="right" wrapText="1"/>
    </xf>
    <xf numFmtId="4" fontId="7" fillId="0" borderId="9" xfId="0" applyNumberFormat="1" applyFont="1" applyBorder="1"/>
    <xf numFmtId="167" fontId="6" fillId="8" borderId="9" xfId="0" applyNumberFormat="1" applyFont="1" applyFill="1" applyBorder="1" applyAlignment="1">
      <alignment horizontal="left" vertical="center" wrapText="1"/>
    </xf>
    <xf numFmtId="167" fontId="6" fillId="8" borderId="9" xfId="0" applyNumberFormat="1" applyFont="1" applyFill="1" applyBorder="1" applyAlignment="1">
      <alignment horizontal="right" wrapText="1"/>
    </xf>
    <xf numFmtId="167" fontId="14" fillId="8" borderId="9" xfId="0" applyNumberFormat="1" applyFont="1" applyFill="1" applyBorder="1" applyAlignment="1">
      <alignment horizontal="right" wrapText="1"/>
    </xf>
    <xf numFmtId="4" fontId="6" fillId="8" borderId="9" xfId="0" applyNumberFormat="1" applyFont="1" applyFill="1" applyBorder="1"/>
    <xf numFmtId="0" fontId="6" fillId="8" borderId="9" xfId="0" applyFont="1" applyFill="1" applyBorder="1"/>
    <xf numFmtId="168" fontId="7" fillId="8" borderId="9" xfId="0" applyNumberFormat="1" applyFont="1" applyFill="1" applyBorder="1" applyAlignment="1">
      <alignment vertical="center" wrapText="1"/>
    </xf>
    <xf numFmtId="168" fontId="8" fillId="8" borderId="9" xfId="0" applyNumberFormat="1" applyFont="1" applyFill="1" applyBorder="1" applyAlignment="1">
      <alignment vertical="center" wrapText="1"/>
    </xf>
    <xf numFmtId="0" fontId="6" fillId="8" borderId="9" xfId="0" applyFont="1" applyFill="1" applyBorder="1" applyAlignment="1">
      <alignment horizontal="left" wrapText="1"/>
    </xf>
    <xf numFmtId="0" fontId="7" fillId="8" borderId="9" xfId="0" applyFont="1" applyFill="1" applyBorder="1" applyAlignment="1">
      <alignment horizontal="left" wrapText="1"/>
    </xf>
    <xf numFmtId="0" fontId="7" fillId="9" borderId="9" xfId="0" applyFont="1" applyFill="1" applyBorder="1" applyAlignment="1">
      <alignment horizontal="left" wrapText="1"/>
    </xf>
    <xf numFmtId="167" fontId="6" fillId="11" borderId="9" xfId="0" applyNumberFormat="1" applyFont="1" applyFill="1" applyBorder="1" applyAlignment="1">
      <alignment horizontal="left" wrapText="1"/>
    </xf>
    <xf numFmtId="168" fontId="6" fillId="11" borderId="9" xfId="0" applyNumberFormat="1" applyFont="1" applyFill="1" applyBorder="1" applyAlignment="1">
      <alignment horizontal="right" wrapText="1"/>
    </xf>
    <xf numFmtId="167" fontId="7" fillId="12" borderId="9" xfId="0" applyNumberFormat="1" applyFont="1" applyFill="1" applyBorder="1" applyAlignment="1">
      <alignment horizontal="left" wrapText="1"/>
    </xf>
    <xf numFmtId="168" fontId="7" fillId="12" borderId="9" xfId="0" applyNumberFormat="1" applyFont="1" applyFill="1" applyBorder="1" applyAlignment="1">
      <alignment horizontal="right" wrapText="1"/>
    </xf>
    <xf numFmtId="167" fontId="7" fillId="12" borderId="9" xfId="0" applyNumberFormat="1" applyFont="1" applyFill="1" applyBorder="1" applyAlignment="1">
      <alignment horizontal="left" vertical="center" wrapText="1"/>
    </xf>
    <xf numFmtId="167" fontId="6" fillId="10" borderId="9" xfId="0" applyNumberFormat="1" applyFont="1" applyFill="1" applyBorder="1" applyAlignment="1">
      <alignment horizontal="left" vertical="top" wrapText="1"/>
    </xf>
    <xf numFmtId="168" fontId="6" fillId="10" borderId="9" xfId="0" applyNumberFormat="1" applyFont="1" applyFill="1" applyBorder="1" applyAlignment="1">
      <alignment horizontal="right" wrapText="1"/>
    </xf>
    <xf numFmtId="4" fontId="10" fillId="0" borderId="0" xfId="0" applyNumberFormat="1" applyFont="1"/>
    <xf numFmtId="0" fontId="10" fillId="0" borderId="0" xfId="0" applyFont="1" applyAlignment="1">
      <alignment horizontal="right"/>
    </xf>
    <xf numFmtId="0" fontId="20" fillId="0" borderId="0" xfId="4" applyFont="1" applyAlignment="1">
      <alignment horizontal="center" vertical="center" wrapText="1"/>
    </xf>
    <xf numFmtId="0" fontId="11" fillId="0" borderId="0" xfId="4" applyFont="1" applyAlignment="1">
      <alignment vertical="center" wrapText="1"/>
    </xf>
    <xf numFmtId="0" fontId="7" fillId="0" borderId="0" xfId="0" applyFont="1"/>
    <xf numFmtId="165" fontId="21" fillId="0" borderId="0" xfId="4" applyNumberFormat="1" applyFont="1" applyAlignment="1">
      <alignment horizontal="center" vertical="center" wrapText="1"/>
    </xf>
    <xf numFmtId="0" fontId="11" fillId="0" borderId="0" xfId="4" applyFont="1" applyAlignment="1">
      <alignment horizontal="center" vertical="center" wrapText="1"/>
    </xf>
    <xf numFmtId="0" fontId="7" fillId="0" borderId="0" xfId="0" applyFont="1" applyAlignment="1">
      <alignment horizontal="center" vertical="center"/>
    </xf>
    <xf numFmtId="0" fontId="13" fillId="0" borderId="0" xfId="0" applyFont="1" applyAlignment="1">
      <alignment horizontal="center" vertical="center"/>
    </xf>
    <xf numFmtId="165" fontId="21" fillId="9" borderId="0" xfId="4" applyNumberFormat="1" applyFont="1" applyFill="1" applyAlignment="1">
      <alignment horizontal="center" vertical="center" wrapText="1"/>
    </xf>
    <xf numFmtId="165" fontId="22" fillId="0" borderId="0" xfId="4" applyNumberFormat="1" applyFont="1" applyAlignment="1">
      <alignment horizontal="center" vertical="center" wrapText="1"/>
    </xf>
    <xf numFmtId="0" fontId="22" fillId="0" borderId="0" xfId="4" applyFont="1" applyAlignment="1">
      <alignment horizontal="right" vertical="center" wrapText="1"/>
    </xf>
    <xf numFmtId="166" fontId="7" fillId="0" borderId="10" xfId="0" applyNumberFormat="1" applyFont="1" applyBorder="1" applyAlignment="1">
      <alignment horizontal="center" vertical="center" wrapText="1"/>
    </xf>
    <xf numFmtId="0" fontId="6" fillId="0" borderId="0" xfId="0" applyFont="1"/>
    <xf numFmtId="0" fontId="6" fillId="8" borderId="9" xfId="4" applyFont="1" applyFill="1" applyBorder="1" applyAlignment="1">
      <alignment horizontal="left" vertical="center" wrapText="1"/>
    </xf>
    <xf numFmtId="4" fontId="6" fillId="8" borderId="9" xfId="4" applyNumberFormat="1" applyFont="1" applyFill="1" applyBorder="1" applyAlignment="1">
      <alignment horizontal="center" vertical="center" wrapText="1"/>
    </xf>
    <xf numFmtId="4" fontId="6" fillId="8" borderId="10" xfId="4" applyNumberFormat="1" applyFont="1" applyFill="1" applyBorder="1" applyAlignment="1">
      <alignment horizontal="center" vertical="center" wrapText="1"/>
    </xf>
    <xf numFmtId="4" fontId="6" fillId="8" borderId="10" xfId="4" applyNumberFormat="1" applyFont="1" applyFill="1" applyBorder="1" applyAlignment="1" applyProtection="1">
      <alignment horizontal="center" vertical="center" wrapText="1"/>
      <protection hidden="1"/>
    </xf>
    <xf numFmtId="4" fontId="6" fillId="8" borderId="9" xfId="4" applyNumberFormat="1" applyFont="1" applyFill="1" applyBorder="1" applyAlignment="1" applyProtection="1">
      <alignment horizontal="center" vertical="center" wrapText="1"/>
      <protection hidden="1"/>
    </xf>
    <xf numFmtId="0" fontId="23" fillId="8" borderId="9" xfId="4" applyFont="1" applyFill="1" applyBorder="1" applyAlignment="1">
      <alignment vertical="center" wrapText="1"/>
    </xf>
    <xf numFmtId="4" fontId="7" fillId="0" borderId="0" xfId="0" applyNumberFormat="1" applyFont="1"/>
    <xf numFmtId="0" fontId="24" fillId="8" borderId="9" xfId="4" applyFont="1" applyFill="1" applyBorder="1" applyAlignment="1">
      <alignment horizontal="left" vertical="center" wrapText="1"/>
    </xf>
    <xf numFmtId="0" fontId="25" fillId="0" borderId="0" xfId="0" applyFont="1"/>
    <xf numFmtId="0" fontId="26" fillId="8" borderId="9" xfId="4" applyFont="1" applyFill="1" applyBorder="1" applyAlignment="1">
      <alignment horizontal="left" vertical="center" wrapText="1"/>
    </xf>
    <xf numFmtId="4" fontId="7" fillId="8" borderId="9" xfId="4" applyNumberFormat="1" applyFont="1" applyFill="1" applyBorder="1" applyAlignment="1">
      <alignment horizontal="center" vertical="center" wrapText="1"/>
    </xf>
    <xf numFmtId="4" fontId="7" fillId="8" borderId="10" xfId="4" applyNumberFormat="1" applyFont="1" applyFill="1" applyBorder="1" applyAlignment="1">
      <alignment horizontal="center" vertical="center" wrapText="1"/>
    </xf>
    <xf numFmtId="4" fontId="7" fillId="8" borderId="10" xfId="4" applyNumberFormat="1" applyFont="1" applyFill="1" applyBorder="1" applyAlignment="1" applyProtection="1">
      <alignment horizontal="center" vertical="center" wrapText="1"/>
      <protection hidden="1"/>
    </xf>
    <xf numFmtId="0" fontId="27" fillId="8" borderId="9" xfId="4" applyFont="1" applyFill="1" applyBorder="1" applyAlignment="1">
      <alignment vertical="center" wrapText="1"/>
    </xf>
    <xf numFmtId="4" fontId="7" fillId="8" borderId="9" xfId="4" applyNumberFormat="1" applyFont="1" applyFill="1" applyBorder="1" applyAlignment="1" applyProtection="1">
      <alignment horizontal="center" vertical="center" wrapText="1"/>
      <protection hidden="1"/>
    </xf>
    <xf numFmtId="0" fontId="6" fillId="8" borderId="9" xfId="4" applyFont="1" applyFill="1" applyBorder="1" applyAlignment="1">
      <alignment horizontal="justify" vertical="center" wrapText="1"/>
    </xf>
    <xf numFmtId="4" fontId="7" fillId="8" borderId="12" xfId="4" applyNumberFormat="1" applyFont="1" applyFill="1" applyBorder="1" applyAlignment="1">
      <alignment horizontal="center" vertical="center" wrapText="1"/>
    </xf>
    <xf numFmtId="0" fontId="28" fillId="8" borderId="9" xfId="4" applyFont="1" applyFill="1" applyBorder="1" applyAlignment="1">
      <alignment vertical="center" wrapText="1"/>
    </xf>
    <xf numFmtId="0" fontId="6" fillId="8" borderId="9" xfId="4" applyFont="1" applyFill="1" applyBorder="1" applyAlignment="1">
      <alignment horizontal="justify" wrapText="1"/>
    </xf>
    <xf numFmtId="0" fontId="23" fillId="8" borderId="9" xfId="4" applyFont="1" applyFill="1" applyBorder="1" applyAlignment="1">
      <alignment horizontal="center" vertical="center" wrapText="1"/>
    </xf>
    <xf numFmtId="0" fontId="27" fillId="8" borderId="9" xfId="4" applyFont="1" applyFill="1" applyBorder="1" applyAlignment="1">
      <alignment horizontal="center" vertical="center" wrapText="1"/>
    </xf>
    <xf numFmtId="0" fontId="7" fillId="9" borderId="9" xfId="4" applyFont="1" applyFill="1" applyBorder="1" applyAlignment="1">
      <alignment horizontal="left" wrapText="1"/>
    </xf>
    <xf numFmtId="4" fontId="7" fillId="9" borderId="9" xfId="4" applyNumberFormat="1" applyFont="1" applyFill="1" applyBorder="1" applyAlignment="1">
      <alignment horizontal="center" vertical="center" wrapText="1"/>
    </xf>
    <xf numFmtId="4" fontId="7" fillId="9" borderId="10" xfId="4" applyNumberFormat="1" applyFont="1" applyFill="1" applyBorder="1" applyAlignment="1" applyProtection="1">
      <alignment horizontal="center" vertical="center" wrapText="1"/>
      <protection hidden="1"/>
    </xf>
    <xf numFmtId="4" fontId="7" fillId="0" borderId="9" xfId="4" applyNumberFormat="1" applyFont="1" applyBorder="1" applyAlignment="1">
      <alignment horizontal="center" vertical="center" wrapText="1"/>
    </xf>
    <xf numFmtId="4" fontId="7" fillId="9" borderId="9" xfId="4" applyNumberFormat="1" applyFont="1" applyFill="1" applyBorder="1" applyAlignment="1" applyProtection="1">
      <alignment horizontal="center" vertical="center" wrapText="1"/>
      <protection hidden="1"/>
    </xf>
    <xf numFmtId="0" fontId="23" fillId="0" borderId="9" xfId="4" applyFont="1" applyBorder="1" applyAlignment="1">
      <alignment vertical="center" wrapText="1"/>
    </xf>
    <xf numFmtId="0" fontId="6" fillId="9" borderId="9" xfId="4" applyFont="1" applyFill="1" applyBorder="1" applyAlignment="1">
      <alignment horizontal="justify" wrapText="1"/>
    </xf>
    <xf numFmtId="4" fontId="6" fillId="9" borderId="9" xfId="4" applyNumberFormat="1" applyFont="1" applyFill="1" applyBorder="1" applyAlignment="1">
      <alignment horizontal="center" vertical="center" wrapText="1"/>
    </xf>
    <xf numFmtId="4" fontId="6" fillId="0" borderId="9" xfId="4" applyNumberFormat="1" applyFont="1" applyBorder="1" applyAlignment="1">
      <alignment horizontal="center" vertical="center" wrapText="1"/>
    </xf>
    <xf numFmtId="0" fontId="26" fillId="9" borderId="9" xfId="4" applyFont="1" applyFill="1" applyBorder="1" applyAlignment="1">
      <alignment horizontal="left" vertical="center" wrapText="1"/>
    </xf>
    <xf numFmtId="4" fontId="7" fillId="9" borderId="10" xfId="4" applyNumberFormat="1" applyFont="1" applyFill="1" applyBorder="1" applyAlignment="1">
      <alignment horizontal="center" vertical="center" wrapText="1"/>
    </xf>
    <xf numFmtId="0" fontId="7" fillId="9" borderId="9" xfId="4" applyFont="1" applyFill="1" applyBorder="1" applyAlignment="1">
      <alignment horizontal="left" vertical="top" wrapText="1"/>
    </xf>
    <xf numFmtId="0" fontId="29" fillId="9" borderId="9" xfId="4" applyFont="1" applyFill="1" applyBorder="1" applyAlignment="1">
      <alignment vertical="center" wrapText="1"/>
    </xf>
    <xf numFmtId="0" fontId="6" fillId="8" borderId="9" xfId="4" applyFont="1" applyFill="1" applyBorder="1" applyAlignment="1">
      <alignment horizontal="left" vertical="top" wrapText="1"/>
    </xf>
    <xf numFmtId="0" fontId="23" fillId="8" borderId="9" xfId="4" applyFont="1" applyFill="1" applyBorder="1" applyAlignment="1">
      <alignment vertical="top" wrapText="1" shrinkToFit="1"/>
    </xf>
    <xf numFmtId="0" fontId="27" fillId="8" borderId="9" xfId="4" applyFont="1" applyFill="1" applyBorder="1" applyAlignment="1">
      <alignment vertical="top" wrapText="1" shrinkToFit="1"/>
    </xf>
    <xf numFmtId="49" fontId="6" fillId="8" borderId="9" xfId="4" applyNumberFormat="1" applyFont="1" applyFill="1" applyBorder="1" applyAlignment="1">
      <alignment horizontal="justify" wrapText="1"/>
    </xf>
    <xf numFmtId="4" fontId="6" fillId="11" borderId="9" xfId="4" applyNumberFormat="1" applyFont="1" applyFill="1" applyBorder="1" applyAlignment="1">
      <alignment horizontal="center" vertical="center" wrapText="1"/>
    </xf>
    <xf numFmtId="4" fontId="23" fillId="11" borderId="9" xfId="4" applyNumberFormat="1" applyFont="1" applyFill="1" applyBorder="1" applyAlignment="1">
      <alignment horizontal="center" vertical="center" wrapText="1"/>
    </xf>
    <xf numFmtId="4" fontId="6" fillId="12" borderId="9" xfId="4" applyNumberFormat="1" applyFont="1" applyFill="1" applyBorder="1" applyAlignment="1">
      <alignment horizontal="center" vertical="center" wrapText="1"/>
    </xf>
    <xf numFmtId="4" fontId="23" fillId="12" borderId="9" xfId="4" applyNumberFormat="1" applyFont="1" applyFill="1" applyBorder="1" applyAlignment="1">
      <alignment horizontal="center" vertical="center" wrapText="1"/>
    </xf>
    <xf numFmtId="0" fontId="23" fillId="12" borderId="9" xfId="4" applyFont="1" applyFill="1" applyBorder="1" applyAlignment="1">
      <alignment horizontal="center" vertical="center" wrapText="1"/>
    </xf>
    <xf numFmtId="167" fontId="6" fillId="9" borderId="9" xfId="0" applyNumberFormat="1" applyFont="1" applyFill="1" applyBorder="1" applyAlignment="1">
      <alignment horizontal="left" vertical="top" wrapText="1"/>
    </xf>
    <xf numFmtId="4" fontId="19" fillId="0" borderId="9" xfId="0" applyNumberFormat="1" applyFont="1" applyBorder="1"/>
    <xf numFmtId="0" fontId="19" fillId="0" borderId="9" xfId="0" applyFont="1" applyBorder="1"/>
    <xf numFmtId="2" fontId="19" fillId="0" borderId="0" xfId="0" applyNumberFormat="1" applyFont="1"/>
    <xf numFmtId="169" fontId="6" fillId="0" borderId="9" xfId="0" applyNumberFormat="1" applyFont="1" applyBorder="1" applyAlignment="1">
      <alignment horizontal="right"/>
    </xf>
    <xf numFmtId="169" fontId="6" fillId="0" borderId="9" xfId="0" applyNumberFormat="1" applyFont="1" applyBorder="1"/>
    <xf numFmtId="0" fontId="6" fillId="0" borderId="9" xfId="4" applyFont="1" applyBorder="1" applyAlignment="1">
      <alignment horizontal="left" vertical="center" wrapText="1"/>
    </xf>
    <xf numFmtId="4" fontId="6" fillId="0" borderId="10" xfId="4" applyNumberFormat="1" applyFont="1" applyBorder="1" applyAlignment="1">
      <alignment horizontal="center" vertical="center" wrapText="1"/>
    </xf>
    <xf numFmtId="4" fontId="6" fillId="0" borderId="10" xfId="4" applyNumberFormat="1" applyFont="1" applyBorder="1" applyAlignment="1" applyProtection="1">
      <alignment horizontal="center" vertical="center" wrapText="1"/>
      <protection hidden="1"/>
    </xf>
    <xf numFmtId="4" fontId="6" fillId="0" borderId="9" xfId="4" applyNumberFormat="1" applyFont="1" applyBorder="1" applyAlignment="1" applyProtection="1">
      <alignment horizontal="center" vertical="center" wrapText="1"/>
      <protection hidden="1"/>
    </xf>
    <xf numFmtId="0" fontId="24" fillId="0" borderId="9" xfId="4" applyFont="1" applyBorder="1" applyAlignment="1">
      <alignment horizontal="left" vertical="center" wrapText="1"/>
    </xf>
    <xf numFmtId="0" fontId="26" fillId="0" borderId="9" xfId="4" applyFont="1" applyBorder="1" applyAlignment="1">
      <alignment horizontal="left" vertical="center" wrapText="1"/>
    </xf>
    <xf numFmtId="4" fontId="7" fillId="0" borderId="10" xfId="4" applyNumberFormat="1" applyFont="1" applyBorder="1" applyAlignment="1">
      <alignment horizontal="center" vertical="center" wrapText="1"/>
    </xf>
    <xf numFmtId="4" fontId="7" fillId="0" borderId="10" xfId="4" applyNumberFormat="1" applyFont="1" applyBorder="1" applyAlignment="1" applyProtection="1">
      <alignment horizontal="center" vertical="center" wrapText="1"/>
      <protection hidden="1"/>
    </xf>
    <xf numFmtId="0" fontId="27" fillId="0" borderId="9" xfId="4" applyFont="1" applyBorder="1" applyAlignment="1">
      <alignment vertical="center" wrapText="1"/>
    </xf>
    <xf numFmtId="0" fontId="3" fillId="0" borderId="0" xfId="20"/>
    <xf numFmtId="0" fontId="6" fillId="0" borderId="9" xfId="20" applyFont="1" applyBorder="1" applyAlignment="1">
      <alignment horizontal="center" vertical="center" wrapText="1"/>
    </xf>
    <xf numFmtId="171" fontId="8" fillId="14" borderId="1" xfId="21" applyNumberFormat="1" applyFont="1" applyFill="1" applyBorder="1" applyAlignment="1" applyProtection="1">
      <alignment horizontal="center" vertical="center" wrapText="1"/>
    </xf>
    <xf numFmtId="168" fontId="8" fillId="14" borderId="1" xfId="21" applyNumberFormat="1" applyFont="1" applyFill="1" applyBorder="1" applyAlignment="1" applyProtection="1">
      <alignment horizontal="center" vertical="center" wrapText="1"/>
    </xf>
    <xf numFmtId="171" fontId="7" fillId="14" borderId="1" xfId="21" applyNumberFormat="1" applyFont="1" applyFill="1" applyBorder="1" applyAlignment="1" applyProtection="1">
      <alignment horizontal="center" vertical="center" wrapText="1"/>
    </xf>
    <xf numFmtId="168" fontId="7" fillId="14" borderId="1" xfId="21" applyNumberFormat="1" applyFont="1" applyFill="1" applyBorder="1" applyAlignment="1" applyProtection="1">
      <alignment horizontal="center" vertical="center" wrapText="1"/>
    </xf>
    <xf numFmtId="171" fontId="7" fillId="0" borderId="9" xfId="21" applyNumberFormat="1" applyFont="1" applyFill="1" applyBorder="1" applyAlignment="1" applyProtection="1">
      <alignment horizontal="center" vertical="center" wrapText="1"/>
    </xf>
    <xf numFmtId="168" fontId="7" fillId="0" borderId="9" xfId="21" applyNumberFormat="1" applyFont="1" applyFill="1" applyBorder="1" applyAlignment="1" applyProtection="1">
      <alignment horizontal="center" vertical="center" wrapText="1"/>
    </xf>
    <xf numFmtId="168" fontId="7" fillId="0" borderId="11" xfId="21" applyNumberFormat="1" applyFont="1" applyFill="1" applyBorder="1" applyAlignment="1" applyProtection="1">
      <alignment horizontal="center" vertical="center" wrapText="1"/>
    </xf>
    <xf numFmtId="0" fontId="24" fillId="0" borderId="0" xfId="20" applyFont="1" applyAlignment="1">
      <alignment horizontal="center" vertical="top"/>
    </xf>
    <xf numFmtId="0" fontId="34" fillId="0" borderId="0" xfId="20" applyFont="1" applyAlignment="1">
      <alignment horizontal="center" vertical="top" wrapText="1"/>
    </xf>
    <xf numFmtId="0" fontId="34" fillId="0" borderId="0" xfId="20" applyFont="1" applyAlignment="1">
      <alignment horizontal="center" vertical="top"/>
    </xf>
    <xf numFmtId="165" fontId="6" fillId="0" borderId="9" xfId="20" applyNumberFormat="1" applyFont="1" applyBorder="1" applyAlignment="1">
      <alignment horizontal="center" vertical="center" wrapText="1"/>
    </xf>
    <xf numFmtId="49" fontId="7" fillId="0" borderId="9" xfId="20" applyNumberFormat="1" applyFont="1" applyBorder="1" applyAlignment="1">
      <alignment horizontal="center" vertical="center" wrapText="1"/>
    </xf>
    <xf numFmtId="0" fontId="24" fillId="0" borderId="9" xfId="20" applyFont="1" applyBorder="1" applyAlignment="1">
      <alignment horizontal="left" vertical="top" wrapText="1"/>
    </xf>
    <xf numFmtId="172" fontId="24" fillId="0" borderId="9" xfId="20" applyNumberFormat="1" applyFont="1" applyBorder="1" applyAlignment="1">
      <alignment horizontal="center" vertical="center" wrapText="1"/>
    </xf>
    <xf numFmtId="0" fontId="26" fillId="0" borderId="9" xfId="20" applyFont="1" applyBorder="1" applyAlignment="1">
      <alignment horizontal="left" vertical="top" wrapText="1"/>
    </xf>
    <xf numFmtId="172" fontId="26" fillId="0" borderId="9" xfId="20" applyNumberFormat="1" applyFont="1" applyBorder="1" applyAlignment="1">
      <alignment horizontal="center" vertical="center" wrapText="1"/>
    </xf>
    <xf numFmtId="4" fontId="26" fillId="0" borderId="9" xfId="20" applyNumberFormat="1" applyFont="1" applyBorder="1" applyAlignment="1">
      <alignment horizontal="center" vertical="center" wrapText="1"/>
    </xf>
    <xf numFmtId="0" fontId="26" fillId="0" borderId="9" xfId="20" applyFont="1" applyBorder="1" applyAlignment="1">
      <alignment horizontal="right" vertical="top" wrapText="1"/>
    </xf>
    <xf numFmtId="172" fontId="35" fillId="0" borderId="9" xfId="20" applyNumberFormat="1" applyFont="1" applyBorder="1" applyAlignment="1">
      <alignment horizontal="center" vertical="center" wrapText="1"/>
    </xf>
    <xf numFmtId="4" fontId="35" fillId="0" borderId="9" xfId="20" applyNumberFormat="1" applyFont="1" applyBorder="1" applyAlignment="1">
      <alignment horizontal="center" vertical="center" wrapText="1"/>
    </xf>
    <xf numFmtId="0" fontId="26" fillId="0" borderId="9" xfId="20" applyFont="1" applyBorder="1" applyAlignment="1">
      <alignment horizontal="justify" vertical="top" wrapText="1"/>
    </xf>
    <xf numFmtId="0" fontId="26" fillId="0" borderId="9" xfId="20" applyFont="1" applyBorder="1" applyAlignment="1">
      <alignment horizontal="center"/>
    </xf>
    <xf numFmtId="0" fontId="26" fillId="0" borderId="9" xfId="20" applyFont="1" applyBorder="1" applyAlignment="1">
      <alignment vertical="top" wrapText="1"/>
    </xf>
    <xf numFmtId="0" fontId="26" fillId="0" borderId="2" xfId="20" applyFont="1" applyBorder="1" applyAlignment="1">
      <alignment horizontal="center"/>
    </xf>
    <xf numFmtId="0" fontId="24" fillId="0" borderId="10" xfId="20" applyFont="1" applyBorder="1" applyAlignment="1">
      <alignment vertical="top" wrapText="1"/>
    </xf>
    <xf numFmtId="4" fontId="24" fillId="0" borderId="9" xfId="20" applyNumberFormat="1" applyFont="1" applyBorder="1" applyAlignment="1">
      <alignment horizontal="center" vertical="center" wrapText="1"/>
    </xf>
    <xf numFmtId="0" fontId="35" fillId="0" borderId="8" xfId="20" applyFont="1" applyBorder="1" applyAlignment="1">
      <alignment horizontal="center" vertical="center" wrapText="1"/>
    </xf>
    <xf numFmtId="0" fontId="24" fillId="0" borderId="9" xfId="20" applyFont="1" applyBorder="1" applyAlignment="1">
      <alignment horizontal="justify" vertical="top" wrapText="1"/>
    </xf>
    <xf numFmtId="0" fontId="26" fillId="13" borderId="9" xfId="20" applyFont="1" applyFill="1" applyBorder="1" applyAlignment="1">
      <alignment horizontal="justify" vertical="top" wrapText="1"/>
    </xf>
    <xf numFmtId="0" fontId="24" fillId="9" borderId="9" xfId="20" applyFont="1" applyFill="1" applyBorder="1" applyAlignment="1">
      <alignment vertical="top" wrapText="1"/>
    </xf>
    <xf numFmtId="0" fontId="24" fillId="0" borderId="9" xfId="20" applyFont="1" applyBorder="1" applyAlignment="1">
      <alignment horizontal="center"/>
    </xf>
    <xf numFmtId="0" fontId="26" fillId="9" borderId="9" xfId="20" applyFont="1" applyFill="1" applyBorder="1" applyAlignment="1">
      <alignment vertical="top" wrapText="1"/>
    </xf>
    <xf numFmtId="0" fontId="26" fillId="9" borderId="9" xfId="20" applyFont="1" applyFill="1" applyBorder="1" applyAlignment="1">
      <alignment horizontal="right" vertical="top" wrapText="1"/>
    </xf>
    <xf numFmtId="0" fontId="26" fillId="9" borderId="9" xfId="20" applyFont="1" applyFill="1" applyBorder="1" applyAlignment="1">
      <alignment horizontal="justify" vertical="top" wrapText="1"/>
    </xf>
    <xf numFmtId="0" fontId="6" fillId="0" borderId="4" xfId="20" applyFont="1" applyBorder="1" applyAlignment="1">
      <alignment horizontal="left" vertical="center" wrapText="1"/>
    </xf>
    <xf numFmtId="0" fontId="24" fillId="0" borderId="9" xfId="20" applyFont="1" applyBorder="1" applyAlignment="1">
      <alignment vertical="top" wrapText="1"/>
    </xf>
    <xf numFmtId="4" fontId="26" fillId="0" borderId="9" xfId="20" applyNumberFormat="1" applyFont="1" applyBorder="1" applyAlignment="1">
      <alignment horizontal="center"/>
    </xf>
    <xf numFmtId="2" fontId="26" fillId="0" borderId="9" xfId="20" applyNumberFormat="1" applyFont="1" applyBorder="1" applyAlignment="1">
      <alignment horizontal="center"/>
    </xf>
    <xf numFmtId="172" fontId="36" fillId="0" borderId="9" xfId="20" applyNumberFormat="1" applyFont="1" applyBorder="1" applyAlignment="1">
      <alignment horizontal="center" vertical="center" wrapText="1"/>
    </xf>
    <xf numFmtId="0" fontId="11" fillId="0" borderId="8" xfId="20" applyFont="1" applyBorder="1" applyAlignment="1">
      <alignment horizontal="left" vertical="top" wrapText="1"/>
    </xf>
    <xf numFmtId="0" fontId="24" fillId="13" borderId="9" xfId="20" applyFont="1" applyFill="1" applyBorder="1" applyAlignment="1">
      <alignment vertical="top" wrapText="1"/>
    </xf>
    <xf numFmtId="0" fontId="37" fillId="0" borderId="9" xfId="20" applyFont="1" applyBorder="1"/>
    <xf numFmtId="172" fontId="6" fillId="0" borderId="9" xfId="20" applyNumberFormat="1" applyFont="1" applyBorder="1" applyAlignment="1">
      <alignment horizontal="center" vertical="center" wrapText="1"/>
    </xf>
    <xf numFmtId="0" fontId="6" fillId="0" borderId="10" xfId="20" applyFont="1" applyBorder="1" applyAlignment="1">
      <alignment horizontal="center" vertical="center" wrapText="1"/>
    </xf>
    <xf numFmtId="172" fontId="7" fillId="0" borderId="9" xfId="20" applyNumberFormat="1" applyFont="1" applyBorder="1" applyAlignment="1">
      <alignment horizontal="center" vertical="center" wrapText="1"/>
    </xf>
    <xf numFmtId="172" fontId="7" fillId="0" borderId="10" xfId="20" applyNumberFormat="1" applyFont="1" applyBorder="1" applyAlignment="1">
      <alignment horizontal="center" vertical="center" wrapText="1"/>
    </xf>
    <xf numFmtId="0" fontId="39" fillId="0" borderId="0" xfId="22" applyFont="1"/>
    <xf numFmtId="0" fontId="38" fillId="0" borderId="9" xfId="22" applyFont="1" applyBorder="1" applyAlignment="1">
      <alignment horizontal="center" vertical="center" wrapText="1"/>
    </xf>
    <xf numFmtId="0" fontId="40" fillId="0" borderId="9" xfId="22" applyFont="1" applyBorder="1" applyAlignment="1">
      <alignment horizontal="center" vertical="center" wrapText="1"/>
    </xf>
    <xf numFmtId="0" fontId="39" fillId="0" borderId="9" xfId="22" applyFont="1" applyBorder="1" applyAlignment="1">
      <alignment horizontal="center" vertical="center" wrapText="1"/>
    </xf>
    <xf numFmtId="0" fontId="30" fillId="0" borderId="9" xfId="22" applyFont="1" applyBorder="1" applyAlignment="1">
      <alignment horizontal="center"/>
    </xf>
    <xf numFmtId="0" fontId="11" fillId="0" borderId="11" xfId="22" applyFont="1" applyBorder="1" applyAlignment="1">
      <alignment horizontal="left" vertical="center"/>
    </xf>
    <xf numFmtId="0" fontId="11" fillId="0" borderId="12" xfId="22" applyFont="1" applyBorder="1" applyAlignment="1">
      <alignment horizontal="left" vertical="center"/>
    </xf>
    <xf numFmtId="0" fontId="28" fillId="0" borderId="9" xfId="22" applyFont="1" applyBorder="1" applyAlignment="1">
      <alignment horizontal="left" vertical="center" wrapText="1"/>
    </xf>
    <xf numFmtId="4" fontId="28" fillId="0" borderId="9" xfId="22" applyNumberFormat="1" applyFont="1" applyBorder="1" applyAlignment="1">
      <alignment horizontal="center" vertical="center" wrapText="1"/>
    </xf>
    <xf numFmtId="0" fontId="28" fillId="0" borderId="9" xfId="22" applyFont="1" applyBorder="1"/>
    <xf numFmtId="0" fontId="11" fillId="0" borderId="9" xfId="22" applyFont="1" applyBorder="1" applyAlignment="1">
      <alignment horizontal="left" vertical="center" wrapText="1"/>
    </xf>
    <xf numFmtId="4" fontId="11" fillId="0" borderId="9" xfId="22" applyNumberFormat="1" applyFont="1" applyBorder="1" applyAlignment="1">
      <alignment horizontal="center" vertical="center" wrapText="1"/>
    </xf>
    <xf numFmtId="0" fontId="11" fillId="0" borderId="9" xfId="22" applyFont="1" applyBorder="1"/>
    <xf numFmtId="166" fontId="28" fillId="0" borderId="9" xfId="20" applyNumberFormat="1" applyFont="1" applyBorder="1" applyAlignment="1">
      <alignment vertical="center" wrapText="1"/>
    </xf>
    <xf numFmtId="172" fontId="11" fillId="0" borderId="9" xfId="22" applyNumberFormat="1" applyFont="1" applyBorder="1" applyAlignment="1">
      <alignment horizontal="center" vertical="center" wrapText="1"/>
    </xf>
    <xf numFmtId="0" fontId="11" fillId="13" borderId="9" xfId="22" applyFont="1" applyFill="1" applyBorder="1" applyAlignment="1">
      <alignment horizontal="left" vertical="center" wrapText="1"/>
    </xf>
    <xf numFmtId="0" fontId="28" fillId="9" borderId="9" xfId="22" applyFont="1" applyFill="1" applyBorder="1" applyAlignment="1">
      <alignment horizontal="left" vertical="center" wrapText="1"/>
    </xf>
    <xf numFmtId="0" fontId="11" fillId="9" borderId="9" xfId="22" applyFont="1" applyFill="1" applyBorder="1" applyAlignment="1">
      <alignment horizontal="left" vertical="center" wrapText="1"/>
    </xf>
    <xf numFmtId="0" fontId="41" fillId="0" borderId="9" xfId="22" applyFont="1" applyBorder="1"/>
    <xf numFmtId="0" fontId="28" fillId="0" borderId="11" xfId="22" applyFont="1" applyBorder="1" applyAlignment="1">
      <alignment horizontal="left" vertical="center"/>
    </xf>
    <xf numFmtId="0" fontId="28" fillId="0" borderId="12" xfId="22" applyFont="1" applyBorder="1" applyAlignment="1">
      <alignment horizontal="left" vertical="center"/>
    </xf>
    <xf numFmtId="0" fontId="28" fillId="0" borderId="9" xfId="22" applyFont="1" applyBorder="1" applyAlignment="1">
      <alignment horizontal="left" vertical="top" wrapText="1"/>
    </xf>
    <xf numFmtId="0" fontId="11" fillId="0" borderId="9" xfId="22" applyFont="1" applyBorder="1" applyAlignment="1">
      <alignment horizontal="right" vertical="center" wrapText="1"/>
    </xf>
    <xf numFmtId="0" fontId="11" fillId="0" borderId="2" xfId="22" applyFont="1" applyBorder="1"/>
    <xf numFmtId="0" fontId="11" fillId="0" borderId="8" xfId="22" applyFont="1" applyBorder="1" applyAlignment="1">
      <alignment horizontal="left" vertical="top" wrapText="1"/>
    </xf>
    <xf numFmtId="0" fontId="11" fillId="9" borderId="9" xfId="22" applyFont="1" applyFill="1" applyBorder="1" applyAlignment="1">
      <alignment horizontal="right" vertical="center" wrapText="1"/>
    </xf>
    <xf numFmtId="4" fontId="30" fillId="0" borderId="9" xfId="22" applyNumberFormat="1" applyFont="1" applyBorder="1" applyAlignment="1">
      <alignment horizontal="center" vertical="center" wrapText="1"/>
    </xf>
    <xf numFmtId="0" fontId="30" fillId="0" borderId="9" xfId="22" applyFont="1" applyBorder="1"/>
    <xf numFmtId="0" fontId="28" fillId="13" borderId="9" xfId="22" applyFont="1" applyFill="1" applyBorder="1" applyAlignment="1">
      <alignment horizontal="left" wrapText="1"/>
    </xf>
    <xf numFmtId="0" fontId="11" fillId="0" borderId="9" xfId="22" applyFont="1" applyBorder="1" applyAlignment="1">
      <alignment horizontal="left" wrapText="1"/>
    </xf>
    <xf numFmtId="0" fontId="42" fillId="0" borderId="0" xfId="20" applyFont="1"/>
    <xf numFmtId="0" fontId="43" fillId="0" borderId="9" xfId="20" applyFont="1" applyBorder="1" applyAlignment="1">
      <alignment horizontal="center"/>
    </xf>
    <xf numFmtId="0" fontId="44" fillId="0" borderId="9" xfId="20" applyFont="1" applyBorder="1" applyAlignment="1">
      <alignment horizontal="center"/>
    </xf>
    <xf numFmtId="0" fontId="30" fillId="0" borderId="0" xfId="23" applyFont="1"/>
    <xf numFmtId="0" fontId="44" fillId="0" borderId="0" xfId="20" applyFont="1"/>
    <xf numFmtId="0" fontId="30" fillId="0" borderId="0" xfId="23" applyFont="1" applyAlignment="1">
      <alignment horizontal="center"/>
    </xf>
    <xf numFmtId="0" fontId="28" fillId="0" borderId="9" xfId="23" applyFont="1" applyBorder="1" applyAlignment="1">
      <alignment horizontal="center" vertical="center" wrapText="1"/>
    </xf>
    <xf numFmtId="0" fontId="28" fillId="0" borderId="8" xfId="23" applyFont="1" applyBorder="1" applyAlignment="1">
      <alignment horizontal="center" vertical="center" wrapText="1"/>
    </xf>
    <xf numFmtId="0" fontId="11" fillId="0" borderId="9" xfId="23" applyFont="1" applyBorder="1" applyAlignment="1">
      <alignment horizontal="center" vertical="center" wrapText="1"/>
    </xf>
    <xf numFmtId="0" fontId="11" fillId="9" borderId="9" xfId="23" applyFont="1" applyFill="1" applyBorder="1" applyAlignment="1">
      <alignment horizontal="center" vertical="center" wrapText="1"/>
    </xf>
    <xf numFmtId="0" fontId="11" fillId="0" borderId="9" xfId="23" applyFont="1" applyBorder="1"/>
    <xf numFmtId="0" fontId="30" fillId="0" borderId="9" xfId="23" applyFont="1" applyBorder="1"/>
    <xf numFmtId="0" fontId="11" fillId="14" borderId="6" xfId="4" applyFont="1" applyFill="1" applyBorder="1" applyAlignment="1">
      <alignment horizontal="left" vertical="center"/>
    </xf>
    <xf numFmtId="171" fontId="11" fillId="14" borderId="1" xfId="21" applyNumberFormat="1" applyFont="1" applyFill="1" applyBorder="1" applyAlignment="1" applyProtection="1">
      <alignment horizontal="center" vertical="center" wrapText="1"/>
    </xf>
    <xf numFmtId="171" fontId="11" fillId="14" borderId="1" xfId="4" applyNumberFormat="1" applyFont="1" applyFill="1" applyBorder="1" applyAlignment="1">
      <alignment horizontal="center" vertical="center" wrapText="1"/>
    </xf>
    <xf numFmtId="168" fontId="11" fillId="14" borderId="1" xfId="21" applyNumberFormat="1" applyFont="1" applyFill="1" applyBorder="1" applyAlignment="1" applyProtection="1">
      <alignment horizontal="center" vertical="center" wrapText="1"/>
    </xf>
    <xf numFmtId="165" fontId="11" fillId="14" borderId="1" xfId="4" applyNumberFormat="1" applyFont="1" applyFill="1" applyBorder="1" applyAlignment="1">
      <alignment horizontal="center" vertical="center" wrapText="1"/>
    </xf>
    <xf numFmtId="165" fontId="11" fillId="14" borderId="7" xfId="4" applyNumberFormat="1" applyFont="1" applyFill="1" applyBorder="1" applyAlignment="1">
      <alignment horizontal="center" vertical="center" wrapText="1"/>
    </xf>
    <xf numFmtId="165" fontId="11" fillId="14" borderId="9" xfId="4" applyNumberFormat="1" applyFont="1" applyFill="1" applyBorder="1" applyAlignment="1">
      <alignment horizontal="left" vertical="top" wrapText="1"/>
    </xf>
    <xf numFmtId="0" fontId="45" fillId="14" borderId="0" xfId="20" applyFont="1" applyFill="1"/>
    <xf numFmtId="0" fontId="28" fillId="0" borderId="9" xfId="23" applyFont="1" applyBorder="1" applyAlignment="1">
      <alignment horizontal="left" vertical="top" wrapText="1"/>
    </xf>
    <xf numFmtId="4" fontId="28" fillId="0" borderId="9" xfId="23" applyNumberFormat="1" applyFont="1" applyBorder="1" applyAlignment="1">
      <alignment horizontal="center" vertical="top" wrapText="1"/>
    </xf>
    <xf numFmtId="0" fontId="11" fillId="9" borderId="5" xfId="23" applyFont="1" applyFill="1" applyBorder="1" applyAlignment="1">
      <alignment horizontal="left" vertical="top"/>
    </xf>
    <xf numFmtId="0" fontId="11" fillId="0" borderId="9" xfId="23" applyFont="1" applyBorder="1" applyAlignment="1">
      <alignment horizontal="left" vertical="center" wrapText="1"/>
    </xf>
    <xf numFmtId="172" fontId="11" fillId="0" borderId="9" xfId="23" applyNumberFormat="1" applyFont="1" applyBorder="1" applyAlignment="1">
      <alignment horizontal="center" vertical="center" wrapText="1"/>
    </xf>
    <xf numFmtId="4" fontId="11" fillId="0" borderId="9" xfId="23" applyNumberFormat="1" applyFont="1" applyBorder="1" applyAlignment="1">
      <alignment horizontal="center" vertical="center" wrapText="1"/>
    </xf>
    <xf numFmtId="0" fontId="28" fillId="13" borderId="9" xfId="23" applyFont="1" applyFill="1" applyBorder="1" applyAlignment="1">
      <alignment horizontal="left" vertical="center" wrapText="1"/>
    </xf>
    <xf numFmtId="172" fontId="28" fillId="0" borderId="9" xfId="23" applyNumberFormat="1" applyFont="1" applyBorder="1" applyAlignment="1">
      <alignment horizontal="center" vertical="center" wrapText="1"/>
    </xf>
    <xf numFmtId="0" fontId="28" fillId="14" borderId="11" xfId="23" applyFont="1" applyFill="1" applyBorder="1" applyAlignment="1">
      <alignment horizontal="left" vertical="center" wrapText="1"/>
    </xf>
    <xf numFmtId="0" fontId="11" fillId="14" borderId="5" xfId="20" applyFont="1" applyFill="1" applyBorder="1" applyAlignment="1">
      <alignment horizontal="left" vertical="center" wrapText="1"/>
    </xf>
    <xf numFmtId="0" fontId="45" fillId="0" borderId="0" xfId="20" applyFont="1"/>
    <xf numFmtId="0" fontId="28" fillId="0" borderId="9" xfId="23" applyFont="1" applyBorder="1" applyAlignment="1">
      <alignment horizontal="left" vertical="center" wrapText="1"/>
    </xf>
    <xf numFmtId="4" fontId="28" fillId="0" borderId="9" xfId="23" applyNumberFormat="1" applyFont="1" applyBorder="1" applyAlignment="1">
      <alignment horizontal="center" vertical="center" wrapText="1"/>
    </xf>
    <xf numFmtId="4" fontId="11" fillId="0" borderId="9" xfId="20" applyNumberFormat="1" applyFont="1" applyBorder="1" applyAlignment="1">
      <alignment horizontal="center" vertical="center"/>
    </xf>
    <xf numFmtId="0" fontId="11" fillId="9" borderId="5" xfId="23" applyFont="1" applyFill="1" applyBorder="1" applyAlignment="1">
      <alignment horizontal="center"/>
    </xf>
    <xf numFmtId="0" fontId="11" fillId="0" borderId="9" xfId="23" applyFont="1" applyBorder="1" applyAlignment="1">
      <alignment horizontal="right" vertical="top" wrapText="1"/>
    </xf>
    <xf numFmtId="0" fontId="30" fillId="9" borderId="5" xfId="23" applyFont="1" applyFill="1" applyBorder="1" applyAlignment="1">
      <alignment horizontal="center"/>
    </xf>
    <xf numFmtId="0" fontId="11" fillId="0" borderId="9" xfId="23" applyFont="1" applyBorder="1" applyAlignment="1">
      <alignment horizontal="right" vertical="center" wrapText="1"/>
    </xf>
    <xf numFmtId="0" fontId="30" fillId="9" borderId="5" xfId="23" applyFont="1" applyFill="1" applyBorder="1" applyAlignment="1">
      <alignment horizontal="left" vertical="top"/>
    </xf>
    <xf numFmtId="4" fontId="11" fillId="9" borderId="9" xfId="23" applyNumberFormat="1" applyFont="1" applyFill="1" applyBorder="1" applyAlignment="1">
      <alignment horizontal="center" vertical="center" wrapText="1"/>
    </xf>
    <xf numFmtId="0" fontId="11" fillId="9" borderId="5" xfId="23" applyFont="1" applyFill="1" applyBorder="1" applyAlignment="1">
      <alignment horizontal="left" vertical="center"/>
    </xf>
    <xf numFmtId="0" fontId="11" fillId="9" borderId="5" xfId="23" applyFont="1" applyFill="1" applyBorder="1" applyAlignment="1">
      <alignment horizontal="left" vertical="top" wrapText="1"/>
    </xf>
    <xf numFmtId="0" fontId="11" fillId="0" borderId="5" xfId="23" applyFont="1" applyBorder="1" applyAlignment="1">
      <alignment horizontal="left" vertical="center" wrapText="1"/>
    </xf>
    <xf numFmtId="4" fontId="28" fillId="13" borderId="9" xfId="23" applyNumberFormat="1" applyFont="1" applyFill="1" applyBorder="1" applyAlignment="1">
      <alignment horizontal="center" vertical="center" wrapText="1"/>
    </xf>
    <xf numFmtId="0" fontId="28" fillId="14" borderId="9" xfId="23" applyFont="1" applyFill="1" applyBorder="1" applyAlignment="1">
      <alignment horizontal="left" vertical="center" wrapText="1"/>
    </xf>
    <xf numFmtId="4" fontId="28" fillId="14" borderId="9" xfId="23" applyNumberFormat="1" applyFont="1" applyFill="1" applyBorder="1" applyAlignment="1">
      <alignment horizontal="center" vertical="center" wrapText="1"/>
    </xf>
    <xf numFmtId="0" fontId="28" fillId="0" borderId="0" xfId="20" applyFont="1" applyAlignment="1">
      <alignment vertical="center" wrapText="1"/>
    </xf>
    <xf numFmtId="165" fontId="28" fillId="0" borderId="9" xfId="20" applyNumberFormat="1" applyFont="1" applyBorder="1" applyAlignment="1">
      <alignment horizontal="center" vertical="center" wrapText="1"/>
    </xf>
    <xf numFmtId="49" fontId="28" fillId="0" borderId="9" xfId="20" applyNumberFormat="1" applyFont="1" applyBorder="1" applyAlignment="1">
      <alignment horizontal="center" vertical="center" wrapText="1"/>
    </xf>
    <xf numFmtId="49" fontId="28" fillId="9" borderId="9" xfId="20" applyNumberFormat="1" applyFont="1" applyFill="1" applyBorder="1" applyAlignment="1">
      <alignment horizontal="center" vertical="center" wrapText="1"/>
    </xf>
    <xf numFmtId="0" fontId="11" fillId="14" borderId="10" xfId="20" applyFont="1" applyFill="1" applyBorder="1" applyAlignment="1">
      <alignment horizontal="left" vertical="center" wrapText="1"/>
    </xf>
    <xf numFmtId="0" fontId="41" fillId="14" borderId="11" xfId="20" applyFont="1" applyFill="1" applyBorder="1" applyAlignment="1">
      <alignment horizontal="left" vertical="center" wrapText="1"/>
    </xf>
    <xf numFmtId="0" fontId="41" fillId="14" borderId="12" xfId="20" applyFont="1" applyFill="1" applyBorder="1" applyAlignment="1">
      <alignment horizontal="left" vertical="center" wrapText="1"/>
    </xf>
    <xf numFmtId="165" fontId="41" fillId="0" borderId="5" xfId="20" applyNumberFormat="1" applyFont="1" applyBorder="1" applyAlignment="1">
      <alignment horizontal="center" vertical="center" wrapText="1"/>
    </xf>
    <xf numFmtId="0" fontId="28" fillId="0" borderId="9" xfId="20" applyFont="1" applyBorder="1" applyAlignment="1">
      <alignment horizontal="left" vertical="center" wrapText="1"/>
    </xf>
    <xf numFmtId="4" fontId="28" fillId="0" borderId="9" xfId="20" applyNumberFormat="1" applyFont="1" applyBorder="1" applyAlignment="1">
      <alignment horizontal="center" vertical="center"/>
    </xf>
    <xf numFmtId="0" fontId="11" fillId="0" borderId="9" xfId="20" applyFont="1" applyBorder="1" applyAlignment="1">
      <alignment horizontal="left" vertical="center" wrapText="1"/>
    </xf>
    <xf numFmtId="172" fontId="11" fillId="0" borderId="9" xfId="20" applyNumberFormat="1" applyFont="1" applyBorder="1" applyAlignment="1">
      <alignment horizontal="center" vertical="center" wrapText="1"/>
    </xf>
    <xf numFmtId="4" fontId="11" fillId="0" borderId="9" xfId="20" applyNumberFormat="1" applyFont="1" applyBorder="1" applyAlignment="1">
      <alignment horizontal="center" vertical="center" wrapText="1"/>
    </xf>
    <xf numFmtId="0" fontId="11" fillId="0" borderId="9" xfId="20" applyFont="1" applyBorder="1" applyAlignment="1">
      <alignment horizontal="right" vertical="center" wrapText="1"/>
    </xf>
    <xf numFmtId="4" fontId="28" fillId="9" borderId="9" xfId="20" applyNumberFormat="1" applyFont="1" applyFill="1" applyBorder="1" applyAlignment="1">
      <alignment horizontal="center" vertical="center"/>
    </xf>
    <xf numFmtId="172" fontId="46" fillId="0" borderId="9" xfId="20" applyNumberFormat="1" applyFont="1" applyBorder="1" applyAlignment="1">
      <alignment horizontal="center" vertical="center" wrapText="1"/>
    </xf>
    <xf numFmtId="0" fontId="28" fillId="9" borderId="9" xfId="20" applyFont="1" applyFill="1" applyBorder="1" applyAlignment="1">
      <alignment horizontal="left" vertical="center" wrapText="1"/>
    </xf>
    <xf numFmtId="0" fontId="30" fillId="0" borderId="5" xfId="20" applyFont="1" applyBorder="1" applyAlignment="1">
      <alignment horizontal="left" vertical="center" wrapText="1"/>
    </xf>
    <xf numFmtId="172" fontId="28" fillId="0" borderId="9" xfId="20" applyNumberFormat="1" applyFont="1" applyBorder="1" applyAlignment="1">
      <alignment horizontal="center" vertical="center" wrapText="1"/>
    </xf>
    <xf numFmtId="0" fontId="11" fillId="0" borderId="8" xfId="20" applyFont="1" applyBorder="1" applyAlignment="1">
      <alignment horizontal="center" vertical="center"/>
    </xf>
    <xf numFmtId="4" fontId="46" fillId="0" borderId="9" xfId="20" applyNumberFormat="1" applyFont="1" applyBorder="1" applyAlignment="1">
      <alignment horizontal="center" vertical="center"/>
    </xf>
    <xf numFmtId="4" fontId="28" fillId="14" borderId="9" xfId="20" applyNumberFormat="1" applyFont="1" applyFill="1" applyBorder="1" applyAlignment="1">
      <alignment horizontal="left" vertical="center" wrapText="1"/>
    </xf>
    <xf numFmtId="4" fontId="28" fillId="14" borderId="9" xfId="20" applyNumberFormat="1" applyFont="1" applyFill="1" applyBorder="1" applyAlignment="1">
      <alignment horizontal="center" vertical="center"/>
    </xf>
    <xf numFmtId="0" fontId="28" fillId="0" borderId="9" xfId="20" applyFont="1" applyBorder="1" applyAlignment="1">
      <alignment horizontal="center"/>
    </xf>
    <xf numFmtId="4" fontId="11" fillId="14" borderId="9" xfId="20" applyNumberFormat="1" applyFont="1" applyFill="1" applyBorder="1" applyAlignment="1">
      <alignment horizontal="center" vertical="center"/>
    </xf>
    <xf numFmtId="0" fontId="28" fillId="0" borderId="0" xfId="22" applyFont="1" applyAlignment="1">
      <alignment vertical="center"/>
    </xf>
    <xf numFmtId="0" fontId="11" fillId="0" borderId="0" xfId="22" applyFont="1"/>
    <xf numFmtId="0" fontId="47" fillId="0" borderId="0" xfId="20" applyFont="1"/>
    <xf numFmtId="0" fontId="11" fillId="9" borderId="0" xfId="22" applyFont="1" applyFill="1"/>
    <xf numFmtId="0" fontId="11" fillId="0" borderId="0" xfId="22" applyFont="1" applyAlignment="1">
      <alignment horizontal="center"/>
    </xf>
    <xf numFmtId="0" fontId="11" fillId="0" borderId="9" xfId="22" applyFont="1" applyBorder="1" applyAlignment="1">
      <alignment horizontal="center" wrapText="1"/>
    </xf>
    <xf numFmtId="0" fontId="28" fillId="9" borderId="9" xfId="22" applyFont="1" applyFill="1" applyBorder="1" applyAlignment="1">
      <alignment horizontal="center" vertical="center" wrapText="1"/>
    </xf>
    <xf numFmtId="0" fontId="11" fillId="0" borderId="9" xfId="22" applyFont="1" applyBorder="1" applyAlignment="1">
      <alignment horizontal="center" vertical="center" wrapText="1"/>
    </xf>
    <xf numFmtId="0" fontId="11" fillId="9" borderId="9" xfId="22" applyFont="1" applyFill="1" applyBorder="1" applyAlignment="1">
      <alignment horizontal="center" vertical="center" wrapText="1"/>
    </xf>
    <xf numFmtId="0" fontId="11" fillId="0" borderId="8" xfId="22" applyFont="1" applyBorder="1" applyAlignment="1">
      <alignment horizontal="center" vertical="center" wrapText="1"/>
    </xf>
    <xf numFmtId="0" fontId="11" fillId="9" borderId="8" xfId="22" applyFont="1" applyFill="1" applyBorder="1" applyAlignment="1">
      <alignment horizontal="center" vertical="center" wrapText="1"/>
    </xf>
    <xf numFmtId="0" fontId="11" fillId="14" borderId="9" xfId="22" applyFont="1" applyFill="1" applyBorder="1" applyAlignment="1">
      <alignment horizontal="center" wrapText="1"/>
    </xf>
    <xf numFmtId="0" fontId="11" fillId="14" borderId="2" xfId="22" applyFont="1" applyFill="1" applyBorder="1" applyAlignment="1">
      <alignment horizontal="center" wrapText="1"/>
    </xf>
    <xf numFmtId="0" fontId="11" fillId="0" borderId="9" xfId="22" applyFont="1" applyBorder="1" applyAlignment="1">
      <alignment horizontal="left" vertical="center"/>
    </xf>
    <xf numFmtId="4" fontId="11" fillId="0" borderId="10" xfId="22" applyNumberFormat="1" applyFont="1" applyBorder="1" applyAlignment="1">
      <alignment horizontal="center" vertical="center" wrapText="1"/>
    </xf>
    <xf numFmtId="4" fontId="11" fillId="9" borderId="10" xfId="22" applyNumberFormat="1" applyFont="1" applyFill="1" applyBorder="1" applyAlignment="1">
      <alignment horizontal="center" vertical="center" wrapText="1"/>
    </xf>
    <xf numFmtId="0" fontId="11" fillId="9" borderId="9" xfId="22" applyFont="1" applyFill="1" applyBorder="1" applyAlignment="1">
      <alignment horizontal="left" vertical="center"/>
    </xf>
    <xf numFmtId="0" fontId="28" fillId="0" borderId="5" xfId="22" applyFont="1" applyBorder="1" applyAlignment="1">
      <alignment horizontal="left" vertical="center" wrapText="1"/>
    </xf>
    <xf numFmtId="4" fontId="11" fillId="0" borderId="10" xfId="22" applyNumberFormat="1" applyFont="1" applyBorder="1" applyAlignment="1">
      <alignment horizontal="left" vertical="center" wrapText="1"/>
    </xf>
    <xf numFmtId="4" fontId="11" fillId="0" borderId="9" xfId="22" applyNumberFormat="1" applyFont="1" applyBorder="1" applyAlignment="1">
      <alignment horizontal="center" vertical="center"/>
    </xf>
    <xf numFmtId="0" fontId="28" fillId="16" borderId="9" xfId="22" applyFont="1" applyFill="1" applyBorder="1" applyAlignment="1">
      <alignment horizontal="left"/>
    </xf>
    <xf numFmtId="4" fontId="11" fillId="9" borderId="9" xfId="22" applyNumberFormat="1" applyFont="1" applyFill="1" applyBorder="1" applyAlignment="1">
      <alignment horizontal="center" vertical="center" wrapText="1"/>
    </xf>
    <xf numFmtId="0" fontId="28" fillId="14" borderId="9" xfId="22" applyFont="1" applyFill="1" applyBorder="1" applyAlignment="1">
      <alignment horizontal="left" wrapText="1"/>
    </xf>
    <xf numFmtId="4" fontId="28" fillId="14" borderId="9" xfId="22" applyNumberFormat="1" applyFont="1" applyFill="1" applyBorder="1" applyAlignment="1">
      <alignment horizontal="center" vertical="center" wrapText="1"/>
    </xf>
    <xf numFmtId="0" fontId="48" fillId="0" borderId="0" xfId="24"/>
    <xf numFmtId="0" fontId="0" fillId="0" borderId="0" xfId="0" applyProtection="1"/>
    <xf numFmtId="165" fontId="7" fillId="0" borderId="1" xfId="0" applyNumberFormat="1" applyFont="1" applyBorder="1" applyAlignment="1" applyProtection="1">
      <alignment horizontal="right" vertical="center" wrapText="1"/>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center" vertical="center" wrapText="1"/>
    </xf>
    <xf numFmtId="14" fontId="6" fillId="0" borderId="9" xfId="0" applyNumberFormat="1" applyFont="1" applyBorder="1" applyAlignment="1" applyProtection="1">
      <alignment horizontal="center" vertical="center" wrapText="1"/>
    </xf>
    <xf numFmtId="49" fontId="6" fillId="0" borderId="9" xfId="0" applyNumberFormat="1" applyFont="1" applyBorder="1" applyAlignment="1" applyProtection="1">
      <alignment horizontal="center" vertical="center" wrapText="1"/>
    </xf>
    <xf numFmtId="166" fontId="7" fillId="0" borderId="9" xfId="0" applyNumberFormat="1" applyFont="1" applyBorder="1" applyAlignment="1" applyProtection="1">
      <alignment horizontal="center" vertical="center" wrapText="1"/>
    </xf>
    <xf numFmtId="166" fontId="7" fillId="0" borderId="9" xfId="0" applyNumberFormat="1" applyFont="1" applyBorder="1" applyAlignment="1" applyProtection="1">
      <alignment horizontal="center" vertical="top" wrapText="1"/>
    </xf>
    <xf numFmtId="164" fontId="7" fillId="0" borderId="9" xfId="1" applyFont="1" applyFill="1" applyBorder="1" applyAlignment="1" applyProtection="1">
      <alignment vertical="center" wrapText="1"/>
    </xf>
    <xf numFmtId="166" fontId="7" fillId="0" borderId="10" xfId="0" applyNumberFormat="1" applyFont="1" applyBorder="1" applyAlignment="1" applyProtection="1">
      <alignment vertical="center" wrapText="1"/>
    </xf>
    <xf numFmtId="164" fontId="10" fillId="0" borderId="9" xfId="1" applyFont="1" applyFill="1" applyBorder="1" applyProtection="1"/>
    <xf numFmtId="164" fontId="10" fillId="0" borderId="9" xfId="1" applyFont="1" applyBorder="1" applyProtection="1"/>
    <xf numFmtId="0" fontId="7" fillId="0" borderId="9" xfId="0" applyFont="1" applyBorder="1" applyAlignment="1" applyProtection="1">
      <alignment horizontal="left" wrapText="1"/>
    </xf>
    <xf numFmtId="0" fontId="6" fillId="3" borderId="10" xfId="4" applyFont="1" applyFill="1" applyBorder="1" applyAlignment="1" applyProtection="1">
      <alignment horizontal="left"/>
    </xf>
    <xf numFmtId="0" fontId="6" fillId="3" borderId="9" xfId="4" applyFont="1" applyFill="1" applyBorder="1" applyAlignment="1" applyProtection="1">
      <alignment vertical="center"/>
    </xf>
    <xf numFmtId="0" fontId="6" fillId="2" borderId="9" xfId="0" applyFont="1" applyFill="1" applyBorder="1" applyAlignment="1" applyProtection="1">
      <alignment horizontal="left" wrapText="1"/>
    </xf>
    <xf numFmtId="0" fontId="10" fillId="0" borderId="0" xfId="0" applyFont="1" applyProtection="1"/>
    <xf numFmtId="164" fontId="10" fillId="0" borderId="0" xfId="1" applyFont="1" applyBorder="1" applyProtection="1"/>
    <xf numFmtId="0" fontId="7" fillId="0" borderId="0" xfId="0" applyFont="1" applyAlignment="1" applyProtection="1">
      <alignment wrapText="1"/>
    </xf>
    <xf numFmtId="0" fontId="7" fillId="0" borderId="1" xfId="0" applyFont="1" applyBorder="1" applyAlignment="1" applyProtection="1">
      <alignment horizontal="center" wrapText="1"/>
    </xf>
    <xf numFmtId="0" fontId="7" fillId="0" borderId="0" xfId="0" applyFont="1" applyAlignment="1" applyProtection="1">
      <alignment horizontal="center" wrapText="1"/>
    </xf>
    <xf numFmtId="0" fontId="11" fillId="0" borderId="0" xfId="0" applyFont="1" applyAlignment="1" applyProtection="1">
      <alignment horizontal="center" vertical="top" wrapText="1"/>
    </xf>
    <xf numFmtId="0" fontId="11" fillId="0" borderId="0" xfId="0" applyFont="1" applyAlignment="1" applyProtection="1">
      <alignment vertical="top" wrapText="1"/>
    </xf>
    <xf numFmtId="0" fontId="7" fillId="0" borderId="0" xfId="0" applyFont="1" applyAlignment="1" applyProtection="1">
      <alignment horizontal="left" vertical="top" wrapText="1"/>
    </xf>
    <xf numFmtId="164" fontId="7" fillId="0" borderId="9" xfId="1" applyFont="1" applyFill="1" applyBorder="1" applyAlignment="1" applyProtection="1">
      <alignment vertical="center" wrapText="1"/>
      <protection locked="0"/>
    </xf>
    <xf numFmtId="164" fontId="10" fillId="0" borderId="9" xfId="1" applyFont="1" applyFill="1" applyBorder="1" applyProtection="1">
      <protection locked="0"/>
    </xf>
    <xf numFmtId="164" fontId="10" fillId="0" borderId="9" xfId="1" applyFont="1" applyBorder="1" applyProtection="1">
      <protection locked="0"/>
    </xf>
    <xf numFmtId="0" fontId="10" fillId="0" borderId="9" xfId="0" applyFont="1" applyBorder="1" applyProtection="1">
      <protection locked="0"/>
    </xf>
    <xf numFmtId="166" fontId="7" fillId="0" borderId="9" xfId="0" applyNumberFormat="1" applyFont="1" applyBorder="1" applyAlignment="1" applyProtection="1">
      <alignment vertical="center" wrapText="1"/>
      <protection locked="0"/>
    </xf>
    <xf numFmtId="0" fontId="0" fillId="0" borderId="9" xfId="0" applyBorder="1" applyProtection="1">
      <protection locked="0"/>
    </xf>
    <xf numFmtId="14" fontId="0" fillId="0" borderId="0" xfId="0" applyNumberFormat="1"/>
    <xf numFmtId="14" fontId="6" fillId="0" borderId="9" xfId="0" applyNumberFormat="1" applyFont="1" applyBorder="1" applyAlignment="1" applyProtection="1">
      <alignment horizontal="center" vertical="center" wrapText="1"/>
      <protection locked="0"/>
    </xf>
    <xf numFmtId="0" fontId="30" fillId="0" borderId="0" xfId="20" applyFont="1" applyAlignment="1" applyProtection="1">
      <alignment horizontal="left" vertical="top" wrapText="1"/>
    </xf>
    <xf numFmtId="0" fontId="30" fillId="0" borderId="0" xfId="20" applyFont="1" applyAlignment="1" applyProtection="1">
      <alignment horizontal="justify" vertical="center" wrapText="1"/>
    </xf>
    <xf numFmtId="0" fontId="30" fillId="0" borderId="0" xfId="20" applyFont="1" applyAlignment="1" applyProtection="1">
      <alignment vertical="center" wrapText="1"/>
    </xf>
    <xf numFmtId="0" fontId="11" fillId="0" borderId="0" xfId="20" applyFont="1" applyAlignment="1" applyProtection="1">
      <alignment vertical="center" wrapText="1"/>
    </xf>
    <xf numFmtId="165" fontId="30" fillId="0" borderId="0" xfId="20" applyNumberFormat="1" applyFont="1" applyAlignment="1" applyProtection="1">
      <alignment vertical="center" wrapText="1"/>
    </xf>
    <xf numFmtId="165" fontId="31" fillId="0" borderId="0" xfId="20" applyNumberFormat="1" applyFont="1" applyAlignment="1" applyProtection="1">
      <alignment horizontal="left" vertical="center" wrapText="1"/>
    </xf>
    <xf numFmtId="0" fontId="8" fillId="0" borderId="0" xfId="20" applyFont="1" applyAlignment="1" applyProtection="1">
      <alignment vertical="center" wrapText="1"/>
    </xf>
    <xf numFmtId="0" fontId="3" fillId="0" borderId="0" xfId="20" applyProtection="1"/>
    <xf numFmtId="165" fontId="32" fillId="0" borderId="0" xfId="20" applyNumberFormat="1" applyFont="1" applyAlignment="1" applyProtection="1">
      <alignment vertical="center" wrapText="1"/>
    </xf>
    <xf numFmtId="165" fontId="32" fillId="0" borderId="1" xfId="20" applyNumberFormat="1" applyFont="1" applyBorder="1" applyAlignment="1" applyProtection="1">
      <alignment vertical="center" wrapText="1"/>
    </xf>
    <xf numFmtId="165" fontId="22" fillId="0" borderId="1" xfId="20" applyNumberFormat="1" applyFont="1" applyBorder="1" applyAlignment="1" applyProtection="1">
      <alignment horizontal="right" vertical="center" wrapText="1"/>
    </xf>
    <xf numFmtId="165" fontId="31" fillId="0" borderId="1" xfId="20" applyNumberFormat="1" applyFont="1" applyBorder="1" applyAlignment="1" applyProtection="1">
      <alignment horizontal="right" vertical="center" wrapText="1"/>
    </xf>
    <xf numFmtId="0" fontId="6" fillId="0" borderId="9" xfId="20" applyFont="1" applyBorder="1" applyAlignment="1" applyProtection="1">
      <alignment horizontal="center" vertical="center" wrapText="1"/>
    </xf>
    <xf numFmtId="14" fontId="6" fillId="0" borderId="9" xfId="20" applyNumberFormat="1" applyFont="1" applyBorder="1" applyAlignment="1" applyProtection="1">
      <alignment horizontal="center" vertical="center" wrapText="1"/>
    </xf>
    <xf numFmtId="49" fontId="6" fillId="0" borderId="9" xfId="20" applyNumberFormat="1" applyFont="1" applyBorder="1" applyAlignment="1" applyProtection="1">
      <alignment horizontal="center" vertical="center" wrapText="1"/>
    </xf>
    <xf numFmtId="166" fontId="7" fillId="0" borderId="9" xfId="20" applyNumberFormat="1" applyFont="1" applyBorder="1" applyAlignment="1" applyProtection="1">
      <alignment horizontal="left" vertical="top" wrapText="1"/>
    </xf>
    <xf numFmtId="166" fontId="7" fillId="0" borderId="9" xfId="20" applyNumberFormat="1" applyFont="1" applyBorder="1" applyAlignment="1" applyProtection="1">
      <alignment horizontal="center" vertical="center" wrapText="1"/>
    </xf>
    <xf numFmtId="166" fontId="8" fillId="13" borderId="9" xfId="20" applyNumberFormat="1" applyFont="1" applyFill="1" applyBorder="1" applyAlignment="1" applyProtection="1">
      <alignment horizontal="center" vertical="center" wrapText="1"/>
    </xf>
    <xf numFmtId="0" fontId="7" fillId="14" borderId="10" xfId="20" applyFont="1" applyFill="1" applyBorder="1" applyAlignment="1" applyProtection="1">
      <alignment horizontal="left" vertical="top" wrapText="1"/>
    </xf>
    <xf numFmtId="169" fontId="7" fillId="14" borderId="11" xfId="20" applyNumberFormat="1" applyFont="1" applyFill="1" applyBorder="1" applyAlignment="1" applyProtection="1">
      <alignment horizontal="center"/>
    </xf>
    <xf numFmtId="169" fontId="7" fillId="14" borderId="12" xfId="20" applyNumberFormat="1" applyFont="1" applyFill="1" applyBorder="1" applyAlignment="1" applyProtection="1">
      <alignment horizontal="center"/>
    </xf>
    <xf numFmtId="0" fontId="7" fillId="14" borderId="9" xfId="20" applyFont="1" applyFill="1" applyBorder="1" applyAlignment="1" applyProtection="1">
      <alignment vertical="center" wrapText="1"/>
    </xf>
    <xf numFmtId="0" fontId="8" fillId="0" borderId="9" xfId="20" applyFont="1" applyBorder="1" applyAlignment="1" applyProtection="1">
      <alignment vertical="center" wrapText="1"/>
    </xf>
    <xf numFmtId="0" fontId="6" fillId="0" borderId="9" xfId="20" applyFont="1" applyBorder="1" applyAlignment="1" applyProtection="1">
      <alignment horizontal="left" vertical="top" wrapText="1"/>
    </xf>
    <xf numFmtId="169" fontId="6" fillId="0" borderId="9" xfId="20" applyNumberFormat="1" applyFont="1" applyBorder="1" applyAlignment="1" applyProtection="1">
      <alignment horizontal="center"/>
    </xf>
    <xf numFmtId="0" fontId="14" fillId="0" borderId="9" xfId="20" applyFont="1" applyBorder="1" applyAlignment="1" applyProtection="1">
      <alignment vertical="center" wrapText="1"/>
    </xf>
    <xf numFmtId="0" fontId="18" fillId="0" borderId="0" xfId="20" applyFont="1" applyProtection="1"/>
    <xf numFmtId="0" fontId="7" fillId="0" borderId="9" xfId="20" applyFont="1" applyBorder="1" applyAlignment="1" applyProtection="1">
      <alignment horizontal="left" vertical="top" wrapText="1"/>
    </xf>
    <xf numFmtId="169" fontId="7" fillId="0" borderId="9" xfId="20" applyNumberFormat="1" applyFont="1" applyBorder="1" applyAlignment="1" applyProtection="1">
      <alignment horizontal="center"/>
    </xf>
    <xf numFmtId="0" fontId="7" fillId="0" borderId="9" xfId="20" applyFont="1" applyBorder="1" applyAlignment="1" applyProtection="1">
      <alignment vertical="center" wrapText="1"/>
    </xf>
    <xf numFmtId="0" fontId="6" fillId="0" borderId="9" xfId="20" applyFont="1" applyBorder="1" applyAlignment="1" applyProtection="1">
      <alignment vertical="center" wrapText="1"/>
    </xf>
    <xf numFmtId="0" fontId="7" fillId="0" borderId="9" xfId="20" applyFont="1" applyBorder="1" applyAlignment="1" applyProtection="1">
      <alignment horizontal="justify" vertical="center" wrapText="1"/>
    </xf>
    <xf numFmtId="0" fontId="7" fillId="9" borderId="9" xfId="4" applyFont="1" applyFill="1" applyBorder="1" applyAlignment="1" applyProtection="1">
      <alignment horizontal="left" vertical="top"/>
    </xf>
    <xf numFmtId="169" fontId="7" fillId="0" borderId="9" xfId="20" applyNumberFormat="1" applyFont="1" applyBorder="1" applyAlignment="1" applyProtection="1">
      <alignment horizontal="center" vertical="center"/>
    </xf>
    <xf numFmtId="169" fontId="7" fillId="0" borderId="9" xfId="3" applyNumberFormat="1" applyFont="1" applyFill="1" applyBorder="1" applyAlignment="1" applyProtection="1">
      <alignment horizontal="center" vertical="center"/>
    </xf>
    <xf numFmtId="0" fontId="6" fillId="9" borderId="9" xfId="20" applyFont="1" applyFill="1" applyBorder="1" applyAlignment="1" applyProtection="1">
      <alignment horizontal="left" vertical="top" wrapText="1"/>
    </xf>
    <xf numFmtId="169" fontId="6" fillId="0" borderId="9" xfId="20" applyNumberFormat="1" applyFont="1" applyBorder="1" applyAlignment="1" applyProtection="1">
      <alignment horizontal="center" vertical="center"/>
    </xf>
    <xf numFmtId="169" fontId="6" fillId="0" borderId="9" xfId="3" applyNumberFormat="1" applyFont="1" applyFill="1" applyBorder="1" applyAlignment="1" applyProtection="1">
      <alignment horizontal="center" vertical="center"/>
    </xf>
    <xf numFmtId="0" fontId="7" fillId="9" borderId="9" xfId="20" applyFont="1" applyFill="1" applyBorder="1" applyAlignment="1" applyProtection="1">
      <alignment horizontal="left" vertical="top" wrapText="1"/>
    </xf>
    <xf numFmtId="169" fontId="7" fillId="0" borderId="9" xfId="3" applyNumberFormat="1" applyFont="1" applyFill="1" applyBorder="1" applyAlignment="1" applyProtection="1">
      <alignment horizontal="center"/>
    </xf>
    <xf numFmtId="169" fontId="7" fillId="13" borderId="9" xfId="20" applyNumberFormat="1" applyFont="1" applyFill="1" applyBorder="1" applyAlignment="1" applyProtection="1">
      <alignment horizontal="center"/>
    </xf>
    <xf numFmtId="0" fontId="7" fillId="14" borderId="6" xfId="4" applyFont="1" applyFill="1" applyBorder="1" applyAlignment="1" applyProtection="1">
      <alignment horizontal="left" vertical="top"/>
    </xf>
    <xf numFmtId="171" fontId="8" fillId="14" borderId="1" xfId="4" applyNumberFormat="1" applyFont="1" applyFill="1" applyBorder="1" applyAlignment="1" applyProtection="1">
      <alignment horizontal="center" vertical="center" wrapText="1"/>
    </xf>
    <xf numFmtId="165" fontId="8" fillId="14" borderId="1" xfId="4" applyNumberFormat="1" applyFont="1" applyFill="1" applyBorder="1" applyAlignment="1" applyProtection="1">
      <alignment horizontal="center" vertical="center" wrapText="1"/>
    </xf>
    <xf numFmtId="165" fontId="8" fillId="14" borderId="7" xfId="4" applyNumberFormat="1" applyFont="1" applyFill="1" applyBorder="1" applyAlignment="1" applyProtection="1">
      <alignment horizontal="center" vertical="center" wrapText="1"/>
    </xf>
    <xf numFmtId="165" fontId="10" fillId="14" borderId="9" xfId="4" applyNumberFormat="1" applyFont="1" applyFill="1" applyBorder="1" applyAlignment="1" applyProtection="1">
      <alignment horizontal="left" vertical="top" wrapText="1"/>
    </xf>
    <xf numFmtId="0" fontId="6" fillId="0" borderId="9" xfId="20" applyFont="1" applyBorder="1" applyAlignment="1" applyProtection="1">
      <alignment horizontal="justify" vertical="top" wrapText="1"/>
    </xf>
    <xf numFmtId="0" fontId="7" fillId="0" borderId="9" xfId="20" applyFont="1" applyBorder="1" applyAlignment="1" applyProtection="1">
      <alignment horizontal="right" vertical="top" wrapText="1"/>
    </xf>
    <xf numFmtId="0" fontId="7" fillId="0" borderId="9" xfId="20" applyFont="1" applyBorder="1" applyAlignment="1" applyProtection="1">
      <alignment horizontal="justify" vertical="top" wrapText="1"/>
    </xf>
    <xf numFmtId="0" fontId="7" fillId="0" borderId="0" xfId="20" applyFont="1" applyAlignment="1" applyProtection="1">
      <alignment horizontal="left" vertical="center" wrapText="1"/>
    </xf>
    <xf numFmtId="0" fontId="7" fillId="0" borderId="10" xfId="20" applyFont="1" applyBorder="1" applyAlignment="1" applyProtection="1">
      <alignment horizontal="left" vertical="top"/>
    </xf>
    <xf numFmtId="0" fontId="8" fillId="0" borderId="11" xfId="20" applyFont="1" applyBorder="1" applyAlignment="1" applyProtection="1">
      <alignment horizontal="left" vertical="center" wrapText="1"/>
    </xf>
    <xf numFmtId="0" fontId="8" fillId="0" borderId="12" xfId="20" applyFont="1" applyBorder="1" applyAlignment="1" applyProtection="1">
      <alignment horizontal="left" vertical="center" wrapText="1"/>
    </xf>
    <xf numFmtId="0" fontId="7" fillId="0" borderId="11" xfId="20" applyFont="1" applyBorder="1" applyAlignment="1" applyProtection="1">
      <alignment horizontal="left" vertical="center" wrapText="1"/>
    </xf>
    <xf numFmtId="0" fontId="7" fillId="0" borderId="12" xfId="20" applyFont="1" applyBorder="1" applyAlignment="1" applyProtection="1">
      <alignment horizontal="left" vertical="center" wrapText="1"/>
    </xf>
    <xf numFmtId="171" fontId="7" fillId="14" borderId="1" xfId="4" applyNumberFormat="1" applyFont="1" applyFill="1" applyBorder="1" applyAlignment="1" applyProtection="1">
      <alignment horizontal="center" vertical="center" wrapText="1"/>
    </xf>
    <xf numFmtId="165" fontId="7" fillId="14" borderId="1" xfId="4" applyNumberFormat="1" applyFont="1" applyFill="1" applyBorder="1" applyAlignment="1" applyProtection="1">
      <alignment horizontal="center" vertical="center" wrapText="1"/>
    </xf>
    <xf numFmtId="165" fontId="7" fillId="14" borderId="7" xfId="4" applyNumberFormat="1" applyFont="1" applyFill="1" applyBorder="1" applyAlignment="1" applyProtection="1">
      <alignment horizontal="center" vertical="center" wrapText="1"/>
    </xf>
    <xf numFmtId="165" fontId="7" fillId="14" borderId="9" xfId="4" applyNumberFormat="1" applyFont="1" applyFill="1" applyBorder="1" applyAlignment="1" applyProtection="1">
      <alignment horizontal="left" vertical="top" wrapText="1"/>
    </xf>
    <xf numFmtId="0" fontId="6" fillId="0" borderId="8" xfId="20" applyFont="1" applyBorder="1" applyAlignment="1" applyProtection="1">
      <alignment horizontal="left" vertical="top" wrapText="1"/>
    </xf>
    <xf numFmtId="169" fontId="6" fillId="0" borderId="8" xfId="20" applyNumberFormat="1" applyFont="1" applyBorder="1" applyAlignment="1" applyProtection="1">
      <alignment horizontal="center"/>
    </xf>
    <xf numFmtId="165" fontId="7" fillId="0" borderId="9" xfId="4" applyNumberFormat="1" applyFont="1" applyBorder="1" applyAlignment="1" applyProtection="1">
      <alignment horizontal="center" vertical="center" wrapText="1"/>
    </xf>
    <xf numFmtId="165" fontId="7" fillId="0" borderId="5" xfId="4" applyNumberFormat="1" applyFont="1" applyBorder="1" applyAlignment="1" applyProtection="1">
      <alignment horizontal="left" vertical="top" wrapText="1"/>
    </xf>
    <xf numFmtId="0" fontId="7" fillId="9" borderId="9" xfId="20" applyFont="1" applyFill="1" applyBorder="1" applyAlignment="1" applyProtection="1">
      <alignment horizontal="right" vertical="top" wrapText="1"/>
    </xf>
    <xf numFmtId="0" fontId="7" fillId="14" borderId="10" xfId="4" applyFont="1" applyFill="1" applyBorder="1" applyAlignment="1" applyProtection="1">
      <alignment horizontal="left" vertical="top"/>
    </xf>
    <xf numFmtId="171" fontId="7" fillId="0" borderId="11" xfId="4" applyNumberFormat="1" applyFont="1" applyBorder="1" applyAlignment="1" applyProtection="1">
      <alignment horizontal="center" vertical="center" wrapText="1"/>
    </xf>
    <xf numFmtId="171" fontId="7" fillId="0" borderId="12" xfId="4" applyNumberFormat="1" applyFont="1" applyBorder="1" applyAlignment="1" applyProtection="1">
      <alignment horizontal="center" vertical="center" wrapText="1"/>
    </xf>
    <xf numFmtId="171" fontId="7" fillId="0" borderId="9" xfId="4" applyNumberFormat="1" applyFont="1" applyBorder="1" applyAlignment="1" applyProtection="1">
      <alignment horizontal="center" vertical="center" wrapText="1"/>
    </xf>
    <xf numFmtId="165" fontId="7" fillId="0" borderId="9" xfId="4" applyNumberFormat="1" applyFont="1" applyBorder="1" applyAlignment="1" applyProtection="1">
      <alignment vertical="center" wrapText="1"/>
    </xf>
    <xf numFmtId="0" fontId="21" fillId="13" borderId="9" xfId="4" applyFont="1" applyFill="1" applyBorder="1" applyAlignment="1" applyProtection="1">
      <alignment horizontal="left" vertical="top"/>
    </xf>
    <xf numFmtId="0" fontId="7" fillId="14" borderId="10" xfId="4" applyFont="1" applyFill="1" applyBorder="1" applyAlignment="1" applyProtection="1">
      <alignment horizontal="left" vertical="top" wrapText="1"/>
    </xf>
    <xf numFmtId="0" fontId="3" fillId="0" borderId="0" xfId="20" applyAlignment="1" applyProtection="1">
      <alignment vertical="top"/>
    </xf>
    <xf numFmtId="14" fontId="6" fillId="0" borderId="9" xfId="20" applyNumberFormat="1" applyFont="1" applyBorder="1" applyAlignment="1" applyProtection="1">
      <alignment horizontal="center" vertical="center" wrapText="1"/>
      <protection locked="0"/>
    </xf>
    <xf numFmtId="169" fontId="6" fillId="0" borderId="9" xfId="20" applyNumberFormat="1" applyFont="1" applyBorder="1" applyAlignment="1" applyProtection="1">
      <alignment horizontal="center"/>
      <protection locked="0"/>
    </xf>
    <xf numFmtId="169" fontId="7" fillId="0" borderId="9" xfId="20" applyNumberFormat="1" applyFont="1" applyBorder="1" applyAlignment="1" applyProtection="1">
      <alignment horizontal="center"/>
      <protection locked="0"/>
    </xf>
    <xf numFmtId="169" fontId="6" fillId="0" borderId="9" xfId="20" applyNumberFormat="1" applyFont="1" applyBorder="1" applyAlignment="1" applyProtection="1">
      <alignment horizontal="center" vertical="center"/>
      <protection locked="0"/>
    </xf>
    <xf numFmtId="169" fontId="7" fillId="0" borderId="9" xfId="3" applyNumberFormat="1" applyFont="1" applyFill="1" applyBorder="1" applyAlignment="1" applyProtection="1">
      <alignment horizontal="center"/>
      <protection locked="0"/>
    </xf>
    <xf numFmtId="169" fontId="6" fillId="0" borderId="8" xfId="20" applyNumberFormat="1" applyFont="1" applyBorder="1" applyAlignment="1" applyProtection="1">
      <alignment horizontal="center"/>
      <protection locked="0"/>
    </xf>
    <xf numFmtId="165" fontId="8" fillId="0" borderId="9" xfId="4" applyNumberFormat="1" applyFont="1" applyBorder="1" applyAlignment="1" applyProtection="1">
      <alignment horizontal="center" vertical="center" wrapText="1"/>
      <protection locked="0"/>
    </xf>
    <xf numFmtId="0" fontId="11" fillId="0" borderId="5" xfId="22" applyFont="1" applyBorder="1" applyAlignment="1">
      <alignment horizontal="center"/>
    </xf>
    <xf numFmtId="166" fontId="11" fillId="0" borderId="0" xfId="0" applyNumberFormat="1" applyFont="1" applyFill="1" applyAlignment="1">
      <alignment vertical="center" wrapText="1"/>
    </xf>
    <xf numFmtId="166" fontId="11" fillId="0" borderId="0" xfId="0" applyNumberFormat="1" applyFont="1" applyFill="1" applyBorder="1" applyAlignment="1">
      <alignment vertical="center" wrapText="1"/>
    </xf>
    <xf numFmtId="0" fontId="28" fillId="0" borderId="0" xfId="0" applyFont="1" applyFill="1" applyBorder="1" applyAlignment="1">
      <alignment vertical="center" wrapText="1"/>
    </xf>
    <xf numFmtId="0" fontId="11" fillId="0" borderId="9" xfId="0" applyFont="1" applyFill="1" applyBorder="1" applyAlignment="1">
      <alignment horizontal="left" vertical="center" wrapText="1"/>
    </xf>
    <xf numFmtId="170" fontId="11" fillId="0" borderId="9" xfId="21" applyFont="1" applyFill="1" applyBorder="1" applyAlignment="1" applyProtection="1">
      <alignment vertical="center" wrapText="1"/>
    </xf>
    <xf numFmtId="0" fontId="11" fillId="0" borderId="0" xfId="20" applyFont="1"/>
    <xf numFmtId="0" fontId="51" fillId="9" borderId="9" xfId="4" applyFont="1" applyFill="1" applyBorder="1" applyAlignment="1">
      <alignment vertical="center" wrapText="1"/>
    </xf>
    <xf numFmtId="49" fontId="6" fillId="17" borderId="9" xfId="0" applyNumberFormat="1" applyFont="1" applyFill="1" applyBorder="1" applyAlignment="1">
      <alignment horizontal="center" vertical="center" wrapText="1"/>
    </xf>
    <xf numFmtId="165" fontId="11" fillId="0" borderId="0" xfId="0" applyNumberFormat="1" applyFont="1" applyFill="1" applyAlignment="1">
      <alignment vertical="center" wrapText="1"/>
    </xf>
    <xf numFmtId="0" fontId="11" fillId="0" borderId="0" xfId="0" applyFont="1" applyFill="1" applyAlignment="1">
      <alignment vertical="center" wrapText="1"/>
    </xf>
    <xf numFmtId="0" fontId="11" fillId="9" borderId="0" xfId="0" applyFont="1" applyFill="1" applyAlignment="1">
      <alignment vertical="center" wrapText="1"/>
    </xf>
    <xf numFmtId="0" fontId="11" fillId="0" borderId="0" xfId="0" applyFont="1" applyFill="1" applyAlignment="1">
      <alignment horizontal="justify" vertical="center" wrapText="1"/>
    </xf>
    <xf numFmtId="0" fontId="11" fillId="0" borderId="0" xfId="0" applyFont="1" applyFill="1" applyAlignment="1">
      <alignment horizontal="left" vertical="center" wrapText="1"/>
    </xf>
    <xf numFmtId="0" fontId="11" fillId="0" borderId="0" xfId="0" applyFont="1" applyFill="1" applyAlignment="1">
      <alignment horizontal="center" wrapText="1"/>
    </xf>
    <xf numFmtId="165" fontId="11" fillId="0" borderId="0" xfId="0" applyNumberFormat="1" applyFont="1" applyFill="1" applyAlignment="1">
      <alignment horizontal="center" vertical="center" wrapText="1"/>
    </xf>
    <xf numFmtId="4" fontId="10" fillId="0" borderId="9" xfId="0" applyNumberFormat="1" applyFont="1" applyFill="1" applyBorder="1"/>
    <xf numFmtId="0" fontId="10" fillId="0" borderId="9" xfId="0" applyFont="1" applyBorder="1" applyAlignment="1">
      <alignment wrapText="1"/>
    </xf>
    <xf numFmtId="0" fontId="52" fillId="0" borderId="0" xfId="20" applyFont="1"/>
    <xf numFmtId="0" fontId="52" fillId="0" borderId="1" xfId="20" applyFont="1" applyBorder="1"/>
    <xf numFmtId="0" fontId="7" fillId="17" borderId="9" xfId="0" applyFont="1" applyFill="1" applyBorder="1" applyAlignment="1" applyProtection="1">
      <alignment horizontal="left" wrapText="1"/>
    </xf>
    <xf numFmtId="164" fontId="10" fillId="17" borderId="9" xfId="1" applyFont="1" applyFill="1" applyBorder="1" applyProtection="1"/>
    <xf numFmtId="164" fontId="0" fillId="17" borderId="9" xfId="1" applyFont="1" applyFill="1" applyBorder="1" applyProtection="1"/>
    <xf numFmtId="164" fontId="10" fillId="17" borderId="9" xfId="1" applyFont="1" applyFill="1" applyBorder="1" applyProtection="1">
      <protection locked="0"/>
    </xf>
    <xf numFmtId="164" fontId="0" fillId="2" borderId="9" xfId="1" applyFont="1" applyFill="1" applyBorder="1" applyProtection="1">
      <protection locked="0"/>
    </xf>
    <xf numFmtId="164" fontId="10" fillId="2" borderId="9" xfId="1" applyFont="1" applyFill="1" applyBorder="1" applyProtection="1">
      <protection locked="0"/>
    </xf>
    <xf numFmtId="164" fontId="10" fillId="2" borderId="9" xfId="1" applyFont="1" applyFill="1" applyBorder="1" applyProtection="1"/>
    <xf numFmtId="164" fontId="0" fillId="2" borderId="9" xfId="1" applyFont="1" applyFill="1" applyBorder="1" applyProtection="1"/>
    <xf numFmtId="164" fontId="10" fillId="3" borderId="9" xfId="1" applyFont="1" applyFill="1" applyBorder="1" applyProtection="1"/>
    <xf numFmtId="164" fontId="0" fillId="3" borderId="9" xfId="1" applyFont="1" applyFill="1" applyBorder="1" applyProtection="1"/>
    <xf numFmtId="164" fontId="10" fillId="3" borderId="9" xfId="1" applyFont="1" applyFill="1" applyBorder="1" applyProtection="1">
      <protection locked="0"/>
    </xf>
    <xf numFmtId="164" fontId="0" fillId="3" borderId="9" xfId="1" applyFont="1" applyFill="1" applyBorder="1" applyProtection="1">
      <protection locked="0"/>
    </xf>
    <xf numFmtId="164" fontId="0" fillId="5" borderId="9" xfId="1" applyFont="1" applyFill="1" applyBorder="1" applyProtection="1"/>
    <xf numFmtId="164" fontId="0" fillId="5" borderId="9" xfId="1" applyFont="1" applyFill="1" applyBorder="1" applyProtection="1">
      <protection locked="0"/>
    </xf>
    <xf numFmtId="0" fontId="7" fillId="17" borderId="9" xfId="0" applyFont="1" applyFill="1" applyBorder="1" applyAlignment="1" applyProtection="1">
      <alignment horizontal="left" vertical="center" wrapText="1"/>
    </xf>
    <xf numFmtId="166" fontId="6" fillId="19" borderId="10" xfId="0" applyNumberFormat="1" applyFont="1" applyFill="1" applyBorder="1" applyAlignment="1" applyProtection="1">
      <alignment vertical="center" wrapText="1"/>
    </xf>
    <xf numFmtId="164" fontId="7" fillId="19" borderId="9" xfId="1" applyFont="1" applyFill="1" applyBorder="1" applyAlignment="1" applyProtection="1">
      <alignment vertical="center" wrapText="1"/>
    </xf>
    <xf numFmtId="164" fontId="7" fillId="19" borderId="9" xfId="1" applyFont="1" applyFill="1" applyBorder="1" applyAlignment="1" applyProtection="1">
      <alignment vertical="center" wrapText="1"/>
      <protection locked="0"/>
    </xf>
    <xf numFmtId="0" fontId="6" fillId="19" borderId="9" xfId="0" applyFont="1" applyFill="1" applyBorder="1" applyAlignment="1" applyProtection="1">
      <alignment horizontal="left" wrapText="1"/>
    </xf>
    <xf numFmtId="164" fontId="0" fillId="19" borderId="9" xfId="1" applyFont="1" applyFill="1" applyBorder="1" applyProtection="1"/>
    <xf numFmtId="164" fontId="0" fillId="19" borderId="9" xfId="1" applyFont="1" applyFill="1" applyBorder="1" applyProtection="1">
      <protection locked="0"/>
    </xf>
    <xf numFmtId="0" fontId="6" fillId="17" borderId="9" xfId="0" applyFont="1" applyFill="1" applyBorder="1" applyAlignment="1" applyProtection="1">
      <alignment horizontal="left" wrapText="1"/>
    </xf>
    <xf numFmtId="164" fontId="10" fillId="17" borderId="9" xfId="0" applyNumberFormat="1" applyFont="1" applyFill="1" applyBorder="1" applyProtection="1"/>
    <xf numFmtId="164" fontId="10" fillId="17" borderId="9" xfId="0" applyNumberFormat="1" applyFont="1" applyFill="1" applyBorder="1" applyProtection="1">
      <protection locked="0"/>
    </xf>
    <xf numFmtId="0" fontId="10" fillId="17" borderId="9" xfId="0" applyFont="1" applyFill="1" applyBorder="1" applyProtection="1"/>
    <xf numFmtId="0" fontId="10" fillId="17" borderId="9" xfId="0" applyFont="1" applyFill="1" applyBorder="1" applyProtection="1">
      <protection locked="0"/>
    </xf>
    <xf numFmtId="164" fontId="0" fillId="17" borderId="9" xfId="1" applyFont="1" applyFill="1" applyBorder="1" applyProtection="1">
      <protection locked="0"/>
    </xf>
    <xf numFmtId="164" fontId="19" fillId="17" borderId="9" xfId="1" applyFont="1" applyFill="1" applyBorder="1" applyProtection="1"/>
    <xf numFmtId="164" fontId="19" fillId="17" borderId="9" xfId="1" applyFont="1" applyFill="1" applyBorder="1" applyProtection="1">
      <protection locked="0"/>
    </xf>
    <xf numFmtId="0" fontId="6" fillId="17" borderId="9" xfId="0" applyFont="1" applyFill="1" applyBorder="1" applyAlignment="1" applyProtection="1">
      <alignment horizontal="left" vertical="center" wrapText="1"/>
    </xf>
    <xf numFmtId="0" fontId="6" fillId="12" borderId="9" xfId="0" applyFont="1" applyFill="1" applyBorder="1" applyAlignment="1" applyProtection="1">
      <alignment horizontal="left" wrapText="1"/>
    </xf>
    <xf numFmtId="164" fontId="10" fillId="12" borderId="9" xfId="1" applyFont="1" applyFill="1" applyBorder="1" applyProtection="1"/>
    <xf numFmtId="164" fontId="0" fillId="12" borderId="9" xfId="1" applyFont="1" applyFill="1" applyBorder="1" applyProtection="1"/>
    <xf numFmtId="164" fontId="0" fillId="12" borderId="9" xfId="1" applyFont="1" applyFill="1" applyBorder="1" applyProtection="1">
      <protection locked="0"/>
    </xf>
    <xf numFmtId="164" fontId="10" fillId="12" borderId="9" xfId="1" applyFont="1" applyFill="1" applyBorder="1" applyProtection="1">
      <protection locked="0"/>
    </xf>
    <xf numFmtId="164" fontId="19" fillId="17" borderId="9" xfId="0" applyNumberFormat="1" applyFont="1" applyFill="1" applyBorder="1" applyProtection="1"/>
    <xf numFmtId="164" fontId="19" fillId="17" borderId="9" xfId="0" applyNumberFormat="1" applyFont="1" applyFill="1" applyBorder="1" applyProtection="1">
      <protection locked="0"/>
    </xf>
    <xf numFmtId="0" fontId="10" fillId="0" borderId="0" xfId="0" applyFont="1" applyFill="1" applyProtection="1"/>
    <xf numFmtId="173" fontId="19" fillId="17" borderId="9" xfId="1" applyNumberFormat="1" applyFont="1" applyFill="1" applyBorder="1" applyProtection="1"/>
    <xf numFmtId="173" fontId="10" fillId="17" borderId="9" xfId="1" applyNumberFormat="1" applyFont="1" applyFill="1" applyBorder="1" applyProtection="1"/>
    <xf numFmtId="0" fontId="53" fillId="0" borderId="0" xfId="0" applyFont="1" applyProtection="1"/>
    <xf numFmtId="164" fontId="53" fillId="0" borderId="0" xfId="0" applyNumberFormat="1" applyFont="1" applyProtection="1"/>
    <xf numFmtId="0" fontId="31" fillId="0" borderId="0" xfId="0" applyFont="1" applyProtection="1"/>
    <xf numFmtId="164" fontId="54" fillId="0" borderId="0" xfId="0" applyNumberFormat="1" applyFont="1" applyProtection="1"/>
    <xf numFmtId="0" fontId="55" fillId="0" borderId="9" xfId="0" applyFont="1" applyBorder="1" applyAlignment="1" applyProtection="1">
      <alignment vertical="top" wrapText="1"/>
      <protection locked="0"/>
    </xf>
    <xf numFmtId="0" fontId="55" fillId="0" borderId="9" xfId="0" applyFont="1" applyBorder="1" applyAlignment="1" applyProtection="1">
      <alignment horizontal="left" vertical="top" wrapText="1"/>
      <protection locked="0"/>
    </xf>
    <xf numFmtId="0" fontId="6" fillId="12" borderId="9" xfId="0" applyFont="1" applyFill="1" applyBorder="1" applyAlignment="1" applyProtection="1">
      <alignment horizontal="left" vertical="top" wrapText="1"/>
    </xf>
    <xf numFmtId="0" fontId="7" fillId="2" borderId="9"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51" fillId="0" borderId="9" xfId="0" applyNumberFormat="1" applyFont="1" applyFill="1" applyBorder="1" applyAlignment="1">
      <alignment vertical="center" wrapText="1"/>
    </xf>
    <xf numFmtId="0" fontId="56" fillId="0" borderId="9" xfId="0" applyNumberFormat="1" applyFont="1" applyFill="1" applyBorder="1" applyAlignment="1">
      <alignment vertical="center" wrapText="1"/>
    </xf>
    <xf numFmtId="0" fontId="51" fillId="0" borderId="9" xfId="0" applyNumberFormat="1" applyFont="1" applyFill="1" applyBorder="1" applyAlignment="1">
      <alignment horizontal="left" vertical="center" wrapText="1"/>
    </xf>
    <xf numFmtId="0" fontId="28" fillId="0" borderId="9" xfId="20" applyFont="1" applyFill="1" applyBorder="1" applyAlignment="1">
      <alignment horizontal="left" vertical="center" wrapText="1"/>
    </xf>
    <xf numFmtId="172" fontId="28" fillId="0" borderId="9" xfId="20" applyNumberFormat="1" applyFont="1" applyFill="1" applyBorder="1" applyAlignment="1">
      <alignment horizontal="center" vertical="center" wrapText="1"/>
    </xf>
    <xf numFmtId="4" fontId="28" fillId="0" borderId="9" xfId="20" applyNumberFormat="1" applyFont="1" applyFill="1" applyBorder="1" applyAlignment="1">
      <alignment horizontal="center" vertical="center"/>
    </xf>
    <xf numFmtId="0" fontId="11" fillId="0" borderId="8" xfId="20" applyFont="1" applyFill="1" applyBorder="1" applyAlignment="1">
      <alignment horizontal="center" vertical="center"/>
    </xf>
    <xf numFmtId="0" fontId="44" fillId="0" borderId="0" xfId="20" applyFont="1" applyFill="1"/>
    <xf numFmtId="0" fontId="11" fillId="0" borderId="9" xfId="20" applyFont="1" applyFill="1" applyBorder="1" applyAlignment="1">
      <alignment horizontal="left" vertical="center" wrapText="1"/>
    </xf>
    <xf numFmtId="172" fontId="11" fillId="0" borderId="9" xfId="20" applyNumberFormat="1" applyFont="1" applyFill="1" applyBorder="1" applyAlignment="1">
      <alignment horizontal="center" vertical="center" wrapText="1"/>
    </xf>
    <xf numFmtId="4" fontId="11" fillId="0" borderId="9" xfId="20" applyNumberFormat="1" applyFont="1" applyFill="1" applyBorder="1" applyAlignment="1">
      <alignment horizontal="center" vertical="center"/>
    </xf>
    <xf numFmtId="4" fontId="11" fillId="0" borderId="9" xfId="20" applyNumberFormat="1" applyFont="1" applyFill="1" applyBorder="1" applyAlignment="1">
      <alignment horizontal="center" vertical="center" wrapText="1"/>
    </xf>
    <xf numFmtId="0" fontId="11" fillId="0" borderId="9" xfId="20" applyFont="1" applyFill="1" applyBorder="1" applyAlignment="1">
      <alignment horizontal="right" vertical="center" wrapText="1"/>
    </xf>
    <xf numFmtId="4" fontId="46" fillId="0" borderId="9" xfId="20" applyNumberFormat="1" applyFont="1" applyFill="1" applyBorder="1" applyAlignment="1">
      <alignment horizontal="center" vertical="center"/>
    </xf>
    <xf numFmtId="171" fontId="57" fillId="0" borderId="9" xfId="0" applyNumberFormat="1" applyFont="1" applyBorder="1" applyAlignment="1">
      <alignment horizontal="center" vertical="center" wrapText="1"/>
    </xf>
    <xf numFmtId="4" fontId="8" fillId="0" borderId="9" xfId="0" applyNumberFormat="1" applyFont="1" applyBorder="1"/>
    <xf numFmtId="2" fontId="7" fillId="0" borderId="9" xfId="0" applyNumberFormat="1" applyFont="1" applyBorder="1" applyAlignment="1">
      <alignment horizontal="center" vertical="center" wrapText="1"/>
    </xf>
    <xf numFmtId="2" fontId="7" fillId="0" borderId="9" xfId="1" applyNumberFormat="1" applyFont="1" applyFill="1" applyBorder="1" applyAlignment="1">
      <alignment vertical="center" wrapText="1"/>
    </xf>
    <xf numFmtId="2" fontId="7" fillId="0" borderId="9" xfId="1" applyNumberFormat="1" applyFont="1" applyFill="1" applyBorder="1"/>
    <xf numFmtId="2" fontId="7" fillId="0" borderId="9" xfId="0" applyNumberFormat="1" applyFont="1" applyBorder="1"/>
    <xf numFmtId="2" fontId="13" fillId="0" borderId="9" xfId="0" applyNumberFormat="1" applyFont="1" applyBorder="1"/>
    <xf numFmtId="2" fontId="7" fillId="0" borderId="9" xfId="16" applyNumberFormat="1" applyFont="1" applyFill="1" applyBorder="1" applyAlignment="1" applyProtection="1">
      <alignment horizontal="right" vertical="center" wrapText="1"/>
      <protection locked="0"/>
    </xf>
    <xf numFmtId="164" fontId="7" fillId="0" borderId="9" xfId="0" applyNumberFormat="1" applyFont="1" applyBorder="1" applyAlignment="1">
      <alignment horizontal="right"/>
    </xf>
    <xf numFmtId="1" fontId="7" fillId="0" borderId="9" xfId="0" applyNumberFormat="1" applyFont="1" applyBorder="1" applyAlignment="1">
      <alignment horizontal="center" vertical="center" wrapText="1"/>
    </xf>
    <xf numFmtId="0" fontId="11" fillId="0" borderId="9" xfId="22" applyFont="1" applyBorder="1" applyAlignment="1">
      <alignment vertical="top" wrapText="1"/>
    </xf>
    <xf numFmtId="171" fontId="10" fillId="0" borderId="9" xfId="0" applyNumberFormat="1" applyFont="1" applyBorder="1" applyAlignment="1">
      <alignment horizontal="center" vertical="center" wrapText="1"/>
    </xf>
    <xf numFmtId="0" fontId="6" fillId="0" borderId="9" xfId="20" applyFont="1" applyFill="1" applyBorder="1" applyAlignment="1" applyProtection="1">
      <alignment horizontal="left" vertical="top" wrapText="1"/>
    </xf>
    <xf numFmtId="169" fontId="6" fillId="0" borderId="9" xfId="20" applyNumberFormat="1" applyFont="1" applyFill="1" applyBorder="1" applyAlignment="1" applyProtection="1">
      <alignment horizontal="center"/>
    </xf>
    <xf numFmtId="169" fontId="6" fillId="0" borderId="9" xfId="20" applyNumberFormat="1" applyFont="1" applyFill="1" applyBorder="1" applyAlignment="1" applyProtection="1">
      <alignment horizontal="center"/>
      <protection locked="0"/>
    </xf>
    <xf numFmtId="0" fontId="7" fillId="0" borderId="9" xfId="20" applyFont="1" applyFill="1" applyBorder="1" applyAlignment="1" applyProtection="1">
      <alignment horizontal="left" vertical="top" wrapText="1"/>
    </xf>
    <xf numFmtId="169" fontId="7" fillId="0" borderId="9" xfId="20" applyNumberFormat="1" applyFont="1" applyFill="1" applyBorder="1" applyAlignment="1" applyProtection="1">
      <alignment horizontal="center"/>
    </xf>
    <xf numFmtId="169" fontId="7" fillId="0" borderId="9" xfId="20" applyNumberFormat="1" applyFont="1" applyFill="1" applyBorder="1" applyAlignment="1" applyProtection="1">
      <alignment horizontal="center"/>
      <protection locked="0"/>
    </xf>
    <xf numFmtId="4" fontId="24" fillId="0" borderId="9" xfId="20" applyNumberFormat="1" applyFont="1" applyFill="1" applyBorder="1" applyAlignment="1">
      <alignment horizontal="center" vertical="center" wrapText="1"/>
    </xf>
    <xf numFmtId="4" fontId="11" fillId="0" borderId="9" xfId="23" applyNumberFormat="1" applyFont="1" applyFill="1" applyBorder="1" applyAlignment="1">
      <alignment horizontal="center" vertical="center" wrapText="1"/>
    </xf>
    <xf numFmtId="172" fontId="28" fillId="0" borderId="9" xfId="23" applyNumberFormat="1" applyFont="1" applyFill="1" applyBorder="1" applyAlignment="1">
      <alignment horizontal="center" vertical="center" wrapText="1"/>
    </xf>
    <xf numFmtId="43" fontId="11" fillId="0" borderId="9" xfId="22" applyNumberFormat="1" applyFont="1" applyBorder="1" applyAlignment="1">
      <alignment horizontal="center" vertical="center" wrapText="1"/>
    </xf>
    <xf numFmtId="43" fontId="11" fillId="0" borderId="9" xfId="22" applyNumberFormat="1" applyFont="1" applyFill="1" applyBorder="1" applyAlignment="1">
      <alignment horizontal="center" vertical="center" wrapText="1"/>
    </xf>
    <xf numFmtId="170" fontId="11" fillId="0" borderId="9" xfId="0" applyNumberFormat="1" applyFont="1" applyFill="1" applyBorder="1" applyAlignment="1">
      <alignment horizontal="center" vertical="center" wrapText="1"/>
    </xf>
    <xf numFmtId="170" fontId="11" fillId="0" borderId="9" xfId="21" applyFont="1" applyFill="1" applyBorder="1" applyAlignment="1" applyProtection="1">
      <alignment horizontal="center" vertical="center" wrapText="1"/>
    </xf>
    <xf numFmtId="165" fontId="28" fillId="0" borderId="9" xfId="22" applyNumberFormat="1" applyFont="1" applyBorder="1" applyAlignment="1">
      <alignment vertical="center" wrapText="1"/>
    </xf>
    <xf numFmtId="170" fontId="28" fillId="0" borderId="9" xfId="21" applyFont="1" applyFill="1" applyBorder="1" applyAlignment="1" applyProtection="1">
      <alignment horizontal="center" vertical="center" wrapText="1"/>
    </xf>
    <xf numFmtId="43" fontId="28" fillId="0" borderId="9" xfId="22" applyNumberFormat="1" applyFont="1" applyBorder="1" applyAlignment="1">
      <alignment horizontal="center" vertical="center" wrapText="1"/>
    </xf>
    <xf numFmtId="43" fontId="28" fillId="0" borderId="9" xfId="22" applyNumberFormat="1" applyFont="1" applyBorder="1" applyAlignment="1">
      <alignment vertical="center" wrapText="1"/>
    </xf>
    <xf numFmtId="43" fontId="11" fillId="0" borderId="9" xfId="20" applyNumberFormat="1" applyFont="1" applyBorder="1" applyAlignment="1">
      <alignment horizontal="center" vertical="center" wrapText="1"/>
    </xf>
    <xf numFmtId="170" fontId="50" fillId="0" borderId="9" xfId="21" applyFont="1" applyFill="1" applyBorder="1" applyAlignment="1" applyProtection="1">
      <alignment horizontal="center" vertical="center" wrapText="1"/>
    </xf>
    <xf numFmtId="43" fontId="50" fillId="0" borderId="9" xfId="20" applyNumberFormat="1" applyFont="1" applyBorder="1" applyAlignment="1">
      <alignment horizontal="center" vertical="center" wrapText="1"/>
    </xf>
    <xf numFmtId="4" fontId="11" fillId="20" borderId="9" xfId="22" applyNumberFormat="1" applyFont="1" applyFill="1" applyBorder="1" applyAlignment="1">
      <alignment horizontal="center" vertical="center" wrapText="1"/>
    </xf>
    <xf numFmtId="4" fontId="11" fillId="0" borderId="10" xfId="22" applyNumberFormat="1" applyFont="1" applyFill="1" applyBorder="1" applyAlignment="1">
      <alignment horizontal="center" vertical="center" wrapText="1"/>
    </xf>
    <xf numFmtId="4" fontId="11" fillId="0" borderId="9" xfId="22" applyNumberFormat="1" applyFont="1" applyFill="1" applyBorder="1" applyAlignment="1">
      <alignment horizontal="center" vertical="center" wrapText="1"/>
    </xf>
    <xf numFmtId="0" fontId="19" fillId="0" borderId="0" xfId="0" applyFont="1" applyFill="1"/>
    <xf numFmtId="0" fontId="6" fillId="0" borderId="9" xfId="0" applyFont="1" applyFill="1" applyBorder="1" applyAlignment="1">
      <alignment horizontal="left" vertical="top" wrapText="1"/>
    </xf>
    <xf numFmtId="2" fontId="7" fillId="0" borderId="9" xfId="0" applyNumberFormat="1" applyFont="1" applyFill="1" applyBorder="1" applyAlignment="1">
      <alignment horizontal="right" wrapText="1"/>
    </xf>
    <xf numFmtId="2" fontId="8" fillId="0" borderId="9" xfId="0" applyNumberFormat="1" applyFont="1" applyFill="1" applyBorder="1" applyAlignment="1">
      <alignment horizontal="right" wrapText="1"/>
    </xf>
    <xf numFmtId="0" fontId="10" fillId="0" borderId="9" xfId="0" applyFont="1" applyFill="1" applyBorder="1"/>
    <xf numFmtId="2" fontId="10" fillId="0" borderId="0" xfId="0" applyNumberFormat="1" applyFont="1" applyFill="1"/>
    <xf numFmtId="0" fontId="10" fillId="0" borderId="0" xfId="0" applyFont="1" applyFill="1"/>
    <xf numFmtId="167" fontId="6" fillId="0" borderId="9" xfId="0" applyNumberFormat="1" applyFont="1" applyFill="1" applyBorder="1" applyAlignment="1">
      <alignment horizontal="left" wrapText="1"/>
    </xf>
    <xf numFmtId="168" fontId="6" fillId="0" borderId="9" xfId="0" applyNumberFormat="1" applyFont="1" applyFill="1" applyBorder="1" applyAlignment="1">
      <alignment horizontal="right" wrapText="1"/>
    </xf>
    <xf numFmtId="168" fontId="6" fillId="0" borderId="9" xfId="0" applyNumberFormat="1" applyFont="1" applyFill="1" applyBorder="1" applyAlignment="1">
      <alignment vertical="center" wrapText="1"/>
    </xf>
    <xf numFmtId="167" fontId="7" fillId="0" borderId="9" xfId="0" applyNumberFormat="1" applyFont="1" applyFill="1" applyBorder="1" applyAlignment="1">
      <alignment horizontal="left" wrapText="1"/>
    </xf>
    <xf numFmtId="168" fontId="7" fillId="0" borderId="9" xfId="0" applyNumberFormat="1" applyFont="1" applyFill="1" applyBorder="1" applyAlignment="1">
      <alignment horizontal="right" wrapText="1"/>
    </xf>
    <xf numFmtId="169" fontId="6" fillId="14" borderId="11" xfId="20" applyNumberFormat="1" applyFont="1" applyFill="1" applyBorder="1" applyAlignment="1" applyProtection="1">
      <alignment horizontal="left" wrapText="1"/>
    </xf>
    <xf numFmtId="167" fontId="6" fillId="0" borderId="9" xfId="0" applyNumberFormat="1" applyFont="1" applyFill="1" applyBorder="1" applyAlignment="1">
      <alignment horizontal="left" vertical="top" wrapText="1"/>
    </xf>
    <xf numFmtId="168" fontId="14" fillId="0" borderId="9" xfId="0" applyNumberFormat="1" applyFont="1" applyFill="1" applyBorder="1" applyAlignment="1">
      <alignment horizontal="right" wrapText="1"/>
    </xf>
    <xf numFmtId="168" fontId="6" fillId="0" borderId="9" xfId="0" applyNumberFormat="1" applyFont="1" applyFill="1" applyBorder="1" applyAlignment="1">
      <alignment horizontal="left" wrapText="1"/>
    </xf>
    <xf numFmtId="168" fontId="7" fillId="0" borderId="9" xfId="0" applyNumberFormat="1" applyFont="1" applyFill="1" applyBorder="1" applyAlignment="1">
      <alignment horizontal="left" wrapText="1"/>
    </xf>
    <xf numFmtId="167" fontId="7" fillId="0" borderId="9" xfId="0" applyNumberFormat="1" applyFont="1" applyFill="1" applyBorder="1" applyAlignment="1">
      <alignment horizontal="right" wrapText="1"/>
    </xf>
    <xf numFmtId="167" fontId="8" fillId="0" borderId="9" xfId="0" applyNumberFormat="1" applyFont="1" applyFill="1" applyBorder="1" applyAlignment="1">
      <alignment horizontal="right" wrapText="1"/>
    </xf>
    <xf numFmtId="168" fontId="8" fillId="0" borderId="9" xfId="0" applyNumberFormat="1" applyFont="1" applyFill="1" applyBorder="1" applyAlignment="1">
      <alignment horizontal="right" wrapText="1"/>
    </xf>
    <xf numFmtId="167" fontId="6" fillId="0" borderId="9" xfId="0" applyNumberFormat="1" applyFont="1" applyFill="1" applyBorder="1" applyAlignment="1">
      <alignment horizontal="left" vertical="center" wrapText="1"/>
    </xf>
    <xf numFmtId="167" fontId="6" fillId="0" borderId="9" xfId="0" applyNumberFormat="1" applyFont="1" applyFill="1" applyBorder="1" applyAlignment="1">
      <alignment horizontal="right" wrapText="1"/>
    </xf>
    <xf numFmtId="167" fontId="14" fillId="0" borderId="9" xfId="0" applyNumberFormat="1" applyFont="1" applyFill="1" applyBorder="1" applyAlignment="1">
      <alignment horizontal="right" wrapText="1"/>
    </xf>
    <xf numFmtId="167" fontId="7" fillId="0" borderId="9" xfId="0" applyNumberFormat="1" applyFont="1" applyFill="1" applyBorder="1" applyAlignment="1">
      <alignment horizontal="left" vertical="center" wrapText="1"/>
    </xf>
    <xf numFmtId="167" fontId="6" fillId="22" borderId="9" xfId="0" applyNumberFormat="1" applyFont="1" applyFill="1" applyBorder="1" applyAlignment="1">
      <alignment horizontal="left" wrapText="1"/>
    </xf>
    <xf numFmtId="168" fontId="6" fillId="22" borderId="9" xfId="0" applyNumberFormat="1" applyFont="1" applyFill="1" applyBorder="1" applyAlignment="1">
      <alignment horizontal="right" wrapText="1"/>
    </xf>
    <xf numFmtId="0" fontId="7" fillId="21" borderId="0" xfId="0" applyFont="1" applyFill="1" applyAlignment="1">
      <alignment horizontal="left" vertical="top" wrapText="1"/>
    </xf>
    <xf numFmtId="0" fontId="7" fillId="21" borderId="0" xfId="0" applyFont="1" applyFill="1" applyAlignment="1">
      <alignment wrapText="1"/>
    </xf>
    <xf numFmtId="172" fontId="11" fillId="9" borderId="9" xfId="23" applyNumberFormat="1" applyFont="1" applyFill="1" applyBorder="1" applyAlignment="1">
      <alignment horizontal="center" vertical="center" wrapText="1"/>
    </xf>
    <xf numFmtId="4" fontId="28" fillId="9" borderId="9" xfId="23" applyNumberFormat="1" applyFont="1" applyFill="1" applyBorder="1" applyAlignment="1">
      <alignment horizontal="center" vertical="center" wrapText="1"/>
    </xf>
    <xf numFmtId="4" fontId="11" fillId="0" borderId="9" xfId="23" applyNumberFormat="1" applyFont="1" applyBorder="1" applyAlignment="1">
      <alignment horizontal="center" vertical="center"/>
    </xf>
    <xf numFmtId="168" fontId="6" fillId="23" borderId="9" xfId="0" applyNumberFormat="1" applyFont="1" applyFill="1" applyBorder="1" applyAlignment="1">
      <alignment horizontal="right" wrapText="1"/>
    </xf>
    <xf numFmtId="168" fontId="7" fillId="23" borderId="9" xfId="0" applyNumberFormat="1" applyFont="1" applyFill="1" applyBorder="1" applyAlignment="1">
      <alignment horizontal="right" wrapText="1"/>
    </xf>
    <xf numFmtId="169" fontId="7" fillId="23" borderId="9" xfId="0" applyNumberFormat="1" applyFont="1" applyFill="1" applyBorder="1" applyAlignment="1">
      <alignment horizontal="right"/>
    </xf>
    <xf numFmtId="168" fontId="6" fillId="23" borderId="9" xfId="0" applyNumberFormat="1" applyFont="1" applyFill="1" applyBorder="1" applyAlignment="1">
      <alignment wrapText="1"/>
    </xf>
    <xf numFmtId="169" fontId="7" fillId="23" borderId="9" xfId="0" applyNumberFormat="1" applyFont="1" applyFill="1" applyBorder="1"/>
    <xf numFmtId="164" fontId="10" fillId="0" borderId="9" xfId="0" applyNumberFormat="1" applyFont="1" applyFill="1" applyBorder="1"/>
    <xf numFmtId="0" fontId="7" fillId="0" borderId="0" xfId="0" applyFont="1" applyFill="1" applyAlignment="1">
      <alignment horizontal="left" vertical="top" wrapText="1"/>
    </xf>
    <xf numFmtId="0" fontId="7" fillId="0" borderId="0" xfId="0" applyFont="1" applyFill="1" applyAlignment="1">
      <alignment wrapText="1"/>
    </xf>
    <xf numFmtId="0" fontId="13" fillId="0" borderId="0" xfId="0" applyFont="1" applyFill="1"/>
    <xf numFmtId="0" fontId="0" fillId="0" borderId="0" xfId="0" applyFill="1"/>
    <xf numFmtId="4" fontId="13" fillId="0" borderId="0" xfId="0" applyNumberFormat="1" applyFont="1"/>
    <xf numFmtId="0" fontId="27" fillId="0" borderId="9" xfId="4" applyFont="1" applyFill="1" applyBorder="1" applyAlignment="1">
      <alignment vertical="center" wrapText="1"/>
    </xf>
    <xf numFmtId="0" fontId="22" fillId="0" borderId="0" xfId="4" applyFont="1" applyFill="1" applyAlignment="1">
      <alignment horizontal="right" vertical="center" wrapText="1"/>
    </xf>
    <xf numFmtId="164" fontId="59" fillId="0" borderId="0" xfId="0" applyNumberFormat="1" applyFont="1"/>
    <xf numFmtId="171" fontId="10" fillId="0" borderId="9" xfId="1" applyNumberFormat="1" applyFont="1" applyFill="1" applyBorder="1" applyAlignment="1">
      <alignment horizontal="center" vertical="center" wrapText="1"/>
    </xf>
    <xf numFmtId="0" fontId="60" fillId="0" borderId="0" xfId="0" applyFont="1"/>
    <xf numFmtId="171" fontId="10" fillId="21" borderId="9" xfId="0" applyNumberFormat="1" applyFont="1" applyFill="1" applyBorder="1" applyAlignment="1">
      <alignment horizontal="center" vertical="center" wrapText="1"/>
    </xf>
    <xf numFmtId="0" fontId="11" fillId="0" borderId="5" xfId="22" applyFont="1" applyBorder="1" applyAlignment="1">
      <alignment horizontal="left" vertical="top" wrapText="1"/>
    </xf>
    <xf numFmtId="0" fontId="11" fillId="0" borderId="8" xfId="22" applyFont="1" applyBorder="1" applyAlignment="1">
      <alignment horizontal="left" vertical="top" wrapText="1"/>
    </xf>
    <xf numFmtId="0" fontId="28" fillId="0" borderId="2" xfId="22" applyFont="1" applyBorder="1" applyAlignment="1">
      <alignment horizontal="center"/>
    </xf>
    <xf numFmtId="0" fontId="28" fillId="0" borderId="5" xfId="22" applyFont="1" applyBorder="1" applyAlignment="1">
      <alignment horizontal="center"/>
    </xf>
    <xf numFmtId="0" fontId="28" fillId="0" borderId="8" xfId="22" applyFont="1" applyBorder="1" applyAlignment="1">
      <alignment horizontal="center"/>
    </xf>
    <xf numFmtId="0" fontId="11" fillId="0" borderId="10" xfId="22" applyFont="1" applyBorder="1" applyAlignment="1">
      <alignment horizontal="left" vertical="top" wrapText="1"/>
    </xf>
    <xf numFmtId="0" fontId="11" fillId="0" borderId="11" xfId="22" applyFont="1" applyBorder="1" applyAlignment="1">
      <alignment horizontal="left" vertical="top" wrapText="1"/>
    </xf>
    <xf numFmtId="0" fontId="11" fillId="0" borderId="12" xfId="22" applyFont="1" applyBorder="1" applyAlignment="1">
      <alignment horizontal="left" vertical="top" wrapText="1"/>
    </xf>
    <xf numFmtId="0" fontId="11" fillId="0" borderId="2" xfId="22" applyFont="1" applyBorder="1" applyAlignment="1">
      <alignment horizontal="left" vertical="center" wrapText="1"/>
    </xf>
    <xf numFmtId="0" fontId="11" fillId="0" borderId="5" xfId="22" applyFont="1" applyBorder="1" applyAlignment="1">
      <alignment horizontal="left" vertical="center"/>
    </xf>
    <xf numFmtId="0" fontId="28" fillId="0" borderId="5" xfId="22" applyFont="1" applyBorder="1" applyAlignment="1">
      <alignment horizontal="left" vertical="top" wrapText="1"/>
    </xf>
    <xf numFmtId="0" fontId="28" fillId="0" borderId="8" xfId="22" applyFont="1" applyBorder="1" applyAlignment="1">
      <alignment horizontal="left" vertical="top" wrapText="1"/>
    </xf>
    <xf numFmtId="0" fontId="11" fillId="0" borderId="2" xfId="22" applyFont="1" applyBorder="1" applyAlignment="1">
      <alignment horizontal="left" wrapText="1"/>
    </xf>
    <xf numFmtId="0" fontId="11" fillId="0" borderId="5" xfId="22" applyFont="1" applyBorder="1" applyAlignment="1">
      <alignment horizontal="left" vertical="center" wrapText="1"/>
    </xf>
    <xf numFmtId="0" fontId="11" fillId="0" borderId="8" xfId="22" applyFont="1" applyBorder="1" applyAlignment="1">
      <alignment horizontal="left" vertical="center" wrapText="1"/>
    </xf>
    <xf numFmtId="0" fontId="11" fillId="0" borderId="2" xfId="22" applyFont="1" applyBorder="1" applyAlignment="1">
      <alignment horizontal="left" vertical="top" wrapText="1"/>
    </xf>
    <xf numFmtId="0" fontId="11" fillId="0" borderId="10"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28" fillId="0" borderId="2" xfId="22" applyFont="1" applyBorder="1" applyAlignment="1">
      <alignment horizontal="center" vertical="center" wrapText="1"/>
    </xf>
    <xf numFmtId="0" fontId="28" fillId="0" borderId="5" xfId="22" applyFont="1" applyBorder="1" applyAlignment="1">
      <alignment horizontal="center" vertical="center" wrapText="1"/>
    </xf>
    <xf numFmtId="0" fontId="28" fillId="0" borderId="5" xfId="22" applyFont="1" applyBorder="1" applyAlignment="1">
      <alignment horizontal="left" vertical="center"/>
    </xf>
    <xf numFmtId="43" fontId="11" fillId="9" borderId="9" xfId="22" applyNumberFormat="1" applyFont="1" applyFill="1" applyBorder="1" applyAlignment="1">
      <alignment horizontal="center" vertical="center" wrapText="1"/>
    </xf>
    <xf numFmtId="0" fontId="11" fillId="0" borderId="5" xfId="22" applyFont="1" applyBorder="1" applyAlignment="1">
      <alignment vertical="top" wrapText="1"/>
    </xf>
    <xf numFmtId="0" fontId="11" fillId="0" borderId="5" xfId="22" applyFont="1" applyBorder="1" applyAlignment="1">
      <alignment horizontal="left" wrapText="1"/>
    </xf>
    <xf numFmtId="0" fontId="11" fillId="0" borderId="8" xfId="22" applyFont="1" applyBorder="1" applyAlignment="1">
      <alignment horizontal="left" wrapText="1"/>
    </xf>
    <xf numFmtId="0" fontId="28" fillId="0" borderId="8" xfId="22" applyFont="1" applyBorder="1" applyAlignment="1">
      <alignment horizontal="left" vertical="center" wrapText="1"/>
    </xf>
    <xf numFmtId="4" fontId="61" fillId="0" borderId="9" xfId="20" applyNumberFormat="1" applyFont="1" applyFill="1" applyBorder="1" applyAlignment="1" applyProtection="1">
      <alignment horizontal="center"/>
    </xf>
    <xf numFmtId="4" fontId="6" fillId="0" borderId="9" xfId="4" applyNumberFormat="1" applyFont="1" applyFill="1" applyBorder="1" applyAlignment="1">
      <alignment horizontal="center" vertical="center" wrapText="1"/>
    </xf>
    <xf numFmtId="4" fontId="7" fillId="0" borderId="9" xfId="4" applyNumberFormat="1" applyFont="1" applyFill="1" applyBorder="1" applyAlignment="1">
      <alignment horizontal="center" vertical="center" wrapText="1"/>
    </xf>
    <xf numFmtId="0" fontId="11" fillId="4" borderId="9" xfId="23" applyFont="1" applyFill="1" applyBorder="1" applyAlignment="1">
      <alignment horizontal="left" vertical="center" wrapText="1"/>
    </xf>
    <xf numFmtId="0" fontId="11" fillId="0" borderId="9" xfId="23" applyFont="1" applyFill="1" applyBorder="1" applyAlignment="1">
      <alignment horizontal="left" vertical="center" wrapText="1"/>
    </xf>
    <xf numFmtId="0" fontId="11" fillId="21" borderId="9" xfId="23" applyFont="1" applyFill="1" applyBorder="1" applyAlignment="1">
      <alignment horizontal="right" vertical="center" wrapText="1"/>
    </xf>
    <xf numFmtId="0" fontId="7" fillId="21" borderId="9" xfId="4" applyFont="1" applyFill="1" applyBorder="1" applyAlignment="1">
      <alignment horizontal="left" vertical="top" wrapText="1"/>
    </xf>
    <xf numFmtId="167" fontId="7" fillId="4" borderId="9" xfId="0" applyNumberFormat="1" applyFont="1" applyFill="1" applyBorder="1" applyAlignment="1">
      <alignment horizontal="left" wrapText="1"/>
    </xf>
    <xf numFmtId="0" fontId="7" fillId="0" borderId="9" xfId="0" applyFont="1" applyFill="1" applyBorder="1" applyAlignment="1">
      <alignment horizontal="left" wrapText="1"/>
    </xf>
    <xf numFmtId="165" fontId="10" fillId="0" borderId="9" xfId="4" applyNumberFormat="1" applyFont="1" applyFill="1" applyBorder="1" applyAlignment="1" applyProtection="1">
      <alignment vertical="center" wrapText="1"/>
    </xf>
    <xf numFmtId="0" fontId="7" fillId="0" borderId="9" xfId="0" applyFont="1" applyBorder="1" applyAlignment="1">
      <alignment wrapText="1"/>
    </xf>
    <xf numFmtId="0" fontId="22" fillId="0" borderId="9" xfId="0" applyFont="1" applyFill="1" applyBorder="1" applyAlignment="1">
      <alignment horizontal="left" vertical="top" wrapText="1"/>
    </xf>
    <xf numFmtId="0" fontId="56" fillId="0" borderId="9" xfId="0" applyFont="1" applyBorder="1" applyAlignment="1">
      <alignment horizontal="center" vertical="center" wrapText="1"/>
    </xf>
    <xf numFmtId="0" fontId="62" fillId="0" borderId="9" xfId="0" applyFont="1" applyBorder="1" applyAlignment="1">
      <alignment horizontal="center" vertical="center" wrapText="1"/>
    </xf>
    <xf numFmtId="4" fontId="10" fillId="0" borderId="9" xfId="0" applyNumberFormat="1" applyFont="1" applyBorder="1" applyAlignment="1">
      <alignment horizontal="center" vertical="center" wrapText="1"/>
    </xf>
    <xf numFmtId="4" fontId="10" fillId="0" borderId="9" xfId="1" applyNumberFormat="1" applyFont="1" applyFill="1" applyBorder="1" applyAlignment="1">
      <alignment horizontal="center" vertical="center" wrapText="1"/>
    </xf>
    <xf numFmtId="4" fontId="10" fillId="0" borderId="9" xfId="0" applyNumberFormat="1" applyFont="1" applyBorder="1" applyAlignment="1">
      <alignment horizontal="center"/>
    </xf>
    <xf numFmtId="165" fontId="51" fillId="0" borderId="9" xfId="0" applyNumberFormat="1" applyFont="1" applyBorder="1" applyAlignment="1">
      <alignment horizontal="center" vertical="center" wrapText="1"/>
    </xf>
    <xf numFmtId="4" fontId="7" fillId="9" borderId="14" xfId="0" applyNumberFormat="1" applyFont="1" applyFill="1" applyBorder="1" applyAlignment="1" applyProtection="1">
      <alignment horizontal="center" vertical="center"/>
      <protection hidden="1"/>
    </xf>
    <xf numFmtId="164" fontId="10" fillId="0" borderId="9" xfId="0" applyNumberFormat="1" applyFont="1" applyBorder="1" applyAlignment="1">
      <alignment horizontal="center"/>
    </xf>
    <xf numFmtId="0" fontId="10" fillId="0" borderId="9" xfId="0" applyFont="1" applyBorder="1" applyAlignment="1">
      <alignment horizontal="center"/>
    </xf>
    <xf numFmtId="169" fontId="10" fillId="0" borderId="0" xfId="0" applyNumberFormat="1" applyFont="1"/>
    <xf numFmtId="0" fontId="10" fillId="24" borderId="9" xfId="0" applyFont="1" applyFill="1" applyBorder="1" applyAlignment="1">
      <alignment wrapText="1"/>
    </xf>
    <xf numFmtId="164" fontId="10" fillId="0" borderId="9" xfId="0" applyNumberFormat="1" applyFont="1" applyBorder="1" applyAlignment="1">
      <alignment horizontal="center" vertical="center"/>
    </xf>
    <xf numFmtId="4" fontId="10" fillId="0" borderId="9" xfId="0" applyNumberFormat="1" applyFont="1" applyBorder="1" applyAlignment="1">
      <alignment horizontal="center" vertical="center"/>
    </xf>
    <xf numFmtId="4" fontId="11" fillId="0" borderId="0" xfId="0" applyNumberFormat="1" applyFont="1" applyFill="1" applyAlignment="1">
      <alignment horizontal="center" wrapText="1"/>
    </xf>
    <xf numFmtId="0" fontId="63" fillId="0" borderId="0" xfId="0" applyFont="1"/>
    <xf numFmtId="0" fontId="7" fillId="0" borderId="1" xfId="0" applyFont="1" applyFill="1" applyBorder="1" applyAlignment="1">
      <alignment horizontal="center" wrapText="1"/>
    </xf>
    <xf numFmtId="0" fontId="11" fillId="0" borderId="0" xfId="0" applyFont="1" applyFill="1" applyAlignment="1">
      <alignment horizontal="center" vertical="top" wrapText="1"/>
    </xf>
    <xf numFmtId="0" fontId="11" fillId="0" borderId="0" xfId="0" applyFont="1" applyFill="1" applyAlignment="1">
      <alignment vertical="top" wrapText="1"/>
    </xf>
    <xf numFmtId="168" fontId="7" fillId="20" borderId="9" xfId="0" applyNumberFormat="1" applyFont="1" applyFill="1" applyBorder="1" applyAlignment="1">
      <alignment horizontal="right" wrapText="1"/>
    </xf>
    <xf numFmtId="4" fontId="10" fillId="20" borderId="9" xfId="0" applyNumberFormat="1" applyFont="1" applyFill="1" applyBorder="1"/>
    <xf numFmtId="0" fontId="10" fillId="20" borderId="0" xfId="0" applyFont="1" applyFill="1"/>
    <xf numFmtId="0" fontId="27" fillId="0" borderId="5" xfId="0" applyFont="1" applyFill="1" applyBorder="1" applyAlignment="1">
      <alignment horizontal="left" vertical="center" wrapText="1"/>
    </xf>
    <xf numFmtId="0" fontId="27" fillId="0" borderId="8" xfId="0" applyFont="1" applyFill="1" applyBorder="1" applyAlignment="1">
      <alignment horizontal="left" vertical="center" wrapText="1"/>
    </xf>
    <xf numFmtId="4" fontId="64" fillId="0" borderId="0" xfId="0" applyNumberFormat="1" applyFont="1"/>
    <xf numFmtId="0" fontId="63" fillId="0" borderId="0" xfId="0" applyFont="1" applyFill="1" applyAlignment="1">
      <alignment horizontal="center" wrapText="1"/>
    </xf>
    <xf numFmtId="0" fontId="11" fillId="0" borderId="0" xfId="0" applyNumberFormat="1" applyFont="1" applyAlignment="1">
      <alignment horizontal="left" vertical="center" wrapText="1"/>
    </xf>
    <xf numFmtId="0" fontId="11" fillId="0" borderId="0" xfId="0" applyNumberFormat="1" applyFont="1" applyAlignment="1">
      <alignment vertical="center" wrapText="1"/>
    </xf>
    <xf numFmtId="0" fontId="11" fillId="21" borderId="0" xfId="0" applyFont="1" applyFill="1" applyAlignment="1">
      <alignment horizontal="left" vertical="center" wrapText="1"/>
    </xf>
    <xf numFmtId="0" fontId="11" fillId="21" borderId="0" xfId="0" applyNumberFormat="1" applyFont="1" applyFill="1" applyAlignment="1">
      <alignment horizontal="center" vertical="top" wrapText="1"/>
    </xf>
    <xf numFmtId="0" fontId="11" fillId="21" borderId="0" xfId="0" applyFont="1" applyFill="1" applyAlignment="1">
      <alignment horizontal="justify" vertical="center" wrapText="1"/>
    </xf>
    <xf numFmtId="0" fontId="11" fillId="21" borderId="0" xfId="0" applyNumberFormat="1" applyFont="1" applyFill="1" applyAlignment="1">
      <alignment vertical="center" wrapText="1"/>
    </xf>
    <xf numFmtId="0" fontId="11" fillId="21" borderId="0" xfId="0" applyNumberFormat="1" applyFont="1" applyFill="1" applyAlignment="1">
      <alignment horizontal="left" vertical="center" wrapText="1"/>
    </xf>
    <xf numFmtId="4" fontId="65" fillId="0" borderId="0" xfId="0" applyNumberFormat="1" applyFont="1" applyAlignment="1">
      <alignment horizontal="center" vertical="top" wrapText="1"/>
    </xf>
    <xf numFmtId="174" fontId="7" fillId="0" borderId="9" xfId="1" applyNumberFormat="1" applyFont="1" applyFill="1" applyBorder="1"/>
    <xf numFmtId="174" fontId="10" fillId="0" borderId="9" xfId="1" applyNumberFormat="1" applyFont="1" applyFill="1" applyBorder="1"/>
    <xf numFmtId="174" fontId="10" fillId="0" borderId="9" xfId="1" applyNumberFormat="1" applyFont="1" applyFill="1" applyBorder="1" applyAlignment="1">
      <alignment horizontal="center"/>
    </xf>
    <xf numFmtId="2" fontId="10" fillId="0" borderId="9" xfId="1" applyNumberFormat="1" applyFont="1" applyFill="1" applyBorder="1"/>
    <xf numFmtId="174" fontId="7" fillId="0" borderId="9" xfId="1" applyNumberFormat="1" applyFont="1" applyFill="1" applyBorder="1" applyAlignment="1">
      <alignment vertical="center" wrapText="1"/>
    </xf>
    <xf numFmtId="0" fontId="7" fillId="21" borderId="0" xfId="0" applyFont="1" applyFill="1" applyAlignment="1">
      <alignment horizontal="center" wrapText="1"/>
    </xf>
    <xf numFmtId="174" fontId="0" fillId="0" borderId="0" xfId="0" applyNumberFormat="1"/>
    <xf numFmtId="164" fontId="10" fillId="21" borderId="9" xfId="0" applyNumberFormat="1" applyFont="1" applyFill="1" applyBorder="1"/>
    <xf numFmtId="164" fontId="10" fillId="21" borderId="9" xfId="1" applyFont="1" applyFill="1" applyBorder="1"/>
    <xf numFmtId="169" fontId="7" fillId="21" borderId="9" xfId="0" applyNumberFormat="1" applyFont="1" applyFill="1" applyBorder="1" applyAlignment="1">
      <alignment horizontal="right"/>
    </xf>
    <xf numFmtId="4" fontId="10" fillId="21" borderId="9" xfId="0" applyNumberFormat="1" applyFont="1" applyFill="1" applyBorder="1"/>
    <xf numFmtId="4" fontId="47" fillId="0" borderId="0" xfId="20" applyNumberFormat="1" applyFont="1"/>
    <xf numFmtId="0" fontId="30" fillId="0" borderId="5" xfId="22" applyFont="1" applyBorder="1" applyAlignment="1">
      <alignment horizontal="left" vertical="center" wrapText="1"/>
    </xf>
    <xf numFmtId="43" fontId="11" fillId="24" borderId="9" xfId="22" applyNumberFormat="1" applyFont="1" applyFill="1" applyBorder="1" applyAlignment="1">
      <alignment horizontal="center" vertical="center" wrapText="1"/>
    </xf>
    <xf numFmtId="170" fontId="11" fillId="21" borderId="9" xfId="0" applyNumberFormat="1" applyFont="1" applyFill="1" applyBorder="1" applyAlignment="1">
      <alignment horizontal="center" vertical="center" wrapText="1"/>
    </xf>
    <xf numFmtId="164" fontId="67" fillId="0" borderId="0" xfId="0" applyNumberFormat="1" applyFont="1" applyProtection="1"/>
    <xf numFmtId="0" fontId="8" fillId="0" borderId="9" xfId="0" applyFont="1" applyBorder="1" applyAlignment="1">
      <alignment wrapText="1"/>
    </xf>
    <xf numFmtId="0" fontId="7" fillId="0" borderId="9" xfId="20" applyNumberFormat="1" applyFont="1" applyFill="1" applyBorder="1" applyAlignment="1" applyProtection="1">
      <alignment horizontal="justify" vertical="center"/>
    </xf>
    <xf numFmtId="169" fontId="68" fillId="0" borderId="0" xfId="20" applyNumberFormat="1" applyFont="1" applyProtection="1"/>
    <xf numFmtId="169" fontId="18" fillId="0" borderId="0" xfId="20" applyNumberFormat="1" applyFont="1" applyProtection="1"/>
    <xf numFmtId="4" fontId="69" fillId="0" borderId="0" xfId="0" applyNumberFormat="1" applyFont="1"/>
    <xf numFmtId="4" fontId="7" fillId="4" borderId="0" xfId="0" applyNumberFormat="1" applyFont="1" applyFill="1"/>
    <xf numFmtId="0" fontId="7" fillId="4" borderId="0" xfId="0" applyFont="1" applyFill="1"/>
    <xf numFmtId="164" fontId="7" fillId="4" borderId="9" xfId="1" applyFont="1" applyFill="1" applyBorder="1"/>
    <xf numFmtId="164" fontId="10" fillId="4" borderId="9" xfId="1" applyFont="1" applyFill="1" applyBorder="1"/>
    <xf numFmtId="164" fontId="10" fillId="4" borderId="9" xfId="0" applyNumberFormat="1" applyFont="1" applyFill="1" applyBorder="1"/>
    <xf numFmtId="0" fontId="70" fillId="0" borderId="0" xfId="0" applyFont="1"/>
    <xf numFmtId="164" fontId="70" fillId="0" borderId="0" xfId="0" applyNumberFormat="1" applyFont="1"/>
    <xf numFmtId="164" fontId="44" fillId="0" borderId="0" xfId="0" applyNumberFormat="1" applyFont="1"/>
    <xf numFmtId="164" fontId="70" fillId="0" borderId="0" xfId="0" applyNumberFormat="1" applyFont="1" applyFill="1"/>
    <xf numFmtId="0" fontId="60" fillId="4" borderId="0" xfId="0" applyFont="1" applyFill="1"/>
    <xf numFmtId="164" fontId="70" fillId="4" borderId="0" xfId="0" applyNumberFormat="1" applyFont="1" applyFill="1"/>
    <xf numFmtId="0" fontId="8" fillId="0" borderId="0" xfId="0" applyNumberFormat="1" applyFont="1" applyAlignment="1">
      <alignment wrapText="1"/>
    </xf>
    <xf numFmtId="4" fontId="55" fillId="0" borderId="9" xfId="1" applyNumberFormat="1" applyFont="1" applyFill="1" applyBorder="1" applyAlignment="1">
      <alignment horizontal="left" vertical="center" wrapText="1"/>
    </xf>
    <xf numFmtId="4" fontId="55" fillId="0" borderId="12" xfId="0" applyNumberFormat="1" applyFont="1" applyBorder="1" applyAlignment="1">
      <alignment horizontal="left" vertical="center" wrapText="1"/>
    </xf>
    <xf numFmtId="0" fontId="8" fillId="0" borderId="12" xfId="0" applyNumberFormat="1" applyFont="1" applyBorder="1" applyAlignment="1">
      <alignment vertical="top" wrapText="1"/>
    </xf>
    <xf numFmtId="4" fontId="7" fillId="20" borderId="9" xfId="0" applyNumberFormat="1" applyFont="1" applyFill="1" applyBorder="1"/>
    <xf numFmtId="175" fontId="7" fillId="0" borderId="9" xfId="0" applyNumberFormat="1" applyFont="1" applyBorder="1" applyAlignment="1">
      <alignment vertical="center" wrapText="1"/>
    </xf>
    <xf numFmtId="0" fontId="11" fillId="0" borderId="2" xfId="0" applyFont="1" applyBorder="1" applyAlignment="1" applyProtection="1">
      <alignment vertical="center" wrapText="1"/>
      <protection locked="0"/>
    </xf>
    <xf numFmtId="0" fontId="40" fillId="0" borderId="9" xfId="0" applyFont="1" applyBorder="1" applyAlignment="1">
      <alignment wrapText="1"/>
    </xf>
    <xf numFmtId="0" fontId="11" fillId="0" borderId="9" xfId="0" applyFont="1" applyBorder="1" applyAlignment="1">
      <alignment horizontal="justify" vertical="center" wrapText="1"/>
    </xf>
    <xf numFmtId="0" fontId="40" fillId="0" borderId="9" xfId="0" applyFont="1" applyBorder="1" applyAlignment="1">
      <alignment vertical="top" wrapText="1"/>
    </xf>
    <xf numFmtId="165" fontId="11" fillId="0" borderId="9" xfId="0" applyNumberFormat="1" applyFont="1" applyFill="1" applyBorder="1" applyAlignment="1">
      <alignment horizontal="center" vertical="top" wrapText="1"/>
    </xf>
    <xf numFmtId="4" fontId="11" fillId="0" borderId="9" xfId="0" applyNumberFormat="1" applyFont="1" applyBorder="1" applyAlignment="1">
      <alignment vertical="center" wrapText="1"/>
    </xf>
    <xf numFmtId="0" fontId="36" fillId="0" borderId="9" xfId="0" applyNumberFormat="1" applyFont="1" applyFill="1" applyBorder="1" applyAlignment="1">
      <alignment vertical="center" wrapText="1"/>
    </xf>
    <xf numFmtId="0" fontId="71" fillId="8" borderId="9" xfId="0" applyFont="1" applyFill="1" applyBorder="1" applyAlignment="1">
      <alignment vertical="top" wrapText="1"/>
    </xf>
    <xf numFmtId="168" fontId="6" fillId="21" borderId="9" xfId="0" applyNumberFormat="1" applyFont="1" applyFill="1" applyBorder="1" applyAlignment="1">
      <alignment horizontal="right" wrapText="1"/>
    </xf>
    <xf numFmtId="4" fontId="10" fillId="4" borderId="0" xfId="0" applyNumberFormat="1" applyFont="1" applyFill="1"/>
    <xf numFmtId="0" fontId="10" fillId="4" borderId="0" xfId="0" applyFont="1" applyFill="1"/>
    <xf numFmtId="164" fontId="19" fillId="4" borderId="0" xfId="0" applyNumberFormat="1" applyFont="1" applyFill="1"/>
    <xf numFmtId="0" fontId="72" fillId="0" borderId="0" xfId="0" applyFont="1" applyFill="1"/>
    <xf numFmtId="167" fontId="7" fillId="21" borderId="9" xfId="0" applyNumberFormat="1" applyFont="1" applyFill="1" applyBorder="1" applyAlignment="1">
      <alignment horizontal="left" wrapText="1"/>
    </xf>
    <xf numFmtId="168" fontId="7" fillId="21" borderId="9" xfId="0" applyNumberFormat="1" applyFont="1" applyFill="1" applyBorder="1" applyAlignment="1">
      <alignment horizontal="right" wrapText="1"/>
    </xf>
    <xf numFmtId="169" fontId="7" fillId="4" borderId="9" xfId="0" applyNumberFormat="1" applyFont="1" applyFill="1" applyBorder="1" applyAlignment="1">
      <alignment horizontal="right"/>
    </xf>
    <xf numFmtId="168" fontId="7" fillId="4" borderId="9" xfId="0" applyNumberFormat="1" applyFont="1" applyFill="1" applyBorder="1" applyAlignment="1">
      <alignment horizontal="right" wrapText="1"/>
    </xf>
    <xf numFmtId="4" fontId="10" fillId="0" borderId="0" xfId="0" applyNumberFormat="1" applyFont="1" applyFill="1"/>
    <xf numFmtId="4" fontId="19" fillId="0" borderId="0" xfId="0" applyNumberFormat="1" applyFont="1"/>
    <xf numFmtId="176" fontId="10" fillId="4" borderId="0" xfId="0" applyNumberFormat="1" applyFont="1" applyFill="1"/>
    <xf numFmtId="0" fontId="8" fillId="8" borderId="9" xfId="0" applyFont="1" applyFill="1" applyBorder="1"/>
    <xf numFmtId="0" fontId="8" fillId="8" borderId="9" xfId="0" applyFont="1" applyFill="1" applyBorder="1" applyAlignment="1">
      <alignment wrapText="1"/>
    </xf>
    <xf numFmtId="0" fontId="56" fillId="0" borderId="9" xfId="0" applyFont="1" applyBorder="1" applyAlignment="1">
      <alignment horizontal="left" vertical="distributed" wrapText="1"/>
    </xf>
    <xf numFmtId="0" fontId="27" fillId="0" borderId="8" xfId="0" applyNumberFormat="1" applyFont="1" applyFill="1" applyBorder="1" applyAlignment="1">
      <alignment vertical="center" wrapText="1"/>
    </xf>
    <xf numFmtId="164" fontId="10" fillId="9" borderId="9" xfId="0" applyNumberFormat="1" applyFont="1" applyFill="1" applyBorder="1"/>
    <xf numFmtId="0" fontId="35" fillId="0" borderId="9" xfId="4" applyFont="1" applyBorder="1" applyAlignment="1">
      <alignment vertical="center" wrapText="1"/>
    </xf>
    <xf numFmtId="0" fontId="26" fillId="0" borderId="9" xfId="4" applyFont="1" applyFill="1" applyBorder="1" applyAlignment="1">
      <alignment horizontal="left" vertical="center" wrapText="1"/>
    </xf>
    <xf numFmtId="4" fontId="7" fillId="0" borderId="10" xfId="4" applyNumberFormat="1" applyFont="1" applyFill="1" applyBorder="1" applyAlignment="1" applyProtection="1">
      <alignment horizontal="center" vertical="center" wrapText="1"/>
      <protection hidden="1"/>
    </xf>
    <xf numFmtId="0" fontId="23" fillId="0" borderId="9" xfId="4" applyFont="1" applyFill="1" applyBorder="1" applyAlignment="1">
      <alignment vertical="center" wrapText="1"/>
    </xf>
    <xf numFmtId="4" fontId="7" fillId="0" borderId="0" xfId="0" applyNumberFormat="1" applyFont="1" applyFill="1"/>
    <xf numFmtId="4" fontId="13" fillId="0" borderId="0" xfId="0" applyNumberFormat="1" applyFont="1" applyFill="1"/>
    <xf numFmtId="4" fontId="7" fillId="0" borderId="10" xfId="4" applyNumberFormat="1" applyFont="1" applyFill="1" applyBorder="1" applyAlignment="1">
      <alignment horizontal="center" vertical="center" wrapText="1"/>
    </xf>
    <xf numFmtId="0" fontId="6" fillId="0" borderId="9" xfId="4" applyFont="1" applyFill="1" applyBorder="1" applyAlignment="1">
      <alignment horizontal="justify" wrapText="1"/>
    </xf>
    <xf numFmtId="0" fontId="25" fillId="0" borderId="0" xfId="0" applyFont="1" applyFill="1"/>
    <xf numFmtId="0" fontId="29" fillId="0" borderId="9" xfId="4" applyFont="1" applyFill="1" applyBorder="1" applyAlignment="1">
      <alignment vertical="center" wrapText="1"/>
    </xf>
    <xf numFmtId="164" fontId="74" fillId="0" borderId="0" xfId="0" applyNumberFormat="1" applyFont="1"/>
    <xf numFmtId="164" fontId="75" fillId="0" borderId="0" xfId="0" applyNumberFormat="1" applyFont="1"/>
    <xf numFmtId="0" fontId="7" fillId="0" borderId="9" xfId="4" applyFont="1" applyFill="1" applyBorder="1" applyAlignment="1">
      <alignment horizontal="left" vertical="top" wrapText="1"/>
    </xf>
    <xf numFmtId="174" fontId="10" fillId="0" borderId="9" xfId="0" applyNumberFormat="1" applyFont="1" applyFill="1" applyBorder="1"/>
    <xf numFmtId="2" fontId="10" fillId="0" borderId="9" xfId="0" applyNumberFormat="1" applyFont="1" applyFill="1" applyBorder="1" applyAlignment="1">
      <alignment horizontal="center" vertical="center"/>
    </xf>
    <xf numFmtId="164" fontId="7" fillId="9" borderId="9" xfId="1" applyFont="1" applyFill="1" applyBorder="1"/>
    <xf numFmtId="166" fontId="7" fillId="0" borderId="9" xfId="0" applyNumberFormat="1" applyFont="1" applyFill="1" applyBorder="1" applyAlignment="1">
      <alignment horizontal="center" vertical="center" wrapText="1"/>
    </xf>
    <xf numFmtId="169" fontId="7" fillId="0" borderId="9" xfId="0" applyNumberFormat="1" applyFont="1" applyFill="1" applyBorder="1" applyAlignment="1">
      <alignment horizontal="center" vertical="center" wrapText="1"/>
    </xf>
    <xf numFmtId="2" fontId="10" fillId="0" borderId="9" xfId="0" applyNumberFormat="1" applyFont="1" applyFill="1" applyBorder="1"/>
    <xf numFmtId="2" fontId="10" fillId="0" borderId="9" xfId="0" applyNumberFormat="1" applyFont="1" applyFill="1" applyBorder="1" applyAlignment="1">
      <alignment horizontal="center"/>
    </xf>
    <xf numFmtId="164" fontId="76" fillId="0" borderId="9" xfId="0" applyNumberFormat="1" applyFont="1" applyFill="1" applyBorder="1"/>
    <xf numFmtId="0" fontId="66" fillId="0" borderId="0" xfId="0" applyFont="1" applyFill="1" applyAlignment="1">
      <alignment wrapText="1"/>
    </xf>
    <xf numFmtId="0" fontId="7" fillId="9" borderId="0" xfId="0" applyFont="1" applyFill="1" applyAlignment="1">
      <alignment wrapText="1"/>
    </xf>
    <xf numFmtId="0" fontId="7" fillId="9" borderId="1" xfId="0" applyFont="1" applyFill="1" applyBorder="1" applyAlignment="1">
      <alignment horizontal="center" wrapText="1"/>
    </xf>
    <xf numFmtId="0" fontId="7" fillId="9" borderId="0" xfId="0" applyFont="1" applyFill="1" applyAlignment="1">
      <alignment horizontal="center" wrapText="1"/>
    </xf>
    <xf numFmtId="0" fontId="11" fillId="9" borderId="0" xfId="0" applyFont="1" applyFill="1" applyAlignment="1">
      <alignment horizontal="center" vertical="top" wrapText="1"/>
    </xf>
    <xf numFmtId="0" fontId="11" fillId="9" borderId="0" xfId="0" applyFont="1" applyFill="1" applyAlignment="1">
      <alignment vertical="top" wrapText="1"/>
    </xf>
    <xf numFmtId="0" fontId="7" fillId="9" borderId="0" xfId="0" applyFont="1" applyFill="1" applyAlignment="1">
      <alignment horizontal="left" vertical="top" wrapText="1"/>
    </xf>
    <xf numFmtId="0" fontId="12" fillId="9" borderId="0" xfId="0" applyFont="1" applyFill="1"/>
    <xf numFmtId="0" fontId="0" fillId="9" borderId="0" xfId="0" applyFill="1"/>
    <xf numFmtId="0" fontId="10" fillId="0" borderId="9" xfId="0" applyFont="1" applyFill="1" applyBorder="1" applyAlignment="1">
      <alignment vertical="top" wrapText="1"/>
    </xf>
    <xf numFmtId="0" fontId="55" fillId="9" borderId="9" xfId="0" applyFont="1" applyFill="1" applyBorder="1" applyAlignment="1">
      <alignment horizontal="justify" wrapText="1"/>
    </xf>
    <xf numFmtId="0" fontId="55" fillId="0" borderId="9" xfId="0" applyFont="1" applyBorder="1" applyAlignment="1">
      <alignment horizontal="justify" vertical="top" wrapText="1"/>
    </xf>
    <xf numFmtId="0" fontId="35" fillId="0" borderId="2" xfId="0" applyFont="1" applyFill="1" applyBorder="1" applyAlignment="1">
      <alignment horizontal="justify" vertical="top" wrapText="1"/>
    </xf>
    <xf numFmtId="0" fontId="77" fillId="0" borderId="9" xfId="0" applyFont="1" applyBorder="1" applyAlignment="1">
      <alignment horizontal="justify" vertical="top" wrapText="1"/>
    </xf>
    <xf numFmtId="169" fontId="7" fillId="0" borderId="9" xfId="0" applyNumberFormat="1" applyFont="1" applyFill="1" applyBorder="1" applyAlignment="1">
      <alignment horizontal="right"/>
    </xf>
    <xf numFmtId="168" fontId="7" fillId="24" borderId="9" xfId="0" applyNumberFormat="1" applyFont="1" applyFill="1" applyBorder="1" applyAlignment="1">
      <alignment horizontal="right" wrapText="1"/>
    </xf>
    <xf numFmtId="167" fontId="7" fillId="0" borderId="9" xfId="0" applyNumberFormat="1" applyFont="1" applyFill="1" applyBorder="1" applyAlignment="1">
      <alignment horizontal="left" vertical="top" wrapText="1"/>
    </xf>
    <xf numFmtId="168" fontId="6" fillId="0" borderId="9" xfId="0" applyNumberFormat="1" applyFont="1" applyFill="1" applyBorder="1" applyAlignment="1">
      <alignment wrapText="1"/>
    </xf>
    <xf numFmtId="169" fontId="7" fillId="0" borderId="9" xfId="0" applyNumberFormat="1" applyFont="1" applyFill="1" applyBorder="1"/>
    <xf numFmtId="0" fontId="10" fillId="0" borderId="9" xfId="0" applyFont="1" applyFill="1" applyBorder="1" applyAlignment="1">
      <alignment wrapText="1"/>
    </xf>
    <xf numFmtId="169" fontId="10" fillId="0" borderId="0" xfId="0" applyNumberFormat="1" applyFont="1" applyFill="1"/>
    <xf numFmtId="168" fontId="19" fillId="0" borderId="9" xfId="0" applyNumberFormat="1" applyFont="1" applyFill="1" applyBorder="1" applyAlignment="1">
      <alignment horizontal="right" wrapText="1"/>
    </xf>
    <xf numFmtId="168" fontId="10" fillId="0" borderId="9" xfId="0" applyNumberFormat="1" applyFont="1" applyFill="1" applyBorder="1" applyAlignment="1">
      <alignment horizontal="right" wrapText="1"/>
    </xf>
    <xf numFmtId="169" fontId="10" fillId="0" borderId="9" xfId="0" applyNumberFormat="1" applyFont="1" applyFill="1" applyBorder="1" applyAlignment="1">
      <alignment horizontal="right"/>
    </xf>
    <xf numFmtId="169" fontId="10" fillId="0" borderId="9" xfId="0" applyNumberFormat="1" applyFont="1" applyFill="1" applyBorder="1"/>
    <xf numFmtId="4" fontId="10" fillId="23" borderId="9" xfId="0" applyNumberFormat="1" applyFont="1" applyFill="1" applyBorder="1"/>
    <xf numFmtId="168" fontId="14" fillId="11" borderId="9" xfId="0" applyNumberFormat="1" applyFont="1" applyFill="1" applyBorder="1" applyAlignment="1">
      <alignment horizontal="right" wrapText="1"/>
    </xf>
    <xf numFmtId="168" fontId="8" fillId="12" borderId="9" xfId="0" applyNumberFormat="1" applyFont="1" applyFill="1" applyBorder="1" applyAlignment="1">
      <alignment horizontal="right" wrapText="1"/>
    </xf>
    <xf numFmtId="167" fontId="19" fillId="0" borderId="9" xfId="0" applyNumberFormat="1" applyFont="1" applyFill="1" applyBorder="1" applyAlignment="1">
      <alignment horizontal="left" wrapText="1"/>
    </xf>
    <xf numFmtId="167" fontId="7" fillId="4" borderId="9" xfId="0" applyNumberFormat="1" applyFont="1" applyFill="1" applyBorder="1" applyAlignment="1">
      <alignment horizontal="left" vertical="top" wrapText="1"/>
    </xf>
    <xf numFmtId="168" fontId="19" fillId="8" borderId="9" xfId="0" applyNumberFormat="1" applyFont="1" applyFill="1" applyBorder="1" applyAlignment="1">
      <alignment horizontal="right" wrapText="1"/>
    </xf>
    <xf numFmtId="168" fontId="10" fillId="8" borderId="9" xfId="0" applyNumberFormat="1" applyFont="1" applyFill="1" applyBorder="1" applyAlignment="1">
      <alignment horizontal="right" wrapText="1"/>
    </xf>
    <xf numFmtId="2" fontId="7" fillId="0" borderId="0" xfId="0" applyNumberFormat="1" applyFont="1"/>
    <xf numFmtId="168" fontId="8" fillId="10" borderId="9" xfId="0" applyNumberFormat="1" applyFont="1" applyFill="1" applyBorder="1" applyAlignment="1">
      <alignment horizontal="right" wrapText="1"/>
    </xf>
    <xf numFmtId="2" fontId="8" fillId="0" borderId="0" xfId="0" applyNumberFormat="1" applyFont="1"/>
    <xf numFmtId="168" fontId="19" fillId="0" borderId="9" xfId="0" applyNumberFormat="1" applyFont="1" applyBorder="1" applyAlignment="1">
      <alignment horizontal="right" wrapText="1"/>
    </xf>
    <xf numFmtId="167" fontId="7" fillId="4" borderId="9" xfId="0" applyNumberFormat="1" applyFont="1" applyFill="1" applyBorder="1" applyAlignment="1">
      <alignment horizontal="left" vertical="center" wrapText="1"/>
    </xf>
    <xf numFmtId="168" fontId="6" fillId="25" borderId="9" xfId="0" applyNumberFormat="1" applyFont="1" applyFill="1" applyBorder="1" applyAlignment="1">
      <alignment horizontal="right" wrapText="1"/>
    </xf>
    <xf numFmtId="168" fontId="14" fillId="25" borderId="9" xfId="0" applyNumberFormat="1" applyFont="1" applyFill="1" applyBorder="1" applyAlignment="1">
      <alignment horizontal="right" wrapText="1"/>
    </xf>
    <xf numFmtId="168" fontId="7" fillId="25" borderId="9" xfId="0" applyNumberFormat="1" applyFont="1" applyFill="1" applyBorder="1" applyAlignment="1">
      <alignment horizontal="right" wrapText="1"/>
    </xf>
    <xf numFmtId="169" fontId="7" fillId="25" borderId="9" xfId="0" applyNumberFormat="1" applyFont="1" applyFill="1" applyBorder="1" applyAlignment="1">
      <alignment horizontal="right"/>
    </xf>
    <xf numFmtId="169" fontId="7" fillId="25" borderId="9" xfId="0" applyNumberFormat="1" applyFont="1" applyFill="1" applyBorder="1"/>
    <xf numFmtId="168" fontId="6" fillId="25" borderId="9" xfId="0" applyNumberFormat="1" applyFont="1" applyFill="1" applyBorder="1" applyAlignment="1">
      <alignment wrapText="1"/>
    </xf>
    <xf numFmtId="168" fontId="7" fillId="25" borderId="9" xfId="0" applyNumberFormat="1" applyFont="1" applyFill="1" applyBorder="1" applyAlignment="1">
      <alignment horizontal="right" vertical="center" wrapText="1"/>
    </xf>
    <xf numFmtId="168" fontId="8" fillId="25" borderId="9" xfId="0" applyNumberFormat="1" applyFont="1" applyFill="1" applyBorder="1" applyAlignment="1">
      <alignment horizontal="right" wrapText="1"/>
    </xf>
    <xf numFmtId="168" fontId="6" fillId="26" borderId="9" xfId="0" applyNumberFormat="1" applyFont="1" applyFill="1" applyBorder="1" applyAlignment="1">
      <alignment horizontal="right" wrapText="1"/>
    </xf>
    <xf numFmtId="0" fontId="40" fillId="0" borderId="9" xfId="0" applyFont="1" applyBorder="1"/>
    <xf numFmtId="165" fontId="6" fillId="0" borderId="2" xfId="0" applyNumberFormat="1" applyFont="1" applyBorder="1" applyAlignment="1" applyProtection="1">
      <alignment horizontal="center" vertical="center" wrapText="1"/>
    </xf>
    <xf numFmtId="165" fontId="6" fillId="0" borderId="8" xfId="0" applyNumberFormat="1" applyFont="1" applyBorder="1" applyAlignment="1" applyProtection="1">
      <alignment horizontal="center" vertical="center" wrapText="1"/>
    </xf>
    <xf numFmtId="165" fontId="6" fillId="0" borderId="3" xfId="0" applyNumberFormat="1" applyFont="1" applyBorder="1" applyAlignment="1" applyProtection="1">
      <alignment horizontal="center" vertical="center" wrapText="1"/>
    </xf>
    <xf numFmtId="165" fontId="6" fillId="0" borderId="4" xfId="0" applyNumberFormat="1" applyFont="1" applyBorder="1" applyAlignment="1" applyProtection="1">
      <alignment horizontal="center" vertical="center" wrapText="1"/>
    </xf>
    <xf numFmtId="165" fontId="6" fillId="0" borderId="6" xfId="0" applyNumberFormat="1" applyFont="1" applyBorder="1" applyAlignment="1" applyProtection="1">
      <alignment horizontal="center" vertical="center" wrapText="1"/>
    </xf>
    <xf numFmtId="165" fontId="6" fillId="0" borderId="7" xfId="0" applyNumberFormat="1" applyFont="1" applyBorder="1" applyAlignment="1" applyProtection="1">
      <alignment horizontal="center" vertical="center" wrapText="1"/>
    </xf>
    <xf numFmtId="165" fontId="6" fillId="0" borderId="0" xfId="0" applyNumberFormat="1" applyFont="1" applyAlignment="1" applyProtection="1">
      <alignment horizontal="center" vertical="center" wrapText="1"/>
    </xf>
    <xf numFmtId="165" fontId="49" fillId="0" borderId="1" xfId="24" applyNumberFormat="1"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165" fontId="6" fillId="0" borderId="3" xfId="0" applyNumberFormat="1" applyFont="1" applyBorder="1" applyAlignment="1">
      <alignment horizontal="center" vertical="center" wrapText="1"/>
    </xf>
    <xf numFmtId="165" fontId="6" fillId="0" borderId="4" xfId="0" applyNumberFormat="1" applyFont="1" applyBorder="1" applyAlignment="1">
      <alignment horizontal="center" vertical="center" wrapText="1"/>
    </xf>
    <xf numFmtId="165" fontId="6" fillId="0" borderId="6" xfId="0"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165" fontId="49" fillId="0" borderId="1" xfId="24"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5" fontId="6" fillId="0" borderId="8" xfId="0" applyNumberFormat="1" applyFont="1" applyBorder="1" applyAlignment="1">
      <alignment horizontal="center" vertical="center" wrapText="1"/>
    </xf>
    <xf numFmtId="165" fontId="6" fillId="0" borderId="2" xfId="0" applyNumberFormat="1" applyFont="1" applyBorder="1" applyAlignment="1" applyProtection="1">
      <alignment horizontal="center" vertical="center" wrapText="1"/>
      <protection locked="0"/>
    </xf>
    <xf numFmtId="165" fontId="6" fillId="0" borderId="8" xfId="0" applyNumberFormat="1" applyFont="1" applyBorder="1" applyAlignment="1" applyProtection="1">
      <alignment horizontal="center" vertical="center" wrapText="1"/>
      <protection locked="0"/>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19" fillId="7" borderId="10" xfId="0" applyFont="1" applyFill="1" applyBorder="1" applyAlignment="1">
      <alignment horizontal="left"/>
    </xf>
    <xf numFmtId="0" fontId="19" fillId="7" borderId="11" xfId="0" applyFont="1" applyFill="1" applyBorder="1" applyAlignment="1">
      <alignment horizontal="left"/>
    </xf>
    <xf numFmtId="0" fontId="19" fillId="7" borderId="12" xfId="0" applyFont="1" applyFill="1" applyBorder="1" applyAlignment="1">
      <alignment horizontal="left"/>
    </xf>
    <xf numFmtId="0" fontId="49" fillId="0" borderId="0" xfId="24" applyFont="1" applyAlignment="1">
      <alignment horizontal="center"/>
    </xf>
    <xf numFmtId="0" fontId="6" fillId="0" borderId="9" xfId="0" applyFont="1" applyBorder="1" applyAlignment="1">
      <alignment horizontal="left" vertical="center" wrapText="1"/>
    </xf>
    <xf numFmtId="165" fontId="6" fillId="0" borderId="10" xfId="0" applyNumberFormat="1" applyFont="1" applyBorder="1" applyAlignment="1">
      <alignment horizontal="center" vertical="center" wrapText="1"/>
    </xf>
    <xf numFmtId="165" fontId="6"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165" fontId="6" fillId="0" borderId="9" xfId="0" applyNumberFormat="1" applyFont="1" applyBorder="1" applyAlignment="1">
      <alignment horizontal="center" vertical="center" wrapText="1"/>
    </xf>
    <xf numFmtId="0" fontId="6" fillId="7" borderId="10"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7" borderId="12" xfId="0" applyFont="1" applyFill="1" applyBorder="1" applyAlignment="1">
      <alignment horizontal="left" vertical="top" wrapText="1"/>
    </xf>
    <xf numFmtId="0" fontId="6" fillId="7" borderId="10" xfId="0" applyFont="1" applyFill="1" applyBorder="1" applyAlignment="1">
      <alignment horizontal="left"/>
    </xf>
    <xf numFmtId="0" fontId="6" fillId="7" borderId="11" xfId="0" applyFont="1" applyFill="1" applyBorder="1" applyAlignment="1">
      <alignment horizontal="left"/>
    </xf>
    <xf numFmtId="0" fontId="6" fillId="7" borderId="12" xfId="0" applyFont="1" applyFill="1" applyBorder="1" applyAlignment="1">
      <alignment horizontal="left"/>
    </xf>
    <xf numFmtId="0" fontId="20" fillId="0" borderId="0" xfId="4" applyFont="1" applyAlignment="1">
      <alignment horizontal="center" vertical="center" wrapText="1"/>
    </xf>
    <xf numFmtId="165" fontId="49" fillId="0" borderId="0" xfId="24" applyNumberFormat="1" applyFont="1" applyAlignment="1">
      <alignment horizontal="center" vertical="center" wrapText="1"/>
    </xf>
    <xf numFmtId="165" fontId="22" fillId="0" borderId="0" xfId="4" applyNumberFormat="1" applyFont="1" applyAlignment="1">
      <alignment horizontal="center" vertical="center" wrapText="1"/>
    </xf>
    <xf numFmtId="0" fontId="6" fillId="7" borderId="10" xfId="0" applyFont="1" applyFill="1" applyBorder="1" applyAlignment="1">
      <alignment horizontal="left" wrapText="1"/>
    </xf>
    <xf numFmtId="165" fontId="6" fillId="17" borderId="10" xfId="0" applyNumberFormat="1"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19" fillId="0" borderId="10" xfId="0" applyFont="1" applyFill="1" applyBorder="1" applyAlignment="1">
      <alignment horizontal="left"/>
    </xf>
    <xf numFmtId="0" fontId="19" fillId="0" borderId="11" xfId="0" applyFont="1" applyFill="1" applyBorder="1" applyAlignment="1">
      <alignment horizontal="left"/>
    </xf>
    <xf numFmtId="0" fontId="19" fillId="0" borderId="12" xfId="0" applyFont="1" applyFill="1" applyBorder="1" applyAlignment="1">
      <alignment horizontal="left"/>
    </xf>
    <xf numFmtId="165" fontId="6" fillId="0" borderId="3" xfId="20" applyNumberFormat="1" applyFont="1" applyBorder="1" applyAlignment="1" applyProtection="1">
      <alignment horizontal="center" vertical="center" wrapText="1"/>
    </xf>
    <xf numFmtId="165" fontId="6" fillId="0" borderId="4" xfId="20" applyNumberFormat="1" applyFont="1" applyBorder="1" applyAlignment="1" applyProtection="1">
      <alignment horizontal="center" vertical="center" wrapText="1"/>
    </xf>
    <xf numFmtId="165" fontId="6" fillId="0" borderId="6" xfId="20" applyNumberFormat="1" applyFont="1" applyBorder="1" applyAlignment="1" applyProtection="1">
      <alignment horizontal="center" vertical="center" wrapText="1"/>
    </xf>
    <xf numFmtId="165" fontId="6" fillId="0" borderId="7" xfId="20" applyNumberFormat="1" applyFont="1" applyBorder="1" applyAlignment="1" applyProtection="1">
      <alignment horizontal="center" vertical="center" wrapText="1"/>
    </xf>
    <xf numFmtId="0" fontId="7" fillId="0" borderId="11" xfId="20" applyFont="1" applyBorder="1" applyAlignment="1" applyProtection="1">
      <alignment horizontal="left" vertical="center" wrapText="1"/>
    </xf>
    <xf numFmtId="0" fontId="7" fillId="0" borderId="12" xfId="20" applyFont="1" applyBorder="1" applyAlignment="1" applyProtection="1">
      <alignment horizontal="left" vertical="center" wrapText="1"/>
    </xf>
    <xf numFmtId="0" fontId="7" fillId="0" borderId="10" xfId="20" applyFont="1" applyBorder="1" applyAlignment="1" applyProtection="1">
      <alignment horizontal="left" vertical="center" wrapText="1"/>
    </xf>
    <xf numFmtId="0" fontId="6" fillId="0" borderId="0" xfId="20" applyFont="1" applyAlignment="1" applyProtection="1">
      <alignment horizontal="left" vertical="center" wrapText="1"/>
    </xf>
    <xf numFmtId="0" fontId="6" fillId="0" borderId="2" xfId="20" applyFont="1" applyBorder="1" applyAlignment="1" applyProtection="1">
      <alignment horizontal="center" vertical="center" wrapText="1"/>
    </xf>
    <xf numFmtId="0" fontId="6" fillId="0" borderId="5" xfId="20" applyFont="1" applyBorder="1" applyAlignment="1" applyProtection="1">
      <alignment horizontal="center" vertical="center" wrapText="1"/>
    </xf>
    <xf numFmtId="0" fontId="6" fillId="0" borderId="8" xfId="20" applyFont="1" applyBorder="1" applyAlignment="1" applyProtection="1">
      <alignment horizontal="center" vertical="center" wrapText="1"/>
    </xf>
    <xf numFmtId="0" fontId="7" fillId="0" borderId="10" xfId="20" applyFont="1" applyFill="1" applyBorder="1" applyAlignment="1" applyProtection="1">
      <alignment horizontal="left" vertical="center" wrapText="1"/>
    </xf>
    <xf numFmtId="0" fontId="7" fillId="0" borderId="11" xfId="20" applyFont="1" applyFill="1" applyBorder="1" applyAlignment="1" applyProtection="1">
      <alignment horizontal="left" vertical="center" wrapText="1"/>
    </xf>
    <xf numFmtId="0" fontId="7" fillId="0" borderId="12" xfId="20" applyFont="1" applyFill="1" applyBorder="1" applyAlignment="1" applyProtection="1">
      <alignment horizontal="left" vertical="center" wrapText="1"/>
    </xf>
    <xf numFmtId="0" fontId="7" fillId="13" borderId="10" xfId="20" applyFont="1" applyFill="1" applyBorder="1" applyAlignment="1" applyProtection="1">
      <alignment horizontal="left" vertical="center" wrapText="1"/>
    </xf>
    <xf numFmtId="0" fontId="7" fillId="13" borderId="11" xfId="20" applyFont="1" applyFill="1" applyBorder="1" applyAlignment="1" applyProtection="1">
      <alignment horizontal="left" vertical="center" wrapText="1"/>
    </xf>
    <xf numFmtId="0" fontId="7" fillId="13" borderId="12" xfId="20" applyFont="1" applyFill="1" applyBorder="1" applyAlignment="1" applyProtection="1">
      <alignment horizontal="left" vertical="center" wrapText="1"/>
    </xf>
    <xf numFmtId="0" fontId="6" fillId="0" borderId="10" xfId="20" applyFont="1" applyBorder="1" applyAlignment="1" applyProtection="1">
      <alignment horizontal="left" vertical="center" wrapText="1"/>
    </xf>
    <xf numFmtId="0" fontId="6" fillId="0" borderId="11" xfId="20" applyFont="1" applyBorder="1" applyAlignment="1" applyProtection="1">
      <alignment horizontal="left" vertical="center" wrapText="1"/>
    </xf>
    <xf numFmtId="0" fontId="6" fillId="0" borderId="12" xfId="20" applyFont="1" applyBorder="1" applyAlignment="1" applyProtection="1">
      <alignment horizontal="left" vertical="center" wrapText="1"/>
    </xf>
    <xf numFmtId="165" fontId="21" fillId="0" borderId="0" xfId="20" applyNumberFormat="1" applyFont="1" applyAlignment="1" applyProtection="1">
      <alignment horizontal="center" vertical="center" wrapText="1"/>
    </xf>
    <xf numFmtId="0" fontId="6" fillId="0" borderId="2" xfId="20" applyFont="1" applyBorder="1" applyAlignment="1" applyProtection="1">
      <alignment horizontal="left" vertical="top" wrapText="1"/>
    </xf>
    <xf numFmtId="0" fontId="6" fillId="0" borderId="5" xfId="20" applyFont="1" applyBorder="1" applyAlignment="1" applyProtection="1">
      <alignment horizontal="left" vertical="top" wrapText="1"/>
    </xf>
    <xf numFmtId="0" fontId="6" fillId="0" borderId="8" xfId="20" applyFont="1" applyBorder="1" applyAlignment="1" applyProtection="1">
      <alignment horizontal="left" vertical="top" wrapText="1"/>
    </xf>
    <xf numFmtId="165" fontId="6" fillId="0" borderId="2" xfId="20" applyNumberFormat="1" applyFont="1" applyBorder="1" applyAlignment="1" applyProtection="1">
      <alignment horizontal="center" vertical="center" wrapText="1"/>
    </xf>
    <xf numFmtId="165" fontId="6" fillId="0" borderId="5" xfId="20" applyNumberFormat="1" applyFont="1" applyBorder="1" applyAlignment="1" applyProtection="1">
      <alignment horizontal="center" vertical="center" wrapText="1"/>
    </xf>
    <xf numFmtId="0" fontId="11" fillId="0" borderId="2" xfId="20" applyFont="1" applyBorder="1" applyAlignment="1">
      <alignment horizontal="left" vertical="top" wrapText="1"/>
    </xf>
    <xf numFmtId="0" fontId="11" fillId="0" borderId="5" xfId="20" applyFont="1" applyBorder="1" applyAlignment="1">
      <alignment horizontal="left" vertical="top" wrapText="1"/>
    </xf>
    <xf numFmtId="0" fontId="11" fillId="0" borderId="8" xfId="20" applyFont="1" applyBorder="1" applyAlignment="1">
      <alignment horizontal="left" vertical="top" wrapText="1"/>
    </xf>
    <xf numFmtId="0" fontId="24" fillId="0" borderId="9" xfId="20" applyFont="1" applyBorder="1" applyAlignment="1">
      <alignment horizontal="center"/>
    </xf>
    <xf numFmtId="0" fontId="6" fillId="15" borderId="10" xfId="20" applyFont="1" applyFill="1" applyBorder="1" applyAlignment="1">
      <alignment horizontal="left" vertical="center" wrapText="1"/>
    </xf>
    <xf numFmtId="0" fontId="6" fillId="15" borderId="11" xfId="20" applyFont="1" applyFill="1" applyBorder="1" applyAlignment="1">
      <alignment horizontal="left" vertical="center" wrapText="1"/>
    </xf>
    <xf numFmtId="0" fontId="26" fillId="0" borderId="10" xfId="20" applyFont="1" applyBorder="1" applyAlignment="1">
      <alignment horizontal="left" vertical="top" wrapText="1"/>
    </xf>
    <xf numFmtId="0" fontId="26" fillId="0" borderId="11" xfId="20" applyFont="1" applyBorder="1" applyAlignment="1">
      <alignment horizontal="left" vertical="top" wrapText="1"/>
    </xf>
    <xf numFmtId="0" fontId="26" fillId="0" borderId="12" xfId="20" applyFont="1" applyBorder="1" applyAlignment="1">
      <alignment horizontal="left" vertical="top" wrapText="1"/>
    </xf>
    <xf numFmtId="0" fontId="24" fillId="0" borderId="2" xfId="20" applyFont="1" applyBorder="1" applyAlignment="1">
      <alignment horizontal="center" wrapText="1"/>
    </xf>
    <xf numFmtId="0" fontId="24" fillId="0" borderId="5" xfId="20" applyFont="1" applyBorder="1" applyAlignment="1">
      <alignment horizontal="center" wrapText="1"/>
    </xf>
    <xf numFmtId="0" fontId="24" fillId="0" borderId="8" xfId="20" applyFont="1" applyBorder="1" applyAlignment="1">
      <alignment horizontal="center" wrapText="1"/>
    </xf>
    <xf numFmtId="0" fontId="26" fillId="0" borderId="9" xfId="20" applyFont="1" applyBorder="1" applyAlignment="1">
      <alignment horizontal="center"/>
    </xf>
    <xf numFmtId="0" fontId="7" fillId="15" borderId="10" xfId="20" applyFont="1" applyFill="1" applyBorder="1" applyAlignment="1">
      <alignment horizontal="left" vertical="center" wrapText="1"/>
    </xf>
    <xf numFmtId="0" fontId="7" fillId="15" borderId="11" xfId="20" applyFont="1" applyFill="1" applyBorder="1" applyAlignment="1">
      <alignment horizontal="left" vertical="center" wrapText="1"/>
    </xf>
    <xf numFmtId="0" fontId="35" fillId="0" borderId="2" xfId="20" applyFont="1" applyBorder="1" applyAlignment="1">
      <alignment horizontal="center" vertical="center" wrapText="1"/>
    </xf>
    <xf numFmtId="0" fontId="35" fillId="0" borderId="5" xfId="20" applyFont="1" applyBorder="1" applyAlignment="1">
      <alignment horizontal="center" vertical="center" wrapText="1"/>
    </xf>
    <xf numFmtId="0" fontId="35" fillId="0" borderId="8" xfId="20" applyFont="1" applyBorder="1" applyAlignment="1">
      <alignment horizontal="center" vertical="center" wrapText="1"/>
    </xf>
    <xf numFmtId="0" fontId="6" fillId="13" borderId="10" xfId="20" applyFont="1" applyFill="1" applyBorder="1" applyAlignment="1">
      <alignment horizontal="left" vertical="center" wrapText="1"/>
    </xf>
    <xf numFmtId="0" fontId="6" fillId="13" borderId="11" xfId="20" applyFont="1" applyFill="1" applyBorder="1" applyAlignment="1">
      <alignment horizontal="left" vertical="center" wrapText="1"/>
    </xf>
    <xf numFmtId="0" fontId="6" fillId="13" borderId="12" xfId="20" applyFont="1" applyFill="1" applyBorder="1" applyAlignment="1">
      <alignment horizontal="left" vertical="center" wrapText="1"/>
    </xf>
    <xf numFmtId="0" fontId="7" fillId="15" borderId="12" xfId="20" applyFont="1" applyFill="1" applyBorder="1" applyAlignment="1">
      <alignment horizontal="left" vertical="center" wrapText="1"/>
    </xf>
    <xf numFmtId="165" fontId="6" fillId="0" borderId="9" xfId="20" applyNumberFormat="1" applyFont="1" applyBorder="1" applyAlignment="1">
      <alignment horizontal="center" vertical="center" wrapText="1"/>
    </xf>
    <xf numFmtId="0" fontId="7" fillId="13" borderId="10" xfId="20" applyFont="1" applyFill="1" applyBorder="1" applyAlignment="1">
      <alignment horizontal="left" vertical="center" wrapText="1"/>
    </xf>
    <xf numFmtId="0" fontId="7" fillId="13" borderId="11" xfId="20" applyFont="1" applyFill="1" applyBorder="1" applyAlignment="1">
      <alignment horizontal="left" vertical="center" wrapText="1"/>
    </xf>
    <xf numFmtId="0" fontId="7" fillId="13" borderId="12" xfId="20" applyFont="1" applyFill="1" applyBorder="1" applyAlignment="1">
      <alignment horizontal="left" vertical="center" wrapText="1"/>
    </xf>
    <xf numFmtId="0" fontId="33" fillId="0" borderId="0" xfId="20" applyFont="1" applyAlignment="1">
      <alignment horizontal="center" vertical="top" wrapText="1"/>
    </xf>
    <xf numFmtId="0" fontId="33" fillId="0" borderId="0" xfId="20" applyFont="1" applyAlignment="1">
      <alignment horizontal="center" vertical="top"/>
    </xf>
    <xf numFmtId="0" fontId="49" fillId="0" borderId="0" xfId="24" applyFont="1" applyAlignment="1">
      <alignment horizontal="center" vertical="top" wrapText="1"/>
    </xf>
    <xf numFmtId="0" fontId="49" fillId="0" borderId="0" xfId="24" applyFont="1" applyAlignment="1">
      <alignment horizontal="center" vertical="top"/>
    </xf>
    <xf numFmtId="0" fontId="6" fillId="0" borderId="2" xfId="20" applyFont="1" applyBorder="1" applyAlignment="1">
      <alignment horizontal="center" vertical="center" wrapText="1"/>
    </xf>
    <xf numFmtId="0" fontId="6" fillId="0" borderId="8" xfId="20" applyFont="1" applyBorder="1" applyAlignment="1">
      <alignment horizontal="center" vertical="center" wrapText="1"/>
    </xf>
    <xf numFmtId="165" fontId="6" fillId="0" borderId="2" xfId="20" applyNumberFormat="1" applyFont="1" applyBorder="1" applyAlignment="1">
      <alignment horizontal="center" vertical="center" wrapText="1"/>
    </xf>
    <xf numFmtId="165" fontId="6" fillId="0" borderId="8" xfId="20" applyNumberFormat="1" applyFont="1" applyBorder="1" applyAlignment="1">
      <alignment horizontal="center" vertical="center" wrapText="1"/>
    </xf>
    <xf numFmtId="0" fontId="28" fillId="15" borderId="11" xfId="22" applyFont="1" applyFill="1" applyBorder="1" applyAlignment="1">
      <alignment horizontal="left" vertical="center"/>
    </xf>
    <xf numFmtId="0" fontId="28" fillId="15" borderId="12" xfId="22" applyFont="1" applyFill="1" applyBorder="1" applyAlignment="1">
      <alignment horizontal="left" vertical="center"/>
    </xf>
    <xf numFmtId="0" fontId="28" fillId="15" borderId="10" xfId="20" applyFont="1" applyFill="1" applyBorder="1" applyAlignment="1">
      <alignment horizontal="left" vertical="center" wrapText="1"/>
    </xf>
    <xf numFmtId="0" fontId="28" fillId="15" borderId="13" xfId="20" applyFont="1" applyFill="1" applyBorder="1" applyAlignment="1">
      <alignment horizontal="left" vertical="center" wrapText="1"/>
    </xf>
    <xf numFmtId="165" fontId="28" fillId="0" borderId="10" xfId="22" applyNumberFormat="1" applyFont="1" applyBorder="1" applyAlignment="1">
      <alignment horizontal="center" vertical="center" wrapText="1"/>
    </xf>
    <xf numFmtId="165" fontId="28" fillId="0" borderId="12" xfId="22" applyNumberFormat="1" applyFont="1" applyBorder="1" applyAlignment="1">
      <alignment horizontal="center" vertical="center" wrapText="1"/>
    </xf>
    <xf numFmtId="0" fontId="28" fillId="13" borderId="11" xfId="22" applyFont="1" applyFill="1" applyBorder="1" applyAlignment="1">
      <alignment horizontal="left" vertical="center"/>
    </xf>
    <xf numFmtId="0" fontId="28" fillId="13" borderId="12" xfId="22" applyFont="1" applyFill="1" applyBorder="1" applyAlignment="1">
      <alignment horizontal="left" vertical="center"/>
    </xf>
    <xf numFmtId="0" fontId="28" fillId="0" borderId="2" xfId="22" applyFont="1" applyBorder="1" applyAlignment="1">
      <alignment horizontal="left" vertical="top" wrapText="1"/>
    </xf>
    <xf numFmtId="0" fontId="11" fillId="0" borderId="5" xfId="22" applyFont="1" applyBorder="1" applyAlignment="1">
      <alignment horizontal="left" vertical="top" wrapText="1"/>
    </xf>
    <xf numFmtId="0" fontId="11" fillId="0" borderId="8" xfId="22" applyFont="1" applyBorder="1" applyAlignment="1">
      <alignment horizontal="left" vertical="top" wrapText="1"/>
    </xf>
    <xf numFmtId="0" fontId="49" fillId="0" borderId="0" xfId="24" applyFont="1" applyAlignment="1">
      <alignment horizontal="center" wrapText="1"/>
    </xf>
    <xf numFmtId="0" fontId="38" fillId="0" borderId="2" xfId="22" applyFont="1" applyBorder="1" applyAlignment="1">
      <alignment horizontal="center" vertical="center" wrapText="1"/>
    </xf>
    <xf numFmtId="0" fontId="38" fillId="0" borderId="8" xfId="22" applyFont="1" applyBorder="1" applyAlignment="1">
      <alignment horizontal="center" vertical="center" wrapText="1"/>
    </xf>
    <xf numFmtId="0" fontId="38" fillId="0" borderId="10" xfId="22" applyFont="1" applyBorder="1" applyAlignment="1">
      <alignment horizontal="center" wrapText="1"/>
    </xf>
    <xf numFmtId="0" fontId="38" fillId="0" borderId="12" xfId="22" applyFont="1" applyBorder="1" applyAlignment="1">
      <alignment horizontal="center" wrapText="1"/>
    </xf>
    <xf numFmtId="0" fontId="38" fillId="0" borderId="9" xfId="22" applyFont="1" applyBorder="1" applyAlignment="1">
      <alignment horizontal="center" wrapText="1"/>
    </xf>
    <xf numFmtId="0" fontId="11" fillId="18" borderId="10" xfId="23" applyFont="1" applyFill="1" applyBorder="1" applyAlignment="1">
      <alignment horizontal="left" vertical="center" wrapText="1"/>
    </xf>
    <xf numFmtId="0" fontId="11" fillId="18" borderId="11" xfId="23" applyFont="1" applyFill="1" applyBorder="1" applyAlignment="1">
      <alignment horizontal="left" vertical="center" wrapText="1"/>
    </xf>
    <xf numFmtId="0" fontId="11" fillId="18" borderId="12" xfId="23" applyFont="1" applyFill="1" applyBorder="1" applyAlignment="1">
      <alignment horizontal="left" vertical="center" wrapText="1"/>
    </xf>
    <xf numFmtId="0" fontId="11" fillId="0" borderId="2" xfId="23" applyFont="1" applyBorder="1" applyAlignment="1">
      <alignment horizontal="center"/>
    </xf>
    <xf numFmtId="0" fontId="11" fillId="0" borderId="5" xfId="23" applyFont="1" applyBorder="1" applyAlignment="1">
      <alignment horizontal="center"/>
    </xf>
    <xf numFmtId="0" fontId="11" fillId="0" borderId="8" xfId="23" applyFont="1" applyBorder="1" applyAlignment="1">
      <alignment horizontal="center"/>
    </xf>
    <xf numFmtId="0" fontId="11" fillId="12" borderId="10" xfId="23" applyFont="1" applyFill="1" applyBorder="1" applyAlignment="1">
      <alignment horizontal="left" vertical="center" wrapText="1"/>
    </xf>
    <xf numFmtId="0" fontId="11" fillId="12" borderId="11" xfId="23" applyFont="1" applyFill="1" applyBorder="1" applyAlignment="1">
      <alignment horizontal="left" vertical="center" wrapText="1"/>
    </xf>
    <xf numFmtId="0" fontId="11" fillId="12" borderId="12" xfId="23" applyFont="1" applyFill="1" applyBorder="1" applyAlignment="1">
      <alignment horizontal="left" vertical="center" wrapText="1"/>
    </xf>
    <xf numFmtId="0" fontId="28" fillId="9" borderId="2" xfId="23" applyFont="1" applyFill="1" applyBorder="1" applyAlignment="1">
      <alignment horizontal="left" vertical="top" wrapText="1"/>
    </xf>
    <xf numFmtId="0" fontId="11" fillId="9" borderId="5" xfId="23" applyFont="1" applyFill="1" applyBorder="1" applyAlignment="1">
      <alignment horizontal="left" vertical="top"/>
    </xf>
    <xf numFmtId="0" fontId="11" fillId="9" borderId="8" xfId="23" applyFont="1" applyFill="1" applyBorder="1" applyAlignment="1">
      <alignment horizontal="left" vertical="top"/>
    </xf>
    <xf numFmtId="0" fontId="28" fillId="13" borderId="10" xfId="23" applyFont="1" applyFill="1" applyBorder="1" applyAlignment="1">
      <alignment horizontal="left" vertical="center" wrapText="1"/>
    </xf>
    <xf numFmtId="0" fontId="28" fillId="13" borderId="11" xfId="23" applyFont="1" applyFill="1" applyBorder="1" applyAlignment="1">
      <alignment horizontal="left" vertical="center" wrapText="1"/>
    </xf>
    <xf numFmtId="0" fontId="28" fillId="13" borderId="12" xfId="23" applyFont="1" applyFill="1" applyBorder="1" applyAlignment="1">
      <alignment horizontal="left" vertical="center" wrapText="1"/>
    </xf>
    <xf numFmtId="0" fontId="11" fillId="9" borderId="2" xfId="23" applyFont="1" applyFill="1" applyBorder="1" applyAlignment="1">
      <alignment horizontal="left" vertical="top" wrapText="1"/>
    </xf>
    <xf numFmtId="0" fontId="11" fillId="9" borderId="5" xfId="23" applyFont="1" applyFill="1" applyBorder="1" applyAlignment="1">
      <alignment horizontal="left" vertical="top" wrapText="1"/>
    </xf>
    <xf numFmtId="0" fontId="11" fillId="9" borderId="8" xfId="23" applyFont="1" applyFill="1" applyBorder="1" applyAlignment="1">
      <alignment horizontal="left" vertical="top" wrapText="1"/>
    </xf>
    <xf numFmtId="0" fontId="28" fillId="0" borderId="2" xfId="23" applyFont="1" applyBorder="1" applyAlignment="1">
      <alignment horizontal="left" vertical="center" wrapText="1"/>
    </xf>
    <xf numFmtId="0" fontId="11" fillId="0" borderId="5" xfId="23" applyFont="1" applyBorder="1" applyAlignment="1">
      <alignment horizontal="left" vertical="center" wrapText="1"/>
    </xf>
    <xf numFmtId="0" fontId="11" fillId="0" borderId="8" xfId="23" applyFont="1" applyBorder="1" applyAlignment="1">
      <alignment horizontal="left" vertical="center" wrapText="1"/>
    </xf>
    <xf numFmtId="0" fontId="11" fillId="9" borderId="2" xfId="23" applyFont="1" applyFill="1" applyBorder="1" applyAlignment="1">
      <alignment horizontal="center"/>
    </xf>
    <xf numFmtId="0" fontId="11" fillId="9" borderId="5" xfId="23" applyFont="1" applyFill="1" applyBorder="1" applyAlignment="1">
      <alignment horizontal="center"/>
    </xf>
    <xf numFmtId="0" fontId="11" fillId="9" borderId="8" xfId="23" applyFont="1" applyFill="1" applyBorder="1" applyAlignment="1">
      <alignment horizontal="center"/>
    </xf>
    <xf numFmtId="165" fontId="28" fillId="0" borderId="10" xfId="23" applyNumberFormat="1" applyFont="1" applyBorder="1" applyAlignment="1">
      <alignment horizontal="center" vertical="center" wrapText="1"/>
    </xf>
    <xf numFmtId="165" fontId="28" fillId="0" borderId="12" xfId="23" applyNumberFormat="1" applyFont="1" applyBorder="1" applyAlignment="1">
      <alignment horizontal="center" vertical="center" wrapText="1"/>
    </xf>
    <xf numFmtId="165" fontId="28" fillId="0" borderId="9" xfId="23" applyNumberFormat="1" applyFont="1" applyBorder="1" applyAlignment="1">
      <alignment horizontal="center" vertical="center" wrapText="1"/>
    </xf>
    <xf numFmtId="0" fontId="49" fillId="0" borderId="0" xfId="24" applyFont="1" applyAlignment="1">
      <alignment horizontal="left" vertical="center"/>
    </xf>
    <xf numFmtId="0" fontId="28" fillId="0" borderId="2" xfId="23" applyFont="1" applyBorder="1" applyAlignment="1">
      <alignment horizontal="center" vertical="center" wrapText="1"/>
    </xf>
    <xf numFmtId="0" fontId="28" fillId="0" borderId="8" xfId="23" applyFont="1" applyBorder="1" applyAlignment="1">
      <alignment horizontal="center" vertical="center" wrapText="1"/>
    </xf>
    <xf numFmtId="0" fontId="28" fillId="0" borderId="9" xfId="23" applyFont="1" applyBorder="1" applyAlignment="1">
      <alignment horizontal="center" vertical="center" wrapText="1"/>
    </xf>
    <xf numFmtId="0" fontId="11" fillId="9" borderId="5" xfId="23" applyFont="1" applyFill="1" applyBorder="1" applyAlignment="1">
      <alignment horizontal="center" vertical="top"/>
    </xf>
    <xf numFmtId="0" fontId="11" fillId="9" borderId="8" xfId="23" applyFont="1" applyFill="1" applyBorder="1" applyAlignment="1">
      <alignment horizontal="center" vertical="top"/>
    </xf>
    <xf numFmtId="0" fontId="11" fillId="0" borderId="5" xfId="23" applyFont="1" applyBorder="1" applyAlignment="1">
      <alignment horizontal="center" vertical="center" wrapText="1"/>
    </xf>
    <xf numFmtId="0" fontId="41" fillId="0" borderId="9" xfId="20" applyFont="1" applyFill="1" applyBorder="1" applyAlignment="1">
      <alignment horizontal="center"/>
    </xf>
    <xf numFmtId="0" fontId="28" fillId="0" borderId="9" xfId="20" applyFont="1" applyBorder="1" applyAlignment="1">
      <alignment horizontal="center"/>
    </xf>
    <xf numFmtId="0" fontId="11" fillId="0" borderId="10" xfId="20" applyFont="1" applyBorder="1" applyAlignment="1">
      <alignment horizontal="left" vertical="center" wrapText="1"/>
    </xf>
    <xf numFmtId="0" fontId="11" fillId="0" borderId="11" xfId="20" applyFont="1" applyBorder="1" applyAlignment="1">
      <alignment horizontal="left" vertical="center" wrapText="1"/>
    </xf>
    <xf numFmtId="0" fontId="11" fillId="0" borderId="12" xfId="20" applyFont="1" applyBorder="1" applyAlignment="1">
      <alignment horizontal="left" vertical="center" wrapText="1"/>
    </xf>
    <xf numFmtId="0" fontId="11" fillId="9" borderId="2" xfId="20" applyFont="1" applyFill="1" applyBorder="1" applyAlignment="1">
      <alignment horizontal="left" vertical="top" wrapText="1"/>
    </xf>
    <xf numFmtId="0" fontId="11" fillId="9" borderId="5" xfId="20" applyFont="1" applyFill="1" applyBorder="1" applyAlignment="1">
      <alignment horizontal="left" vertical="top" wrapText="1"/>
    </xf>
    <xf numFmtId="0" fontId="11" fillId="9" borderId="8" xfId="20" applyFont="1" applyFill="1" applyBorder="1" applyAlignment="1">
      <alignment horizontal="left" vertical="top" wrapText="1"/>
    </xf>
    <xf numFmtId="0" fontId="11" fillId="14" borderId="10" xfId="20" applyFont="1" applyFill="1" applyBorder="1" applyAlignment="1">
      <alignment horizontal="left" vertical="center" wrapText="1"/>
    </xf>
    <xf numFmtId="0" fontId="11" fillId="14" borderId="11" xfId="20" applyFont="1" applyFill="1" applyBorder="1" applyAlignment="1">
      <alignment horizontal="left" vertical="center" wrapText="1"/>
    </xf>
    <xf numFmtId="0" fontId="11" fillId="14" borderId="12" xfId="20" applyFont="1" applyFill="1" applyBorder="1" applyAlignment="1">
      <alignment horizontal="left" vertical="center" wrapText="1"/>
    </xf>
    <xf numFmtId="0" fontId="11" fillId="0" borderId="2" xfId="20" applyFont="1" applyBorder="1" applyAlignment="1">
      <alignment horizontal="center" vertical="center"/>
    </xf>
    <xf numFmtId="0" fontId="11" fillId="0" borderId="5" xfId="20" applyFont="1" applyBorder="1" applyAlignment="1">
      <alignment horizontal="center" vertical="center"/>
    </xf>
    <xf numFmtId="0" fontId="11" fillId="0" borderId="8" xfId="20" applyFont="1" applyBorder="1" applyAlignment="1">
      <alignment horizontal="center" vertical="center"/>
    </xf>
    <xf numFmtId="0" fontId="11" fillId="0" borderId="10" xfId="20" applyFont="1" applyBorder="1" applyAlignment="1">
      <alignment horizontal="left" vertical="center"/>
    </xf>
    <xf numFmtId="0" fontId="11" fillId="0" borderId="11" xfId="20" applyFont="1" applyBorder="1" applyAlignment="1">
      <alignment horizontal="left" vertical="center"/>
    </xf>
    <xf numFmtId="0" fontId="11" fillId="0" borderId="12" xfId="20" applyFont="1" applyBorder="1" applyAlignment="1">
      <alignment horizontal="left" vertical="center"/>
    </xf>
    <xf numFmtId="165" fontId="28" fillId="0" borderId="2" xfId="20" applyNumberFormat="1" applyFont="1" applyBorder="1" applyAlignment="1">
      <alignment horizontal="center" vertical="center" wrapText="1"/>
    </xf>
    <xf numFmtId="165" fontId="28" fillId="0" borderId="5" xfId="20" applyNumberFormat="1" applyFont="1" applyBorder="1" applyAlignment="1">
      <alignment horizontal="center" vertical="center" wrapText="1"/>
    </xf>
    <xf numFmtId="165" fontId="28" fillId="0" borderId="8" xfId="20" applyNumberFormat="1" applyFont="1" applyBorder="1" applyAlignment="1">
      <alignment horizontal="center" vertical="center" wrapText="1"/>
    </xf>
    <xf numFmtId="0" fontId="11" fillId="0" borderId="2" xfId="20" applyFont="1" applyBorder="1" applyAlignment="1">
      <alignment horizontal="center" vertical="center" wrapText="1"/>
    </xf>
    <xf numFmtId="0" fontId="11" fillId="0" borderId="5" xfId="20" applyFont="1" applyBorder="1" applyAlignment="1">
      <alignment horizontal="center" vertical="center" wrapText="1"/>
    </xf>
    <xf numFmtId="0" fontId="11" fillId="0" borderId="8" xfId="20" applyFont="1" applyBorder="1" applyAlignment="1">
      <alignment horizontal="center" vertical="center" wrapText="1"/>
    </xf>
    <xf numFmtId="49" fontId="28" fillId="0" borderId="2" xfId="20" applyNumberFormat="1" applyFont="1" applyBorder="1" applyAlignment="1">
      <alignment horizontal="center" vertical="center" wrapText="1"/>
    </xf>
    <xf numFmtId="49" fontId="28" fillId="0" borderId="8" xfId="20" applyNumberFormat="1" applyFont="1" applyBorder="1" applyAlignment="1">
      <alignment horizontal="center" vertical="center" wrapText="1"/>
    </xf>
    <xf numFmtId="165" fontId="28" fillId="0" borderId="10" xfId="20" applyNumberFormat="1" applyFont="1" applyBorder="1" applyAlignment="1">
      <alignment horizontal="center" vertical="center" wrapText="1"/>
    </xf>
    <xf numFmtId="165" fontId="28" fillId="0" borderId="12" xfId="20" applyNumberFormat="1" applyFont="1" applyBorder="1" applyAlignment="1">
      <alignment horizontal="center" vertical="center" wrapText="1"/>
    </xf>
    <xf numFmtId="49" fontId="28" fillId="0" borderId="4" xfId="20" applyNumberFormat="1" applyFont="1" applyBorder="1" applyAlignment="1">
      <alignment horizontal="center" vertical="center" wrapText="1"/>
    </xf>
    <xf numFmtId="49" fontId="28" fillId="0" borderId="7" xfId="20" applyNumberFormat="1" applyFont="1" applyBorder="1" applyAlignment="1">
      <alignment horizontal="center" vertical="center" wrapText="1"/>
    </xf>
    <xf numFmtId="0" fontId="49" fillId="0" borderId="0" xfId="24" applyFont="1" applyAlignment="1">
      <alignment horizontal="center" vertical="center" wrapText="1"/>
    </xf>
    <xf numFmtId="0" fontId="28" fillId="0" borderId="2" xfId="20" applyFont="1" applyBorder="1" applyAlignment="1">
      <alignment horizontal="center" vertical="center" wrapText="1"/>
    </xf>
    <xf numFmtId="0" fontId="28" fillId="0" borderId="5" xfId="20" applyFont="1" applyBorder="1" applyAlignment="1">
      <alignment horizontal="center" vertical="center" wrapText="1"/>
    </xf>
    <xf numFmtId="0" fontId="28" fillId="0" borderId="8" xfId="20" applyFont="1" applyBorder="1" applyAlignment="1">
      <alignment horizontal="center" vertical="center" wrapText="1"/>
    </xf>
    <xf numFmtId="165" fontId="28" fillId="0" borderId="11" xfId="20" applyNumberFormat="1" applyFont="1" applyBorder="1" applyAlignment="1">
      <alignment horizontal="center" vertical="center" wrapText="1"/>
    </xf>
    <xf numFmtId="165" fontId="28" fillId="0" borderId="9" xfId="22" applyNumberFormat="1" applyFont="1" applyBorder="1" applyAlignment="1">
      <alignment horizontal="center" vertical="center" wrapText="1"/>
    </xf>
    <xf numFmtId="0" fontId="11" fillId="0" borderId="9" xfId="22" applyFont="1" applyBorder="1" applyAlignment="1">
      <alignment horizontal="center" wrapText="1"/>
    </xf>
    <xf numFmtId="0" fontId="11" fillId="14" borderId="10" xfId="22" applyFont="1" applyFill="1" applyBorder="1" applyAlignment="1">
      <alignment horizontal="left" vertical="center" wrapText="1"/>
    </xf>
    <xf numFmtId="0" fontId="11" fillId="14" borderId="11" xfId="22" applyFont="1" applyFill="1" applyBorder="1" applyAlignment="1">
      <alignment horizontal="left" vertical="center" wrapText="1"/>
    </xf>
    <xf numFmtId="0" fontId="11" fillId="14" borderId="12" xfId="22" applyFont="1" applyFill="1" applyBorder="1" applyAlignment="1">
      <alignment horizontal="left" vertical="center" wrapText="1"/>
    </xf>
    <xf numFmtId="0" fontId="28" fillId="0" borderId="9" xfId="22" applyFont="1" applyBorder="1" applyAlignment="1">
      <alignment horizontal="center" vertical="center" wrapText="1"/>
    </xf>
    <xf numFmtId="0" fontId="28" fillId="0" borderId="2" xfId="22" applyFont="1" applyBorder="1" applyAlignment="1">
      <alignment horizontal="center" vertical="center" wrapText="1"/>
    </xf>
    <xf numFmtId="0" fontId="28" fillId="0" borderId="8" xfId="22" applyFont="1" applyBorder="1" applyAlignment="1">
      <alignment horizontal="center" vertical="center" wrapText="1"/>
    </xf>
    <xf numFmtId="0" fontId="28" fillId="9" borderId="2" xfId="22" applyFont="1" applyFill="1" applyBorder="1" applyAlignment="1">
      <alignment horizontal="center" vertical="center" wrapText="1"/>
    </xf>
    <xf numFmtId="0" fontId="28" fillId="9" borderId="8" xfId="22" applyFont="1" applyFill="1" applyBorder="1" applyAlignment="1">
      <alignment horizontal="center" vertical="center" wrapText="1"/>
    </xf>
    <xf numFmtId="0" fontId="28" fillId="9" borderId="10" xfId="22" applyFont="1" applyFill="1" applyBorder="1" applyAlignment="1">
      <alignment horizontal="center" vertical="center" wrapText="1"/>
    </xf>
    <xf numFmtId="0" fontId="28" fillId="9" borderId="12" xfId="22" applyFont="1" applyFill="1" applyBorder="1" applyAlignment="1">
      <alignment horizontal="center" vertical="center" wrapText="1"/>
    </xf>
  </cellXfs>
  <cellStyles count="36">
    <cellStyle name="Гиперссылка" xfId="24" builtinId="8"/>
    <cellStyle name="Обычный" xfId="0" builtinId="0"/>
    <cellStyle name="Обычный 2" xfId="4"/>
    <cellStyle name="Обычный 2 2" xfId="25"/>
    <cellStyle name="Обычный 2 5" xfId="12"/>
    <cellStyle name="Обычный 3" xfId="20"/>
    <cellStyle name="Обычный 3 2" xfId="13"/>
    <cellStyle name="Обычный 3 2 2" xfId="32"/>
    <cellStyle name="Обычный 3 3" xfId="11"/>
    <cellStyle name="Обычный 4" xfId="7"/>
    <cellStyle name="Обычный 5" xfId="16"/>
    <cellStyle name="Обычный 5 2" xfId="6"/>
    <cellStyle name="Обычный 5 2 2" xfId="30"/>
    <cellStyle name="Обычный 5 3" xfId="22"/>
    <cellStyle name="Обычный 5 4" xfId="34"/>
    <cellStyle name="Обычный 6" xfId="9"/>
    <cellStyle name="Обычный 6 2" xfId="15"/>
    <cellStyle name="Обычный 6 2 2" xfId="33"/>
    <cellStyle name="Обычный 6 3" xfId="17"/>
    <cellStyle name="Обычный 6 3 2" xfId="35"/>
    <cellStyle name="Обычный 6 4" xfId="23"/>
    <cellStyle name="Обычный 6 5" xfId="31"/>
    <cellStyle name="Обычный 7" xfId="10"/>
    <cellStyle name="Обычный 8" xfId="14"/>
    <cellStyle name="Обычный 9" xfId="26"/>
    <cellStyle name="Процентный 2" xfId="18"/>
    <cellStyle name="Финансовый" xfId="1" builtinId="3"/>
    <cellStyle name="Финансовый 2" xfId="5"/>
    <cellStyle name="Финансовый 2 2" xfId="21"/>
    <cellStyle name="Финансовый 2 3" xfId="29"/>
    <cellStyle name="Финансовый 3" xfId="3"/>
    <cellStyle name="Финансовый 3 2" xfId="28"/>
    <cellStyle name="Финансовый 4" xfId="19"/>
    <cellStyle name="Финансовый 5" xfId="2"/>
    <cellStyle name="Финансовый 6" xfId="27"/>
    <cellStyle name="Финансовый 7" xfId="8"/>
  </cellStyles>
  <dxfs count="0"/>
  <tableStyles count="0" defaultTableStyle="TableStyleMedium2" defaultPivotStyle="PivotStyleMedium9"/>
  <colors>
    <mruColors>
      <color rgb="FFFBFBFB"/>
      <color rgb="FFF3F3F3"/>
      <color rgb="FFF0F0F0"/>
      <color rgb="FFE6E6E6"/>
      <color rgb="FF6CF8CD"/>
      <color rgb="FF6CF4C0"/>
      <color rgb="FF000000"/>
      <color rgb="FF13EDC3"/>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69;/&#1054;&#1058;&#1044;&#1045;&#1051;%20&#1040;&#1053;&#1040;&#1051;&#1048;&#1058;&#1048;&#1050;&#1048;/&#1052;&#1059;&#1053;&#1048;&#1062;&#1048;&#1055;&#1040;&#1051;&#1068;&#1053;&#1067;&#1045;%20&#1080;%20&#1043;&#1054;&#1057;.%20&#1055;&#1056;&#1054;&#1043;&#1056;&#1040;&#1052;&#1052;&#1067;/&#1048;&#1047;&#1052;&#1045;&#1053;&#1045;&#1053;&#1048;&#1071;%20&#1087;&#1086;%20&#1087;&#1088;&#1086;&#1075;&#1088;&#1072;&#1084;&#1084;&#1072;&#1084;%20(&#8470;362-&#1043;&#1044;)%2017.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quot;Образование&quot;"/>
      <sheetName val="02 &quot;Соерж.объект.гор.хоз.&quot;"/>
      <sheetName val="03 &quot;Формирование ком.гор.ср.&quot;"/>
      <sheetName val="04 &quot;Культурное простр.&quot;"/>
      <sheetName val="05 &quot;Физ.культура&quot;"/>
      <sheetName val="06 &quot;Сод-е занятости&quot;"/>
      <sheetName val="07 &quot;АПК&quot;"/>
      <sheetName val="08 &quot;Развитие жил.сферы&quot;"/>
      <sheetName val="09 &quot;Развитие ЖКХ&quot;"/>
      <sheetName val="10 &quot;Проф.правонар.&quot;"/>
      <sheetName val="11 &quot;Безоп.жизни.&quot;"/>
      <sheetName val="12 &quot;Экологическая безопасность"/>
      <sheetName val="13 &quot;Соц.-экон. развитие&quot;"/>
      <sheetName val="14&quot;Трансп.система&quot;"/>
      <sheetName val="15&quot;Муницип.финансы&quot;"/>
      <sheetName val="16 &quot;Разв.институтов&quot;"/>
      <sheetName val="17 &quot;Муницип. имущество&quot;"/>
      <sheetName val="18 &quot;Укрепление межнац.соглас.&quot;"/>
      <sheetName val="19 &quot;Муницип. служба&quot;"/>
      <sheetName val="свод"/>
    </sheetNames>
    <sheetDataSet>
      <sheetData sheetId="0"/>
      <sheetData sheetId="1"/>
      <sheetData sheetId="2"/>
      <sheetData sheetId="3">
        <row r="8">
          <cell r="C8">
            <v>494514.2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v>158074.99999999997</v>
          </cell>
        </row>
      </sheetData>
      <sheetData sheetId="19"/>
    </sheetDataSet>
  </externalBook>
</externalLink>
</file>

<file path=xl/revisions/_rels/revisionHeaders.xml.rels><?xml version="1.0" encoding="UTF-8" standalone="yes"?>
<Relationships xmlns="http://schemas.openxmlformats.org/package/2006/relationships"><Relationship Id="rId451" Type="http://schemas.openxmlformats.org/officeDocument/2006/relationships/revisionLog" Target="revisionLog436.xml"/><Relationship Id="rId472" Type="http://schemas.openxmlformats.org/officeDocument/2006/relationships/revisionLog" Target="revisionLog4.xml"/><Relationship Id="rId409" Type="http://schemas.openxmlformats.org/officeDocument/2006/relationships/revisionLog" Target="revisionLog394.xml"/><Relationship Id="rId412" Type="http://schemas.openxmlformats.org/officeDocument/2006/relationships/revisionLog" Target="revisionLog397.xml"/><Relationship Id="rId433" Type="http://schemas.openxmlformats.org/officeDocument/2006/relationships/revisionLog" Target="revisionLog418.xml"/><Relationship Id="rId459" Type="http://schemas.openxmlformats.org/officeDocument/2006/relationships/revisionLog" Target="revisionLog444.xml"/><Relationship Id="rId438" Type="http://schemas.openxmlformats.org/officeDocument/2006/relationships/revisionLog" Target="revisionLog423.xml"/><Relationship Id="rId404" Type="http://schemas.openxmlformats.org/officeDocument/2006/relationships/revisionLog" Target="revisionLog389.xml"/><Relationship Id="rId417" Type="http://schemas.openxmlformats.org/officeDocument/2006/relationships/revisionLog" Target="revisionLog402.xml"/><Relationship Id="rId467" Type="http://schemas.openxmlformats.org/officeDocument/2006/relationships/revisionLog" Target="revisionLog452.xml"/><Relationship Id="rId446" Type="http://schemas.openxmlformats.org/officeDocument/2006/relationships/revisionLog" Target="revisionLog431.xml"/><Relationship Id="rId420" Type="http://schemas.openxmlformats.org/officeDocument/2006/relationships/revisionLog" Target="revisionLog405.xml"/><Relationship Id="rId425" Type="http://schemas.openxmlformats.org/officeDocument/2006/relationships/revisionLog" Target="revisionLog410.xml"/><Relationship Id="rId475" Type="http://schemas.openxmlformats.org/officeDocument/2006/relationships/revisionLog" Target="revisionLog7.xml"/><Relationship Id="rId454" Type="http://schemas.openxmlformats.org/officeDocument/2006/relationships/revisionLog" Target="revisionLog439.xml"/><Relationship Id="rId470" Type="http://schemas.openxmlformats.org/officeDocument/2006/relationships/revisionLog" Target="revisionLog2.xml"/><Relationship Id="rId441" Type="http://schemas.openxmlformats.org/officeDocument/2006/relationships/revisionLog" Target="revisionLog426.xml"/><Relationship Id="rId462" Type="http://schemas.openxmlformats.org/officeDocument/2006/relationships/revisionLog" Target="revisionLog447.xml"/><Relationship Id="rId398" Type="http://schemas.openxmlformats.org/officeDocument/2006/relationships/revisionLog" Target="revisionLog383.xml"/><Relationship Id="rId423" Type="http://schemas.openxmlformats.org/officeDocument/2006/relationships/revisionLog" Target="revisionLog408.xml"/><Relationship Id="rId402" Type="http://schemas.openxmlformats.org/officeDocument/2006/relationships/revisionLog" Target="revisionLog387.xml"/><Relationship Id="rId449" Type="http://schemas.openxmlformats.org/officeDocument/2006/relationships/revisionLog" Target="revisionLog434.xml"/><Relationship Id="rId428" Type="http://schemas.openxmlformats.org/officeDocument/2006/relationships/revisionLog" Target="revisionLog413.xml"/><Relationship Id="rId407" Type="http://schemas.openxmlformats.org/officeDocument/2006/relationships/revisionLog" Target="revisionLog392.xml"/><Relationship Id="rId436" Type="http://schemas.openxmlformats.org/officeDocument/2006/relationships/revisionLog" Target="revisionLog421.xml"/><Relationship Id="rId415" Type="http://schemas.openxmlformats.org/officeDocument/2006/relationships/revisionLog" Target="revisionLog400.xml"/><Relationship Id="rId457" Type="http://schemas.openxmlformats.org/officeDocument/2006/relationships/revisionLog" Target="revisionLog442.xml"/><Relationship Id="rId461" Type="http://schemas.openxmlformats.org/officeDocument/2006/relationships/revisionLog" Target="revisionLog446.xml"/><Relationship Id="rId465" Type="http://schemas.openxmlformats.org/officeDocument/2006/relationships/revisionLog" Target="revisionLog450.xml"/><Relationship Id="rId444" Type="http://schemas.openxmlformats.org/officeDocument/2006/relationships/revisionLog" Target="revisionLog429.xml"/><Relationship Id="rId460" Type="http://schemas.openxmlformats.org/officeDocument/2006/relationships/revisionLog" Target="revisionLog445.xml"/><Relationship Id="rId410" Type="http://schemas.openxmlformats.org/officeDocument/2006/relationships/revisionLog" Target="revisionLog395.xml"/><Relationship Id="rId473" Type="http://schemas.openxmlformats.org/officeDocument/2006/relationships/revisionLog" Target="revisionLog5.xml"/><Relationship Id="rId452" Type="http://schemas.openxmlformats.org/officeDocument/2006/relationships/revisionLog" Target="revisionLog437.xml"/><Relationship Id="rId431" Type="http://schemas.openxmlformats.org/officeDocument/2006/relationships/revisionLog" Target="revisionLog416.xml"/><Relationship Id="rId419" Type="http://schemas.openxmlformats.org/officeDocument/2006/relationships/revisionLog" Target="revisionLog404.xml"/><Relationship Id="rId406" Type="http://schemas.openxmlformats.org/officeDocument/2006/relationships/revisionLog" Target="revisionLog391.xml"/><Relationship Id="rId401" Type="http://schemas.openxmlformats.org/officeDocument/2006/relationships/revisionLog" Target="revisionLog386.xml"/><Relationship Id="rId456" Type="http://schemas.openxmlformats.org/officeDocument/2006/relationships/revisionLog" Target="revisionLog441.xml"/><Relationship Id="rId435" Type="http://schemas.openxmlformats.org/officeDocument/2006/relationships/revisionLog" Target="revisionLog420.xml"/><Relationship Id="rId414" Type="http://schemas.openxmlformats.org/officeDocument/2006/relationships/revisionLog" Target="revisionLog399.xml"/><Relationship Id="rId430" Type="http://schemas.openxmlformats.org/officeDocument/2006/relationships/revisionLog" Target="revisionLog415.xml"/><Relationship Id="rId443" Type="http://schemas.openxmlformats.org/officeDocument/2006/relationships/revisionLog" Target="revisionLog428.xml"/><Relationship Id="rId422" Type="http://schemas.openxmlformats.org/officeDocument/2006/relationships/revisionLog" Target="revisionLog407.xml"/><Relationship Id="rId427" Type="http://schemas.openxmlformats.org/officeDocument/2006/relationships/revisionLog" Target="revisionLog412.xml"/><Relationship Id="rId448" Type="http://schemas.openxmlformats.org/officeDocument/2006/relationships/revisionLog" Target="revisionLog433.xml"/><Relationship Id="rId464" Type="http://schemas.openxmlformats.org/officeDocument/2006/relationships/revisionLog" Target="revisionLog449.xml"/><Relationship Id="rId469" Type="http://schemas.openxmlformats.org/officeDocument/2006/relationships/revisionLog" Target="revisionLog1.xml"/><Relationship Id="rId413" Type="http://schemas.openxmlformats.org/officeDocument/2006/relationships/revisionLog" Target="revisionLog398.xml"/><Relationship Id="rId439" Type="http://schemas.openxmlformats.org/officeDocument/2006/relationships/revisionLog" Target="revisionLog424.xml"/><Relationship Id="rId418" Type="http://schemas.openxmlformats.org/officeDocument/2006/relationships/revisionLog" Target="revisionLog403.xml"/><Relationship Id="rId426" Type="http://schemas.openxmlformats.org/officeDocument/2006/relationships/revisionLog" Target="revisionLog411.xml"/><Relationship Id="rId447" Type="http://schemas.openxmlformats.org/officeDocument/2006/relationships/revisionLog" Target="revisionLog432.xml"/><Relationship Id="rId405" Type="http://schemas.openxmlformats.org/officeDocument/2006/relationships/revisionLog" Target="revisionLog390.xml"/><Relationship Id="rId450" Type="http://schemas.openxmlformats.org/officeDocument/2006/relationships/revisionLog" Target="revisionLog435.xml"/><Relationship Id="rId455" Type="http://schemas.openxmlformats.org/officeDocument/2006/relationships/revisionLog" Target="revisionLog440.xml"/><Relationship Id="rId471" Type="http://schemas.openxmlformats.org/officeDocument/2006/relationships/revisionLog" Target="revisionLog3.xml"/><Relationship Id="rId434" Type="http://schemas.openxmlformats.org/officeDocument/2006/relationships/revisionLog" Target="revisionLog419.xml"/><Relationship Id="rId442" Type="http://schemas.openxmlformats.org/officeDocument/2006/relationships/revisionLog" Target="revisionLog427.xml"/><Relationship Id="rId400" Type="http://schemas.openxmlformats.org/officeDocument/2006/relationships/revisionLog" Target="revisionLog385.xml"/><Relationship Id="rId468" Type="http://schemas.openxmlformats.org/officeDocument/2006/relationships/revisionLog" Target="revisionLog453.xml"/><Relationship Id="rId463" Type="http://schemas.openxmlformats.org/officeDocument/2006/relationships/revisionLog" Target="revisionLog448.xml"/><Relationship Id="rId421" Type="http://schemas.openxmlformats.org/officeDocument/2006/relationships/revisionLog" Target="revisionLog406.xml"/><Relationship Id="rId476" Type="http://schemas.openxmlformats.org/officeDocument/2006/relationships/revisionLog" Target="revisionLog8.xml"/><Relationship Id="rId403" Type="http://schemas.openxmlformats.org/officeDocument/2006/relationships/revisionLog" Target="revisionLog388.xml"/><Relationship Id="rId399" Type="http://schemas.openxmlformats.org/officeDocument/2006/relationships/revisionLog" Target="revisionLog384.xml"/><Relationship Id="rId416" Type="http://schemas.openxmlformats.org/officeDocument/2006/relationships/revisionLog" Target="revisionLog401.xml"/><Relationship Id="rId429" Type="http://schemas.openxmlformats.org/officeDocument/2006/relationships/revisionLog" Target="revisionLog414.xml"/><Relationship Id="rId408" Type="http://schemas.openxmlformats.org/officeDocument/2006/relationships/revisionLog" Target="revisionLog393.xml"/><Relationship Id="rId440" Type="http://schemas.openxmlformats.org/officeDocument/2006/relationships/revisionLog" Target="revisionLog425.xml"/><Relationship Id="rId466" Type="http://schemas.openxmlformats.org/officeDocument/2006/relationships/revisionLog" Target="revisionLog451.xml"/><Relationship Id="rId424" Type="http://schemas.openxmlformats.org/officeDocument/2006/relationships/revisionLog" Target="revisionLog409.xml"/><Relationship Id="rId445" Type="http://schemas.openxmlformats.org/officeDocument/2006/relationships/revisionLog" Target="revisionLog430.xml"/><Relationship Id="rId411" Type="http://schemas.openxmlformats.org/officeDocument/2006/relationships/revisionLog" Target="revisionLog396.xml"/><Relationship Id="rId474" Type="http://schemas.openxmlformats.org/officeDocument/2006/relationships/revisionLog" Target="revisionLog6.xml"/><Relationship Id="rId437" Type="http://schemas.openxmlformats.org/officeDocument/2006/relationships/revisionLog" Target="revisionLog422.xml"/><Relationship Id="rId458" Type="http://schemas.openxmlformats.org/officeDocument/2006/relationships/revisionLog" Target="revisionLog443.xml"/><Relationship Id="rId453" Type="http://schemas.openxmlformats.org/officeDocument/2006/relationships/revisionLog" Target="revisionLog438.xml"/><Relationship Id="rId432" Type="http://schemas.openxmlformats.org/officeDocument/2006/relationships/revisionLog" Target="revisionLog41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B3824C3-8C7D-44AA-A7DE-8E40977ABB6A}" diskRevisions="1" revisionId="11346" version="7">
  <header guid="{AC2E2812-316C-456E-81DF-1B6C21AECFFB}" dateTime="2024-04-17T11:00:26" maxSheetId="24" userName="Колесник Елена Николаевна" r:id="rId398" minRId="10440" maxRId="10444">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60168B62-D1FF-4B4C-9E13-0DCC677D752A}" dateTime="2024-04-17T11:17:43" maxSheetId="24" userName="Колесник Елена Николаевна" r:id="rId399" minRId="10445" maxRId="1044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78224BF-CBD0-45E6-AE1D-141EF0E3DF3C}" dateTime="2024-04-17T12:17:03" maxSheetId="24" userName="Колесник Елена Николаевна" r:id="rId400" minRId="10447" maxRId="1049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F4203190-A42D-4748-B254-05AA40872F57}" dateTime="2024-04-17T14:51:38" maxSheetId="24" userName="Степаненко Наталья Алексеевна" r:id="rId401" minRId="10497" maxRId="10631">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D05E21B-CB5D-4982-B93D-347C7C2AB426}" dateTime="2024-04-17T14:52:20" maxSheetId="24" userName="Степаненко Наталья Алексеевна" r:id="rId402" minRId="10642" maxRId="10644">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FE341037-EFB7-4077-93D9-CFCFFBE984DC}" dateTime="2024-04-17T14:52:51" maxSheetId="24" userName="Степаненко Наталья Алексеевна" r:id="rId40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26C9C9FF-0D15-434F-93D9-EB94B957E139}" dateTime="2024-04-18T11:16:59" maxSheetId="24" userName="Колесник Елена Николаевна" r:id="rId404" minRId="10645" maxRId="1064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88F1E020-D196-47D7-8B4B-94DC7334F62E}" dateTime="2024-04-18T11:23:57" maxSheetId="24" userName="Колесник Елена Николаевна" r:id="rId405" minRId="1064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1188CDD9-F1E1-49D5-8A04-482656FAD6A4}" dateTime="2024-04-18T11:29:03" maxSheetId="24" userName="Колесник Елена Николаевна" r:id="rId406" minRId="10649" maxRId="10650">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D125718F-236F-4B10-A1DC-7DC3B2B67437}" dateTime="2024-04-18T11:36:35" maxSheetId="24" userName="Колесник Елена Николаевна" r:id="rId40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399572BE-DAC8-45B3-AFE5-05FFCAC8D703}" dateTime="2024-04-18T11:40:57" maxSheetId="24" userName="Степаненко Наталья Алексеевна" r:id="rId408" minRId="10651" maxRId="1065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57415E2-69D0-4775-9599-A2A5C5475DD5}" dateTime="2024-04-18T11:45:35" maxSheetId="24" userName="Колесник Елена Николаевна" r:id="rId409" minRId="10664">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0951CA28-92A8-4D7E-98A4-DC420A171765}" dateTime="2024-04-18T11:46:23" maxSheetId="24" userName="Колесник Елена Николаевна" r:id="rId410">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D7AA1BBD-9DA0-4776-B5D1-47BEC30AB472}" dateTime="2024-04-26T11:35:04" maxSheetId="24" userName="Харченко Ольга Владимировна" r:id="rId411" minRId="10665" maxRId="10669">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0843DDE9-580E-4574-A3BB-03DD0E4D722D}" dateTime="2024-04-26T11:39:43" maxSheetId="24" userName="Харченко Ольга Владимировна" r:id="rId412" minRId="10670" maxRId="10671">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7347EF8-E76B-4790-87A7-C97829BDF2ED}" dateTime="2024-04-26T11:44:13" maxSheetId="24" userName="Харченко Ольга Владимировна" r:id="rId413" minRId="10672" maxRId="10674">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749D5269-876F-40C3-BB23-F869C216F2CF}" dateTime="2024-04-26T11:48:25" maxSheetId="24" userName="Харченко Ольга Владимировна" r:id="rId414">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467272B1-AF56-4622-B78D-97C0911DB33E}" dateTime="2024-04-26T11:49:36" maxSheetId="24" userName="Харченко Ольга Владимировна" r:id="rId415" minRId="10675">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F6DBAF4D-EE63-4AED-857A-F48D5E1569B1}" dateTime="2024-04-26T11:52:43" maxSheetId="24" userName="Харченко Ольга Владимировна" r:id="rId416" minRId="10676" maxRId="1067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64EF4D9-BBEE-41BB-9626-8AB29430FC6C}" dateTime="2024-04-26T11:54:17" maxSheetId="24" userName="Харченко Ольга Владимировна" r:id="rId417" minRId="10678" maxRId="1068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8884E881-A056-4CF5-B178-84D705DF7771}" dateTime="2024-04-26T11:55:38" maxSheetId="24" userName="Харченко Ольга Владимировна" r:id="rId41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A4EFF39-9172-40C7-8281-E2D64830AFF6}" dateTime="2024-04-26T12:03:11" maxSheetId="24" userName="Харченко Ольга Владимировна" r:id="rId419" minRId="10684" maxRId="1068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85BAAC0-F271-47A0-965D-83EF5B2CAFF0}" dateTime="2024-04-26T12:05:46" maxSheetId="24" userName="Харченко Ольга Владимировна" r:id="rId420" minRId="1068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8F1F348-8AB7-416E-85B0-1ADDC00F6F5E}" dateTime="2024-04-26T12:06:37" maxSheetId="24" userName="Харченко Ольга Владимировна" r:id="rId421" minRId="10689">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0339FEC8-669A-46D7-8B87-26D2F67C0A36}" dateTime="2024-04-26T12:09:25" maxSheetId="24" userName="Харченко Ольга Владимировна" r:id="rId422" minRId="10690">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CE47AFC6-83EA-415B-9BA4-91EFC1A3B859}" dateTime="2024-04-26T12:18:14" maxSheetId="24" userName="Харченко Ольга Владимировна" r:id="rId423" minRId="10691" maxRId="10694">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67254204-3B9B-4091-9026-BE7ADF9C5A74}" dateTime="2024-04-26T12:25:45" maxSheetId="24" userName="Харченко Ольга Владимировна" r:id="rId424" minRId="10705">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E245EA5D-121E-44E7-8964-82DB32EB1599}" dateTime="2024-04-26T12:28:10" maxSheetId="24" userName="Харченко Ольга Владимировна" r:id="rId425" minRId="1070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F9521037-6B55-4253-85E6-293D6EF03BD2}" dateTime="2024-04-26T12:35:53" maxSheetId="24" userName="Харченко Ольга Владимировна" r:id="rId426" minRId="10707" maxRId="1070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38826E3-26A3-4694-81D8-7105C2D855DD}" dateTime="2024-04-26T12:41:39" maxSheetId="24" userName="Харченко Ольга Владимировна" r:id="rId427" minRId="10709">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7A419FCB-CD0F-4204-BE62-CDC15E63153E}" dateTime="2024-04-26T12:42:03" maxSheetId="24" userName="Харченко Ольга Владимировна" r:id="rId42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5E7719F-FA86-46B7-B1A0-AEC8523455AD}" dateTime="2024-04-26T13:57:37" maxSheetId="24" userName="Харченко Ольга Владимировна" r:id="rId429" minRId="10710">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4B87FB4-D871-479C-91BA-921076168035}" dateTime="2024-04-26T13:59:07" maxSheetId="24" userName="Харченко Ольга Владимировна" r:id="rId430" minRId="10711" maxRId="1071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B0A050FA-314A-4428-87A4-99B8CD542B08}" dateTime="2024-04-26T14:00:34" maxSheetId="24" userName="Харченко Ольга Владимировна" r:id="rId431" minRId="1071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C675F142-3B9A-4B75-A47A-E251F751E476}" dateTime="2024-04-26T14:05:38" maxSheetId="24" userName="Харченко Ольга Владимировна" r:id="rId432" minRId="10719" maxRId="1072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3D84DA7-4336-4809-887F-7717376D2E16}" dateTime="2024-04-26T14:12:14" maxSheetId="24" userName="Харченко Ольга Владимировна" r:id="rId433" minRId="10724" maxRId="10730">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35528485-D23A-4E21-9F42-CFB8B8991CCE}" dateTime="2024-04-26T14:41:38" maxSheetId="24" userName="Харченко Ольга Владимировна" r:id="rId434" minRId="10731" maxRId="1074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4738A09-96E9-4C0A-A58F-7E1804C0D2E8}" dateTime="2024-04-26T15:00:22" maxSheetId="24" userName="Харченко Ольга Владимировна" r:id="rId435" minRId="10755">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4A1CF0EB-7605-4E1A-9210-1141155F94A0}" dateTime="2024-04-26T15:19:35" maxSheetId="24" userName="Харченко Ольга Владимировна" r:id="rId436" minRId="10767" maxRId="10771">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D66BCF85-7AEC-4769-80AF-C464DF19BE00}" dateTime="2024-04-26T15:31:52" maxSheetId="24" userName="Харченко Ольга Владимировна" r:id="rId437" minRId="10772" maxRId="10775">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585AE856-CD84-44D9-B499-362963BE35C0}" dateTime="2024-04-26T15:34:57" maxSheetId="24" userName="Харченко Ольга Владимировна" r:id="rId438" minRId="1078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788E5C87-80BB-43D6-A0C6-2A38C0A821D7}" dateTime="2024-04-26T15:40:05" maxSheetId="24" userName="Харченко Ольга Владимировна" r:id="rId439" minRId="10799">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30A8D76F-2BD9-4542-AFB7-8A709A5C075D}" dateTime="2024-04-26T15:42:51" maxSheetId="24" userName="Харченко Ольга Владимировна" r:id="rId440" minRId="10811" maxRId="1081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743E1A2C-55AE-4EAD-90B3-B1E1821BA1D2}" dateTime="2024-04-26T15:52:16" maxSheetId="24" userName="Харченко Ольга Владимировна" r:id="rId441" minRId="10814" maxRId="1081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EAFF9D52-0AD9-46A4-897C-5C8068770D02}" dateTime="2024-04-26T16:01:11" maxSheetId="24" userName="Харченко Ольга Владимировна" r:id="rId442" minRId="10818" maxRId="1082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37D54602-1311-41C4-BAB3-DF33E0F51A38}" dateTime="2024-04-26T17:31:05" maxSheetId="24" userName="Цёвка Елена Александровна" r:id="rId44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46A1565E-736B-4820-A5C7-E70B23DCF255}" dateTime="2024-04-27T14:23:26" maxSheetId="24" userName="Цёвка Елена Александровна" r:id="rId444" minRId="10824" maxRId="1086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249A0A9E-8914-487C-8C50-DC1D18567FB9}" dateTime="2024-04-27T16:12:29" maxSheetId="24" userName="Цёвка Елена Александровна" r:id="rId445" minRId="10864" maxRId="1087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BC9AE9BA-37C3-476C-98B1-483E0976CCA3}" dateTime="2024-04-27T16:22:38" maxSheetId="24" userName="Цёвка Елена Александровна" r:id="rId44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DA8F023-E6B9-4F47-A275-C878A776F9C2}" dateTime="2024-04-27T17:15:16" maxSheetId="24" userName="Цёвка Елена Александровна" r:id="rId44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3CAAD7D4-BA64-411B-B632-CB8D6712DDFA}" dateTime="2024-05-02T09:05:44" maxSheetId="24" userName="Цёвка Елена Александровна" r:id="rId44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081ED1C8-6E48-4566-A745-AF3BC0EB8768}" dateTime="2024-05-02T11:09:07" maxSheetId="24" userName="Тихонова Лариса Анатольевна" r:id="rId449" minRId="10884" maxRId="1088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DAD95EDD-4C33-43E8-9097-D19D0C82FC80}" dateTime="2024-05-02T11:30:27" maxSheetId="24" userName="Харченко Ольга Владимировна" r:id="rId450" minRId="10898" maxRId="1090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0CCE191-99E6-4682-86DA-5F5B68A42418}" dateTime="2024-05-02T11:39:54" maxSheetId="24" userName="Харченко Ольга Владимировна" r:id="rId451" minRId="10904" maxRId="10920">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E008F51E-B8CE-4284-8B74-5300753BEE65}" dateTime="2024-05-02T11:48:54" maxSheetId="24" userName="Харченко Ольга Владимировна" r:id="rId452" minRId="10932" maxRId="1093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78527B0-68C5-48F1-91FA-63BE27A3EEB5}" dateTime="2024-05-02T11:49:47" maxSheetId="24" userName="Харченко Ольга Владимировна" r:id="rId453" minRId="1093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B7863DB-D02E-4FB2-AD6F-3968B7370FEB}" dateTime="2024-05-02T11:56:02" maxSheetId="24" userName="Харченко Ольга Владимировна" r:id="rId454" minRId="10938" maxRId="10939">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644AB90C-39FC-4B55-969F-23753479B546}" dateTime="2024-05-02T12:10:07" maxSheetId="24" userName="Харченко Ольга Владимировна" r:id="rId455" minRId="10950" maxRId="1095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E34DEAEB-D7FE-4F94-9067-946C99BC63E0}" dateTime="2024-05-02T12:14:45" maxSheetId="24" userName="Харченко Ольга Владимировна" r:id="rId456" minRId="10964" maxRId="10969">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70ABCB7B-1284-4727-AB58-65E38062DE3D}" dateTime="2024-05-02T12:25:31" maxSheetId="24" userName="Харченко Ольга Владимировна" r:id="rId457" minRId="10970" maxRId="10982">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2487E108-1A4C-4DE5-818F-6ECC52A76897}" dateTime="2024-05-02T12:25:49" maxSheetId="24" userName="Харченко Ольга Владимировна" r:id="rId458" minRId="10983">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98D76CE5-02E6-4FFA-96E1-B4DC84955BF1}" dateTime="2024-05-02T12:27:18" maxSheetId="24" userName="Харченко Ольга Владимировна" r:id="rId459">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49ABE4A7-B34F-43D7-A84E-7AE7BBA8B27C}" dateTime="2024-05-02T12:28:17" maxSheetId="24" userName="Харченко Ольга Владимировна" r:id="rId460">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01CE13F4-4D79-472D-AB5E-103AFEB61171}" dateTime="2024-05-02T12:30:07" maxSheetId="24" userName="Харченко Ольга Владимировна" r:id="rId461" minRId="10994" maxRId="1099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860896C8-BB28-4732-998C-0CFAC62DD339}" dateTime="2024-05-02T12:32:24" maxSheetId="24" userName="Харченко Ольга Владимировна" r:id="rId462" minRId="10997">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D14D2FA2-F0D3-48A3-B385-A5D7329BE1A8}" dateTime="2024-05-02T16:44:04" maxSheetId="24" userName="Цёвка Елена Александровна" r:id="rId463" minRId="10998">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726F230-3374-4A47-AEE6-8D53DF7B5AAA}" dateTime="2024-05-02T16:45:14" maxSheetId="24" userName="Цёвка Елена Александровна" r:id="rId464">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F7B78E2F-753E-4A3E-BD00-42E3DAE1F19A}" dateTime="2024-05-02T17:06:47" maxSheetId="24" userName="Харченко Ольга Владимировна" r:id="rId465" minRId="10999" maxRId="11011">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E91D10E-90B3-4982-BAD5-5B7352018B16}" dateTime="2024-05-03T11:04:57" maxSheetId="24" userName="Цёвка Елена Александровна" r:id="rId46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A2C2161F-1E62-4D6C-B0E3-BB636FACBF9F}" dateTime="2024-05-03T11:37:53" maxSheetId="24" userName="Тихонова Лариса Анатольевна" r:id="rId467" minRId="11022" maxRId="11056">
    <sheetIdMap count="23">
      <sheetId val="1"/>
      <sheetId val="2"/>
      <sheetId val="3"/>
      <sheetId val="4"/>
      <sheetId val="5"/>
      <sheetId val="6"/>
      <sheetId val="7"/>
      <sheetId val="8"/>
      <sheetId val="9"/>
      <sheetId val="23"/>
      <sheetId val="10"/>
      <sheetId val="11"/>
      <sheetId val="22"/>
      <sheetId val="12"/>
      <sheetId val="13"/>
      <sheetId val="14"/>
      <sheetId val="15"/>
      <sheetId val="16"/>
      <sheetId val="17"/>
      <sheetId val="18"/>
      <sheetId val="19"/>
      <sheetId val="20"/>
      <sheetId val="21"/>
    </sheetIdMap>
  </header>
  <header guid="{86EA3EBF-02D9-4A92-8C4A-686B5DB67763}" dateTime="2024-05-03T11:45:41" maxSheetId="25" userName="Тихонова Лариса Анатольевна" r:id="rId468" minRId="11057" maxRId="11058">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36B146AA-1089-4BD0-A1E5-D26CE3665598}" dateTime="2024-05-03T12:32:57" maxSheetId="25" userName="Тихонова Лариса Анатольевна" r:id="rId469" minRId="11069" maxRId="11071">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66C41D2C-3DAF-4C32-855B-AD612B7F3ACF}" dateTime="2024-05-03T15:26:56" maxSheetId="25" userName="Тихонова Лариса Анатольевна" r:id="rId470" minRId="11072" maxRId="11074">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8190C9EE-6CE8-4DA4-BA6F-291FE94F8803}" dateTime="2024-05-03T15:27:44" maxSheetId="25" userName="Тихонова Лариса Анатольевна" r:id="rId471" minRId="11075" maxRId="11077">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3622DB83-601A-42BF-B6BB-39F96348C170}" dateTime="2024-05-03T16:40:22" maxSheetId="25" userName="Тихонова Лариса Анатольевна" r:id="rId472" minRId="11078" maxRId="11235">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DDE3B27D-04A2-4781-AF5C-8E35BFD3CF38}" dateTime="2024-05-06T17:37:33" maxSheetId="25" userName="Тихонова Лариса Анатольевна" r:id="rId473" minRId="11236" maxRId="11256">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AEF510AA-9A2A-41FF-BE57-7A7CF7E09E43}" dateTime="2024-05-07T17:27:25" maxSheetId="25" userName="Тихонова Лариса Анатольевна" r:id="rId474" minRId="11257" maxRId="11283">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ED58113B-EF01-4904-90E0-EAF78C2B603E}" dateTime="2024-05-13T14:30:51" maxSheetId="25" userName="Тихонова Лариса Анатольевна" r:id="rId475">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 guid="{4B3824C3-8C7D-44AA-A7DE-8E40977ABB6A}" dateTime="2024-05-16T15:30:11" maxSheetId="25" userName="Тихонова Лариса Анатольевна" r:id="rId476" minRId="11295" maxRId="11346">
    <sheetIdMap count="24">
      <sheetId val="1"/>
      <sheetId val="2"/>
      <sheetId val="3"/>
      <sheetId val="4"/>
      <sheetId val="5"/>
      <sheetId val="6"/>
      <sheetId val="7"/>
      <sheetId val="8"/>
      <sheetId val="24"/>
      <sheetId val="9"/>
      <sheetId val="23"/>
      <sheetId val="10"/>
      <sheetId val="11"/>
      <sheetId val="22"/>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69" sId="8" numFmtId="19">
    <oc r="C7">
      <v>45383</v>
    </oc>
    <nc r="C7">
      <v>45413</v>
    </nc>
  </rcc>
  <rcc rId="11070" sId="8" numFmtId="19">
    <oc r="D7">
      <v>45383</v>
    </oc>
    <nc r="D7">
      <v>45413</v>
    </nc>
  </rcc>
  <rcc rId="11071" sId="8" numFmtId="19">
    <oc r="E7">
      <v>45383</v>
    </oc>
    <nc r="E7">
      <v>45413</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2" sId="8" numFmtId="19">
    <oc r="C7">
      <v>45413</v>
    </oc>
    <nc r="C7">
      <v>45383</v>
    </nc>
  </rcc>
  <rcc rId="11073" sId="8" numFmtId="19">
    <oc r="D7">
      <v>45413</v>
    </oc>
    <nc r="D7">
      <v>45383</v>
    </nc>
  </rcc>
  <rcc rId="11074" sId="8" numFmtId="19">
    <oc r="E7">
      <v>45413</v>
    </oc>
    <nc r="E7">
      <v>45383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5" sId="8" numFmtId="19">
    <oc r="C7">
      <v>45383</v>
    </oc>
    <nc r="C7">
      <v>45413</v>
    </nc>
  </rcc>
  <rcc rId="11076" sId="8" numFmtId="19">
    <oc r="D7">
      <v>45383</v>
    </oc>
    <nc r="D7">
      <v>45413</v>
    </nc>
  </rcc>
  <rcc rId="11077" sId="8" numFmtId="19">
    <oc r="E7">
      <v>45383</v>
    </oc>
    <nc r="E7">
      <v>45413</v>
    </nc>
  </rcc>
</revisions>
</file>

<file path=xl/revisions/revisionLog3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40" sId="6">
    <nc r="H99">
      <f>H66+H72+H78</f>
    </nc>
  </rcc>
  <rcc rId="10441" sId="6">
    <oc r="E99">
      <f>E66+E72+E78</f>
    </oc>
    <nc r="E99">
      <f>K99+M99</f>
    </nc>
  </rcc>
  <rcc rId="10442" sId="6">
    <oc r="E129">
      <f>E130+E131+E132</f>
    </oc>
    <nc r="E129">
      <f>I129+K129+M129+O129+Q129+S129+U129+W129+Y129+AA129+AC129+AE129</f>
    </nc>
  </rcc>
  <rcc rId="10443" sId="6">
    <oc r="E131">
      <f>E11+E19+E120</f>
    </oc>
    <nc r="E131">
      <f>I131+K131+M131+O131+Q131+S131+U131+W131+Y131+AA131+AC131</f>
    </nc>
  </rcc>
  <rcc rId="10444" sId="6">
    <oc r="E132">
      <f>E12+E16+E20+E26+E41+E66+E72+E78+E107+E117</f>
    </oc>
    <nc r="E132">
      <f>I132+K132+M132+O132+Q132+S132+U132+W132+Y132+AA132+AC132+AE132</f>
    </nc>
  </rcc>
</revisions>
</file>

<file path=xl/revisions/revisionLog3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45" sId="6">
    <oc r="B132">
      <f>B55+B99+B124</f>
    </oc>
    <nc r="B132">
      <f>H132+J132+L132+N132+P132+R132+T132+V132+X132+Z132+AB132+AD132</f>
    </nc>
  </rcc>
  <rcc rId="10446" sId="6">
    <oc r="B131">
      <f>B54+B123</f>
    </oc>
    <nc r="B131">
      <f>H131+J131+L131+N131+P131+R131+T131+V131+X131+Z131+AB131+AD131</f>
    </nc>
  </rcc>
</revisions>
</file>

<file path=xl/revisions/revisionLog3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47" sId="6">
    <oc r="B129">
      <f>B133+B132+B131+B130</f>
    </oc>
    <nc r="B129">
      <f>B52+B98+B122</f>
    </nc>
  </rcc>
  <rcc rId="10448" sId="6">
    <oc r="B131">
      <f>H131+J131+L131+N131+P131+R131+T131+V131+X131+Z131+AB131+AD131</f>
    </oc>
    <nc r="B131">
      <f>B54+B123</f>
    </nc>
  </rcc>
  <rcc rId="10449" sId="6">
    <oc r="B132">
      <f>H132+J132+L132+N132+P132+R132+T132+V132+X132+Z132+AB132+AD132</f>
    </oc>
    <nc r="B132">
      <f>B55+B99+B124</f>
    </nc>
  </rcc>
  <rcc rId="10450" sId="6">
    <oc r="H131">
      <f>H11+H19+H120</f>
    </oc>
    <nc r="H131">
      <f>H54+H123</f>
    </nc>
  </rcc>
  <rcc rId="10451" sId="6">
    <oc r="J131">
      <f>J11+J19+J120</f>
    </oc>
    <nc r="J131">
      <f>J11+J19+J120</f>
    </nc>
  </rcc>
  <rcc rId="10452" sId="6">
    <oc r="K131">
      <f>K11+K19+K120</f>
    </oc>
    <nc r="K131">
      <f>K11+K19+K120</f>
    </nc>
  </rcc>
  <rcc rId="10453" sId="6">
    <oc r="L131">
      <f>L11+L19+L120</f>
    </oc>
    <nc r="L131">
      <f>L11+L19+L120</f>
    </nc>
  </rcc>
  <rcc rId="10454" sId="6">
    <oc r="M131">
      <f>M11+M19+M120</f>
    </oc>
    <nc r="M131">
      <f>M11+M19+M120</f>
    </nc>
  </rcc>
  <rcc rId="10455" sId="6">
    <oc r="N131">
      <f>N11+N19+N120</f>
    </oc>
    <nc r="N131">
      <f>N11+N19+N120</f>
    </nc>
  </rcc>
  <rcc rId="10456" sId="6">
    <oc r="O131">
      <f>O11+O19+O120</f>
    </oc>
    <nc r="O131">
      <f>O11+O19+O120</f>
    </nc>
  </rcc>
  <rcc rId="10457" sId="6">
    <oc r="P131">
      <f>P11+P19+P120</f>
    </oc>
    <nc r="P131">
      <f>P11+P19+P120</f>
    </nc>
  </rcc>
  <rcc rId="10458" sId="6">
    <oc r="Q131">
      <f>Q11+Q19+Q120</f>
    </oc>
    <nc r="Q131">
      <f>Q11+Q19+Q120</f>
    </nc>
  </rcc>
  <rcc rId="10459" sId="6">
    <oc r="R131">
      <f>R11+R19+R120</f>
    </oc>
    <nc r="R131">
      <f>R11+R19+R120</f>
    </nc>
  </rcc>
  <rcc rId="10460" sId="6">
    <oc r="S131">
      <f>S11+S19+S120</f>
    </oc>
    <nc r="S131">
      <f>S11+S19+S120</f>
    </nc>
  </rcc>
  <rcc rId="10461" sId="6">
    <oc r="T131">
      <f>T11+T19+T120</f>
    </oc>
    <nc r="T131">
      <f>T11+T19+T120</f>
    </nc>
  </rcc>
  <rcc rId="10462" sId="6">
    <oc r="U131">
      <f>U11+U19+U120</f>
    </oc>
    <nc r="U131">
      <f>U11+U19+U120</f>
    </nc>
  </rcc>
  <rcc rId="10463" sId="6">
    <oc r="V131">
      <f>V11+V19+V120</f>
    </oc>
    <nc r="V131">
      <f>V11+V19+V120</f>
    </nc>
  </rcc>
  <rcc rId="10464" sId="6">
    <oc r="W131">
      <f>W11+W19+W120</f>
    </oc>
    <nc r="W131">
      <f>W11+W19+W120</f>
    </nc>
  </rcc>
  <rcc rId="10465" sId="6">
    <oc r="X131">
      <f>X11+X19+X120</f>
    </oc>
    <nc r="X131">
      <f>X11+X19+X120</f>
    </nc>
  </rcc>
  <rcc rId="10466" sId="6">
    <oc r="Y131">
      <f>Y11+Y19+Y120</f>
    </oc>
    <nc r="Y131">
      <f>Y11+Y19+Y120</f>
    </nc>
  </rcc>
  <rcc rId="10467" sId="6">
    <oc r="Z131">
      <f>Z11+Z19+Z120</f>
    </oc>
    <nc r="Z131">
      <f>Z11+Z19+Z120</f>
    </nc>
  </rcc>
  <rcc rId="10468" sId="6">
    <oc r="AA131">
      <f>AA11+AA19+AA120</f>
    </oc>
    <nc r="AA131">
      <f>AA11+AA19+AA120</f>
    </nc>
  </rcc>
  <rcc rId="10469" sId="6">
    <oc r="AB131">
      <f>AB11+AB19+AB120</f>
    </oc>
    <nc r="AB131">
      <f>AB11+AB19+AB120</f>
    </nc>
  </rcc>
  <rcc rId="10470" sId="6">
    <oc r="AC131">
      <f>AC11+AC19+AC120</f>
    </oc>
    <nc r="AC131">
      <f>AC11+AC19+AC120</f>
    </nc>
  </rcc>
  <rcc rId="10471" sId="6">
    <oc r="AD131">
      <f>AD11+AD19+AD120</f>
    </oc>
    <nc r="AD131">
      <f>AD11+AD19+AD120</f>
    </nc>
  </rcc>
  <rcc rId="10472" sId="6">
    <oc r="AE131">
      <f>AE11+AE19+AE120</f>
    </oc>
    <nc r="AE131">
      <f>AE11+AE19+AE120</f>
    </nc>
  </rcc>
  <rcc rId="10473" sId="6">
    <oc r="I132">
      <f>I12+I16+I20+I26+I41+I66+I72+I78+I107+I117</f>
    </oc>
    <nc r="I132">
      <f>I55+I99+I124</f>
    </nc>
  </rcc>
  <rcc rId="10474" sId="6">
    <oc r="K132">
      <f>K12+K16+K20+K26+K41+K66+K72+K78+K107+K117</f>
    </oc>
    <nc r="K132">
      <f>K55+K99+K124</f>
    </nc>
  </rcc>
  <rcc rId="10475" sId="6">
    <oc r="M132">
      <f>M12+M16+M20+M26+M41+M66+M72+M78+M107+M117</f>
    </oc>
    <nc r="M132">
      <f>M55+M99+M124</f>
    </nc>
  </rcc>
  <rcc rId="10476" sId="6">
    <oc r="O132">
      <f>O12+O16+O20+O26+O41+O66+O72+O78+O107+O117</f>
    </oc>
    <nc r="O132">
      <f>O55+O99+O124</f>
    </nc>
  </rcc>
  <rcc rId="10477" sId="6">
    <oc r="Q132">
      <f>Q12+Q16+Q20+Q26+Q41+Q66+Q72+Q78+Q107+Q117</f>
    </oc>
    <nc r="Q132">
      <f>Q55+Q99+Q124</f>
    </nc>
  </rcc>
  <rcc rId="10478" sId="6">
    <oc r="S132">
      <f>S12+S16+S20+S26+S41+S66+S72+S78+S107+S117</f>
    </oc>
    <nc r="S132">
      <f>S55+S99+S124</f>
    </nc>
  </rcc>
  <rcc rId="10479" sId="6">
    <oc r="U132">
      <f>U12+U16+U20+U26+U41+U66+U72+U78+U107+U117</f>
    </oc>
    <nc r="U132">
      <f>U55+U99+U124</f>
    </nc>
  </rcc>
  <rcc rId="10480" sId="6">
    <oc r="W132">
      <f>W12+W16+W20+W26+W41+W66+W72+W78+W107+W117</f>
    </oc>
    <nc r="W132">
      <f>W55+W99+W124</f>
    </nc>
  </rcc>
  <rcc rId="10481" sId="6">
    <oc r="X132">
      <f>X12+X16+X20+X26+X41+X66+X72+X78+X107+X117</f>
    </oc>
    <nc r="X132">
      <f>X55+X99+X124</f>
    </nc>
  </rcc>
  <rcc rId="10482" sId="6">
    <oc r="Y132">
      <f>Y12+Y16+Y20+Y26+Y41+Y66+Y72+Y78+Y107+Y117</f>
    </oc>
    <nc r="Y132">
      <f>Y55+Y99+Y124</f>
    </nc>
  </rcc>
  <rcc rId="10483" sId="6">
    <oc r="AA132">
      <f>AA12+AA16+AA20+AA26+AA41+AA66+AA72+AA78+AA107+AA117</f>
    </oc>
    <nc r="AA132">
      <f>AA55+AA99+AA124</f>
    </nc>
  </rcc>
  <rcc rId="10484" sId="6">
    <oc r="AC132">
      <f>AC12+AC16+AC20+AC26+AC41+AC66+AC72+AC78+AC107+AC117</f>
    </oc>
    <nc r="AC132">
      <f>AC55+AC99+AC124</f>
    </nc>
  </rcc>
  <rcc rId="10485" sId="6">
    <oc r="AE132">
      <f>AE12+AE16+AE20+AE26+AE41+AE66+AE72+AE78+AE107+AE117</f>
    </oc>
    <nc r="AE132">
      <f>AE55+AE99+AE124</f>
    </nc>
  </rcc>
  <rfmt sheetId="6" sqref="B132">
    <dxf>
      <fill>
        <patternFill patternType="solid">
          <bgColor rgb="FFFFFF00"/>
        </patternFill>
      </fill>
    </dxf>
  </rfmt>
  <rcc rId="10486" sId="6">
    <oc r="H132">
      <f>H12+H16+H20+H26+H41+H66+H72+H78+H107+H117</f>
    </oc>
    <nc r="H132">
      <f>H55+H124</f>
    </nc>
  </rcc>
  <rcc rId="10487" sId="6">
    <oc r="J132">
      <f>J12+J16+J20+J26+J41+J66+J72+J78+J107+J117</f>
    </oc>
    <nc r="J132">
      <f>J55+J102+J124</f>
    </nc>
  </rcc>
  <rcc rId="10488" sId="6">
    <oc r="L132">
      <f>L12+L16+L20+L26+L41+L66+L72+L78+L107+L117</f>
    </oc>
    <nc r="L132">
      <f>L55+L99+L124</f>
    </nc>
  </rcc>
  <rcc rId="10489" sId="6">
    <oc r="N132">
      <f>N12+N16+N20+N26+N41+N66+N72+N78+N107+N117</f>
    </oc>
    <nc r="N132">
      <f>N55+N99+N124</f>
    </nc>
  </rcc>
  <rcc rId="10490" sId="6">
    <oc r="P132">
      <f>P12+P16+P20+P26+P41+P66+P72+P78+P107+P117</f>
    </oc>
    <nc r="P132">
      <f>P55+P99+P124</f>
    </nc>
  </rcc>
  <rcc rId="10491" sId="6">
    <oc r="R132">
      <f>R12+R16+R20+R26+R41+R66+R72+R78+R107+R117</f>
    </oc>
    <nc r="R132">
      <f>R55+R99+R124</f>
    </nc>
  </rcc>
  <rcc rId="10492" sId="6">
    <oc r="T132">
      <f>T12+T16+T20+T26+T41+T66+T72+T78+T107+T117</f>
    </oc>
    <nc r="T132">
      <f>T55+T99+T124</f>
    </nc>
  </rcc>
  <rcc rId="10493" sId="6">
    <oc r="V132">
      <f>V12+V16+V20+V26+V41+V66+V72+V78+V107+V117</f>
    </oc>
    <nc r="V132">
      <f>V55+V99+V124</f>
    </nc>
  </rcc>
  <rcc rId="10494" sId="6">
    <oc r="Z132">
      <f>Z12+Z16+Z20+Z26+Z41+Z66+Z72+Z78+Z107+Z117</f>
    </oc>
    <nc r="Z132">
      <f>Z55+Z99+Z124</f>
    </nc>
  </rcc>
  <rcc rId="10495" sId="6">
    <oc r="AB132">
      <f>AB12+AB16+AB20+AB26+AB41+AB66+AB72+AB78+AB107+AB117</f>
    </oc>
    <nc r="AB132">
      <f>AB55+AB99+AB124</f>
    </nc>
  </rcc>
  <rcc rId="10496" sId="6">
    <oc r="AD132">
      <f>AD12+AD16+AD20+AD26+AD41+AD66+AD72+AD78+AD107+AD117</f>
    </oc>
    <nc r="AD132">
      <f>AD55+AD99+AD124</f>
    </nc>
  </rcc>
</revisions>
</file>

<file path=xl/revisions/revisionLog3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97" sId="6">
    <oc r="E11">
      <f>K11+M11+O11+Q11+S11+U11+W11+Y11+AA11+AC11+AE11+AG11</f>
    </oc>
    <nc r="E11">
      <f>K11+M11+O11+Q11+S11+U11+W11+Y11+AA11+AC11+AE11</f>
    </nc>
  </rcc>
  <rcc rId="10498" sId="6">
    <oc r="E12">
      <f>K12+M12+O12+Q12+S12+U12+W12+Y12+AA12+AC12+AE12+AG12</f>
    </oc>
    <nc r="E12">
      <f>K12+M12+O12+Q12+S12+U12+W12+Y12+AA12+AC12+AE12+I12</f>
    </nc>
  </rcc>
  <rfmt sheetId="6" sqref="AF19">
    <dxf>
      <alignment wrapText="1" readingOrder="0"/>
    </dxf>
  </rfmt>
  <rcc rId="10499" sId="6" odxf="1" s="1" dxf="1">
    <oc r="E41">
      <f>E44+E47</f>
    </oc>
    <nc r="E41">
      <f>K41+M41+O41+Q41+S41+U41+W41+Y41+AA41+AC41+AE41</f>
    </nc>
    <ndxf>
      <font>
        <sz val="14"/>
        <color auto="1"/>
        <name val="Times New Roman"/>
        <scheme val="none"/>
      </font>
    </ndxf>
  </rcc>
  <rcc rId="10500" sId="6">
    <oc r="E44">
      <f>K44+M44+O44+Q44+S44+U44+W44+Y44+AA44+AC44+AE44+AG41+I44</f>
    </oc>
    <nc r="E44">
      <f>K44+M44+O44+Q44+S44+U44+W44+Y44+AA44+AC44+AE44</f>
    </nc>
  </rcc>
  <rfmt sheetId="6" sqref="AF41" start="0" length="0">
    <dxf>
      <fill>
        <patternFill patternType="solid">
          <bgColor rgb="FFFF0000"/>
        </patternFill>
      </fill>
      <alignment vertical="top" wrapText="1" readingOrder="0"/>
    </dxf>
  </rfmt>
  <rfmt sheetId="6" sqref="AF115" start="0" length="0">
    <dxf>
      <border>
        <left style="thin">
          <color indexed="64"/>
        </left>
        <right style="thin">
          <color indexed="64"/>
        </right>
        <top style="thin">
          <color indexed="64"/>
        </top>
        <bottom style="thin">
          <color indexed="64"/>
        </bottom>
      </border>
    </dxf>
  </rfmt>
  <rfmt sheetId="6" sqref="AF11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6" sqref="B6:AE137">
    <dxf>
      <fill>
        <patternFill patternType="none">
          <bgColor auto="1"/>
        </patternFill>
      </fill>
    </dxf>
  </rfmt>
  <rcmt sheetId="6" cell="E16" guid="{00000000-0000-0000-0000-000000000000}" action="delete" author="Степаненко Наталья Алексеевна"/>
  <rcmt sheetId="6" cell="B20" guid="{00000000-0000-0000-0000-000000000000}" action="delete" author="Степаненко Наталья Алексеевна"/>
  <rcmt sheetId="6" cell="H20" guid="{00000000-0000-0000-0000-000000000000}" action="delete" author="Степаненко Наталья Алексеевна"/>
  <rcmt sheetId="6" cell="B26" guid="{00000000-0000-0000-0000-000000000000}" action="delete" author="Степаненко Наталья Алексеевна"/>
  <rcmt sheetId="6" cell="B38" guid="{00000000-0000-0000-0000-000000000000}" action="delete" author="Автор"/>
  <rcmt sheetId="6" cell="B44" guid="{00000000-0000-0000-0000-000000000000}" action="delete" author="Степаненко Наталья Алексеевна"/>
  <rcmt sheetId="6" cell="AD44" guid="{00000000-0000-0000-0000-000000000000}" action="delete" author="Степаненко Наталья Алексеевна"/>
  <rcmt sheetId="6" cell="B69" guid="{00000000-0000-0000-0000-000000000000}" action="delete" author="Степаненко Наталья Алексеевна"/>
  <rcmt sheetId="6" cell="J69" guid="{00000000-0000-0000-0000-000000000000}" action="delete" author="Степаненко Наталья Алексеевна"/>
  <rcmt sheetId="6" cell="AD69" guid="{00000000-0000-0000-0000-000000000000}" action="delete" author="Степаненко Наталья Алексеевна"/>
  <rcmt sheetId="6" cell="B75" guid="{00000000-0000-0000-0000-000000000000}" action="delete" author="Степаненко Наталья Алексеевна"/>
  <rcmt sheetId="6" cell="V75" guid="{00000000-0000-0000-0000-000000000000}" action="delete" author="Степаненко Наталья Алексеевна"/>
  <rcmt sheetId="6" cell="B81" guid="{00000000-0000-0000-0000-000000000000}" action="delete" author="Степаненко Наталья Алексеевна"/>
  <rcmt sheetId="6" cell="D81" guid="{00000000-0000-0000-0000-000000000000}" action="delete" author="Степаненко Наталья Алексеевна"/>
  <rcmt sheetId="6" cell="L81" guid="{00000000-0000-0000-0000-000000000000}" action="delete" author="Степаненко Наталья Алексеевна"/>
  <rcmt sheetId="6" cell="B90" guid="{00000000-0000-0000-0000-000000000000}" action="delete" author="Степаненко Наталья Алексеевна"/>
  <rcmt sheetId="6" cell="K90" guid="{00000000-0000-0000-0000-000000000000}" action="delete" author="Степаненко Наталья Алексеевна"/>
  <rcmt sheetId="6" cell="B120" guid="{00000000-0000-0000-0000-000000000000}" action="delete" author="Степаненко Наталья Алексеевна"/>
  <rcmt sheetId="6" cell="AB120" guid="{00000000-0000-0000-0000-000000000000}" action="delete" author="Степаненко Наталья Алексеевна"/>
  <rcmt sheetId="6" cell="AD120" guid="{00000000-0000-0000-0000-000000000000}" action="delete" author="Степаненко Наталья Алексеевна"/>
  <rcmt sheetId="6" cell="B129" guid="{00000000-0000-0000-0000-000000000000}" action="delete" author="Степаненко Наталья Алексеевна"/>
  <rcc rId="10501" sId="6">
    <nc r="AF41" t="inlineStr">
      <is>
        <t>ПРИЧИНЫ ОТКЛОНЕНИЙ  108,0 тыс. руб</t>
      </is>
    </nc>
  </rcc>
  <rcc rId="10502" sId="6">
    <oc r="AF80" t="inlineStr">
      <is>
        <t xml:space="preserve">ПРИЧИНЫ ОТКЛОНЕНИЙ </t>
      </is>
    </oc>
    <nc r="AF80" t="inlineStr">
      <is>
        <t>ПРИЧИНЫ ОТКЛОНЕНИЙ 108,0 тыс. руб</t>
      </is>
    </nc>
  </rcc>
  <rcc rId="10503" sId="6">
    <oc r="AG10">
      <f>C10-E10</f>
    </oc>
    <nc r="AG10"/>
  </rcc>
  <rcc rId="10504" sId="6">
    <oc r="AG11">
      <f>C11-E11</f>
    </oc>
    <nc r="AG11"/>
  </rcc>
  <rcc rId="10505" sId="6">
    <oc r="AG12">
      <f>C12-E12</f>
    </oc>
    <nc r="AG12"/>
  </rcc>
  <rcc rId="10506" sId="6">
    <oc r="AG13">
      <f>C13-E13</f>
    </oc>
    <nc r="AG13"/>
  </rcc>
  <rcc rId="10507" sId="6">
    <oc r="AG14">
      <f>C14-E14</f>
    </oc>
    <nc r="AG14"/>
  </rcc>
  <rcc rId="10508" sId="6">
    <oc r="AG15">
      <f>C15-E15</f>
    </oc>
    <nc r="AG15"/>
  </rcc>
  <rcc rId="10509" sId="6">
    <oc r="AG16">
      <f>C16-E16</f>
    </oc>
    <nc r="AG16"/>
  </rcc>
  <rcc rId="10510" sId="6">
    <oc r="AG17">
      <f>C17-E17</f>
    </oc>
    <nc r="AG17"/>
  </rcc>
  <rcc rId="10511" sId="6">
    <oc r="AG18">
      <f>C18-E18</f>
    </oc>
    <nc r="AG18"/>
  </rcc>
  <rcc rId="10512" sId="6">
    <oc r="AG19">
      <f>C19-E19</f>
    </oc>
    <nc r="AG19"/>
  </rcc>
  <rcc rId="10513" sId="6">
    <oc r="AG20">
      <f>C20-E20</f>
    </oc>
    <nc r="AG20"/>
  </rcc>
  <rcc rId="10514" sId="6">
    <oc r="AG21">
      <f>C21-E21</f>
    </oc>
    <nc r="AG21"/>
  </rcc>
  <rcc rId="10515" sId="6">
    <oc r="AG22">
      <f>C22-E22</f>
    </oc>
    <nc r="AG22"/>
  </rcc>
  <rcc rId="10516" sId="6">
    <oc r="AG23">
      <f>C23-E23</f>
    </oc>
    <nc r="AG23"/>
  </rcc>
  <rcc rId="10517" sId="6">
    <oc r="AG24">
      <f>C24-E24</f>
    </oc>
    <nc r="AG24"/>
  </rcc>
  <rcc rId="10518" sId="6">
    <oc r="AG25">
      <f>C25-E25</f>
    </oc>
    <nc r="AG25"/>
  </rcc>
  <rcc rId="10519" sId="6">
    <oc r="AG26">
      <f>C26-E26</f>
    </oc>
    <nc r="AG26"/>
  </rcc>
  <rcc rId="10520" sId="6">
    <oc r="AG27">
      <f>C27-E27</f>
    </oc>
    <nc r="AG27"/>
  </rcc>
  <rcc rId="10521" sId="6">
    <oc r="AG28">
      <f>C28-E28</f>
    </oc>
    <nc r="AG28"/>
  </rcc>
  <rcc rId="10522" sId="6">
    <oc r="AG29">
      <f>C29-E29</f>
    </oc>
    <nc r="AG29"/>
  </rcc>
  <rcc rId="10523" sId="6">
    <oc r="AG30">
      <f>C30-E30</f>
    </oc>
    <nc r="AG30"/>
  </rcc>
  <rcc rId="10524" sId="6">
    <oc r="AG31">
      <f>C31-E31</f>
    </oc>
    <nc r="AG31"/>
  </rcc>
  <rcc rId="10525" sId="6">
    <oc r="AG32">
      <f>C32-E32</f>
    </oc>
    <nc r="AG32"/>
  </rcc>
  <rcc rId="10526" sId="6">
    <oc r="AG33">
      <f>C33-E33</f>
    </oc>
    <nc r="AG33"/>
  </rcc>
  <rcc rId="10527" sId="6">
    <oc r="AG34">
      <f>C34-E34</f>
    </oc>
    <nc r="AG34"/>
  </rcc>
  <rcc rId="10528" sId="6">
    <oc r="AG35">
      <f>C35-E35</f>
    </oc>
    <nc r="AG35"/>
  </rcc>
  <rcc rId="10529" sId="6">
    <oc r="AG36">
      <f>C36-E36</f>
    </oc>
    <nc r="AG36"/>
  </rcc>
  <rcc rId="10530" sId="6">
    <oc r="AG37">
      <f>C37-E37</f>
    </oc>
    <nc r="AG37"/>
  </rcc>
  <rcc rId="10531" sId="6">
    <oc r="AG38">
      <f>C38-E38</f>
    </oc>
    <nc r="AG38"/>
  </rcc>
  <rcc rId="10532" sId="6">
    <oc r="AG39">
      <f>C39-E39</f>
    </oc>
    <nc r="AG39"/>
  </rcc>
  <rcc rId="10533" sId="6">
    <oc r="AG40">
      <f>C40-E40</f>
    </oc>
    <nc r="AG40"/>
  </rcc>
  <rcc rId="10534" sId="6">
    <oc r="AG41">
      <f>C41-E41</f>
    </oc>
    <nc r="AG41"/>
  </rcc>
  <rcc rId="10535" sId="6">
    <oc r="AG42">
      <f>C42-E42</f>
    </oc>
    <nc r="AG42"/>
  </rcc>
  <rcc rId="10536" sId="6">
    <oc r="AG43">
      <f>C43-E43</f>
    </oc>
    <nc r="AG43"/>
  </rcc>
  <rcc rId="10537" sId="6">
    <oc r="AG44">
      <f>C44-E44</f>
    </oc>
    <nc r="AG44"/>
  </rcc>
  <rcc rId="10538" sId="6">
    <oc r="AG45">
      <f>C45-E45</f>
    </oc>
    <nc r="AG45"/>
  </rcc>
  <rcc rId="10539" sId="6">
    <oc r="AG46">
      <f>C46-E46</f>
    </oc>
    <nc r="AG46"/>
  </rcc>
  <rcc rId="10540" sId="6">
    <oc r="AG47">
      <f>C47-E47</f>
    </oc>
    <nc r="AG47"/>
  </rcc>
  <rcc rId="10541" sId="6">
    <oc r="AG48">
      <f>C48-E48</f>
    </oc>
    <nc r="AG48"/>
  </rcc>
  <rcc rId="10542" sId="6">
    <oc r="AG49">
      <f>C49-E49</f>
    </oc>
    <nc r="AG49"/>
  </rcc>
  <rcc rId="10543" sId="6">
    <oc r="AG50">
      <f>C50-E50</f>
    </oc>
    <nc r="AG50"/>
  </rcc>
  <rcc rId="10544" sId="6">
    <oc r="AG51">
      <f>C51-E51</f>
    </oc>
    <nc r="AG51"/>
  </rcc>
  <rcc rId="10545" sId="6">
    <oc r="AG52">
      <f>C52-E52</f>
    </oc>
    <nc r="AG52"/>
  </rcc>
  <rcc rId="10546" sId="6">
    <oc r="AG53">
      <f>C53-E53</f>
    </oc>
    <nc r="AG53"/>
  </rcc>
  <rcc rId="10547" sId="6">
    <oc r="AG54">
      <f>C54-E54</f>
    </oc>
    <nc r="AG54"/>
  </rcc>
  <rcc rId="10548" sId="6">
    <oc r="AG55">
      <f>C55-E55</f>
    </oc>
    <nc r="AG55"/>
  </rcc>
  <rcc rId="10549" sId="6">
    <oc r="AG56">
      <f>C56-E56</f>
    </oc>
    <nc r="AG56"/>
  </rcc>
  <rcc rId="10550" sId="6">
    <oc r="AG57">
      <f>C57-E57</f>
    </oc>
    <nc r="AG57"/>
  </rcc>
  <rcc rId="10551" sId="6">
    <oc r="AG58">
      <f>C58-E58</f>
    </oc>
    <nc r="AG58"/>
  </rcc>
  <rcc rId="10552" sId="6">
    <oc r="AG59">
      <f>C59-E59</f>
    </oc>
    <nc r="AG59"/>
  </rcc>
  <rcc rId="10553" sId="6">
    <oc r="AG60">
      <f>C60-E60</f>
    </oc>
    <nc r="AG60"/>
  </rcc>
  <rcc rId="10554" sId="6">
    <oc r="AG61">
      <f>C61-E61</f>
    </oc>
    <nc r="AG61"/>
  </rcc>
  <rcc rId="10555" sId="6">
    <oc r="AG62">
      <f>C62-E62</f>
    </oc>
    <nc r="AG62"/>
  </rcc>
  <rcc rId="10556" sId="6">
    <oc r="AG63">
      <f>C63-E63</f>
    </oc>
    <nc r="AG63"/>
  </rcc>
  <rcc rId="10557" sId="6">
    <oc r="AG64">
      <f>C64-E64</f>
    </oc>
    <nc r="AG64"/>
  </rcc>
  <rcc rId="10558" sId="6">
    <oc r="AG65">
      <f>C65-E65</f>
    </oc>
    <nc r="AG65"/>
  </rcc>
  <rcc rId="10559" sId="6">
    <oc r="AG66">
      <f>C66-E66</f>
    </oc>
    <nc r="AG66"/>
  </rcc>
  <rcc rId="10560" sId="6">
    <oc r="AG67">
      <f>C67-E67</f>
    </oc>
    <nc r="AG67"/>
  </rcc>
  <rcc rId="10561" sId="6">
    <oc r="AG68">
      <f>C68-E68</f>
    </oc>
    <nc r="AG68"/>
  </rcc>
  <rcc rId="10562" sId="6">
    <oc r="AG69">
      <f>C69-E69</f>
    </oc>
    <nc r="AG69"/>
  </rcc>
  <rcc rId="10563" sId="6">
    <oc r="AG70">
      <f>C70-E70</f>
    </oc>
    <nc r="AG70"/>
  </rcc>
  <rcc rId="10564" sId="6">
    <oc r="AG71">
      <f>C71-E71</f>
    </oc>
    <nc r="AG71"/>
  </rcc>
  <rcc rId="10565" sId="6">
    <oc r="AG72">
      <f>C72-E72</f>
    </oc>
    <nc r="AG72"/>
  </rcc>
  <rcc rId="10566" sId="6">
    <oc r="AG73">
      <f>C73-E73</f>
    </oc>
    <nc r="AG73"/>
  </rcc>
  <rcc rId="10567" sId="6">
    <oc r="AG74">
      <f>C74-E74</f>
    </oc>
    <nc r="AG74"/>
  </rcc>
  <rcc rId="10568" sId="6">
    <oc r="AG75">
      <f>C75-E75</f>
    </oc>
    <nc r="AG75"/>
  </rcc>
  <rcc rId="10569" sId="6">
    <oc r="AG76">
      <f>C76-E76</f>
    </oc>
    <nc r="AG76"/>
  </rcc>
  <rcc rId="10570" sId="6">
    <oc r="AG77">
      <f>C77-E77</f>
    </oc>
    <nc r="AG77"/>
  </rcc>
  <rcc rId="10571" sId="6">
    <oc r="AG78">
      <f>C78-E78</f>
    </oc>
    <nc r="AG78"/>
  </rcc>
  <rcc rId="10572" sId="6">
    <oc r="AG79">
      <f>C79-E79</f>
    </oc>
    <nc r="AG79"/>
  </rcc>
  <rcc rId="10573" sId="6">
    <oc r="AG80">
      <f>C80-E80</f>
    </oc>
    <nc r="AG80"/>
  </rcc>
  <rcc rId="10574" sId="6">
    <oc r="AG81">
      <f>C81-E81</f>
    </oc>
    <nc r="AG81"/>
  </rcc>
  <rcc rId="10575" sId="6">
    <oc r="AG82">
      <f>C82-E82</f>
    </oc>
    <nc r="AG82"/>
  </rcc>
  <rcc rId="10576" sId="6">
    <oc r="AG83">
      <f>C83-E83</f>
    </oc>
    <nc r="AG83"/>
  </rcc>
  <rcc rId="10577" sId="6">
    <oc r="AG84">
      <f>C84-E84</f>
    </oc>
    <nc r="AG84"/>
  </rcc>
  <rcc rId="10578" sId="6">
    <oc r="AG85">
      <f>C85-E85</f>
    </oc>
    <nc r="AG85"/>
  </rcc>
  <rcc rId="10579" sId="6">
    <oc r="AG86">
      <f>C86-E86</f>
    </oc>
    <nc r="AG86"/>
  </rcc>
  <rcc rId="10580" sId="6">
    <oc r="AG87">
      <f>C87-E87</f>
    </oc>
    <nc r="AG87"/>
  </rcc>
  <rcc rId="10581" sId="6">
    <oc r="AG88">
      <f>C88-E88</f>
    </oc>
    <nc r="AG88"/>
  </rcc>
  <rcc rId="10582" sId="6">
    <oc r="AG89">
      <f>C89-E89</f>
    </oc>
    <nc r="AG89"/>
  </rcc>
  <rcc rId="10583" sId="6">
    <oc r="AG90">
      <f>C90-E90</f>
    </oc>
    <nc r="AG90"/>
  </rcc>
  <rcc rId="10584" sId="6">
    <oc r="AG91">
      <f>C91-E91</f>
    </oc>
    <nc r="AG91"/>
  </rcc>
  <rcc rId="10585" sId="6">
    <oc r="AG92">
      <f>C92-E92</f>
    </oc>
    <nc r="AG92"/>
  </rcc>
  <rcc rId="10586" sId="6">
    <oc r="AG93">
      <f>C93-E93</f>
    </oc>
    <nc r="AG93"/>
  </rcc>
  <rcc rId="10587" sId="6">
    <oc r="AG94">
      <f>C94-E94</f>
    </oc>
    <nc r="AG94"/>
  </rcc>
  <rcc rId="10588" sId="6">
    <oc r="AG95">
      <f>C95-E95</f>
    </oc>
    <nc r="AG95"/>
  </rcc>
  <rcc rId="10589" sId="6">
    <oc r="AG96">
      <f>C96-E96</f>
    </oc>
    <nc r="AG96"/>
  </rcc>
  <rcc rId="10590" sId="6">
    <oc r="AG97">
      <f>C97-E97</f>
    </oc>
    <nc r="AG97"/>
  </rcc>
  <rcc rId="10591" sId="6">
    <oc r="AG98">
      <f>C98-E98</f>
    </oc>
    <nc r="AG98"/>
  </rcc>
  <rcc rId="10592" sId="6">
    <oc r="AG99">
      <f>C99-E99</f>
    </oc>
    <nc r="AG99"/>
  </rcc>
  <rcc rId="10593" sId="6">
    <oc r="AG100">
      <f>C100-E100</f>
    </oc>
    <nc r="AG100"/>
  </rcc>
  <rcc rId="10594" sId="6">
    <oc r="AG101">
      <f>C101-E101</f>
    </oc>
    <nc r="AG101"/>
  </rcc>
  <rcc rId="10595" sId="6">
    <oc r="AG102">
      <f>C102-E102</f>
    </oc>
    <nc r="AG102"/>
  </rcc>
  <rcc rId="10596" sId="6">
    <oc r="AG103">
      <f>C103-E103</f>
    </oc>
    <nc r="AG103"/>
  </rcc>
  <rcc rId="10597" sId="6">
    <oc r="AG104">
      <f>C104-E104</f>
    </oc>
    <nc r="AG104"/>
  </rcc>
  <rcc rId="10598" sId="6">
    <oc r="AG105">
      <f>C105-E105</f>
    </oc>
    <nc r="AG105"/>
  </rcc>
  <rcc rId="10599" sId="6">
    <oc r="AG106">
      <f>C106-E106</f>
    </oc>
    <nc r="AG106"/>
  </rcc>
  <rcc rId="10600" sId="6">
    <oc r="AG107">
      <f>C107-E107</f>
    </oc>
    <nc r="AG107"/>
  </rcc>
  <rcc rId="10601" sId="6">
    <oc r="AG108">
      <f>C108-E108</f>
    </oc>
    <nc r="AG108"/>
  </rcc>
  <rcc rId="10602" sId="6">
    <oc r="AG109">
      <f>C109-E109</f>
    </oc>
    <nc r="AG109"/>
  </rcc>
  <rcc rId="10603" sId="6">
    <oc r="AG110">
      <f>C110-E110</f>
    </oc>
    <nc r="AG110"/>
  </rcc>
  <rcc rId="10604" sId="6">
    <oc r="AG111">
      <f>C111-E111</f>
    </oc>
    <nc r="AG111"/>
  </rcc>
  <rcc rId="10605" sId="6">
    <oc r="AG112">
      <f>C112-E112</f>
    </oc>
    <nc r="AG112"/>
  </rcc>
  <rcc rId="10606" sId="6">
    <oc r="AG113">
      <f>C113-E113</f>
    </oc>
    <nc r="AG113"/>
  </rcc>
  <rcc rId="10607" sId="6">
    <oc r="AG114">
      <f>C114-E114</f>
    </oc>
    <nc r="AG114"/>
  </rcc>
  <rcc rId="10608" sId="6">
    <oc r="AG115">
      <f>C115-E115</f>
    </oc>
    <nc r="AG115"/>
  </rcc>
  <rcc rId="10609" sId="6">
    <oc r="AG116">
      <f>C116-E116</f>
    </oc>
    <nc r="AG116"/>
  </rcc>
  <rcc rId="10610" sId="6">
    <oc r="AG117">
      <f>C117-E117</f>
    </oc>
    <nc r="AG117"/>
  </rcc>
  <rcc rId="10611" sId="6">
    <oc r="AG118">
      <f>C118-E118</f>
    </oc>
    <nc r="AG118"/>
  </rcc>
  <rcc rId="10612" sId="6">
    <oc r="AG119">
      <f>C119-E119</f>
    </oc>
    <nc r="AG119"/>
  </rcc>
  <rcc rId="10613" sId="6">
    <oc r="AG120">
      <f>C120-E120</f>
    </oc>
    <nc r="AG120"/>
  </rcc>
  <rcc rId="10614" sId="6">
    <oc r="AG121">
      <f>C121-E121</f>
    </oc>
    <nc r="AG121"/>
  </rcc>
  <rcc rId="10615" sId="6">
    <oc r="AG122">
      <f>C122-E122</f>
    </oc>
    <nc r="AG122"/>
  </rcc>
  <rcc rId="10616" sId="6">
    <oc r="AG123">
      <f>C123-E123</f>
    </oc>
    <nc r="AG123"/>
  </rcc>
  <rcc rId="10617" sId="6">
    <oc r="AG124">
      <f>C124-E124</f>
    </oc>
    <nc r="AG124"/>
  </rcc>
  <rcc rId="10618" sId="6">
    <oc r="AG125">
      <f>C125-E125</f>
    </oc>
    <nc r="AG125"/>
  </rcc>
  <rcc rId="10619" sId="6">
    <oc r="AG126">
      <f>C126-E126</f>
    </oc>
    <nc r="AG126"/>
  </rcc>
  <rcc rId="10620" sId="6">
    <oc r="AG127">
      <f>C127-E127</f>
    </oc>
    <nc r="AG127"/>
  </rcc>
  <rcc rId="10621" sId="6">
    <oc r="AG128">
      <f>C128-E128</f>
    </oc>
    <nc r="AG128"/>
  </rcc>
  <rcc rId="10622" sId="6">
    <oc r="AG129">
      <f>C129-E129</f>
    </oc>
    <nc r="AG129"/>
  </rcc>
  <rcc rId="10623" sId="6">
    <oc r="AG130">
      <f>C130-E130</f>
    </oc>
    <nc r="AG130"/>
  </rcc>
  <rcc rId="10624" sId="6">
    <oc r="AG131">
      <f>C131-E131</f>
    </oc>
    <nc r="AG131"/>
  </rcc>
  <rcc rId="10625" sId="6">
    <oc r="AG132">
      <f>C132-E132</f>
    </oc>
    <nc r="AG132"/>
  </rcc>
  <rcc rId="10626" sId="6">
    <oc r="AG133">
      <f>C133-E133</f>
    </oc>
    <nc r="AG133"/>
  </rcc>
  <rcc rId="10627" sId="6">
    <oc r="AG134">
      <f>C134-E134</f>
    </oc>
    <nc r="AG134"/>
  </rcc>
  <rcc rId="10628" sId="6">
    <oc r="AG135">
      <f>C135-E135</f>
    </oc>
    <nc r="AG135"/>
  </rcc>
  <rcc rId="10629" sId="6">
    <oc r="AG136">
      <f>C136-E136</f>
    </oc>
    <nc r="AG136"/>
  </rcc>
  <rcc rId="10630" sId="6">
    <oc r="AG137">
      <f>C137-E137</f>
    </oc>
    <nc r="AG137"/>
  </rcc>
  <rcc rId="10631" sId="6">
    <oc r="AG138">
      <f>C138-E138</f>
    </oc>
    <nc r="AG138"/>
  </rcc>
  <rcv guid="{533DC55B-6AD4-4674-9488-685EF2039F3E}" action="delete"/>
  <rdn rId="0" localSheetId="2" customView="1" name="Z_533DC55B_6AD4_4674_9488_685EF2039F3E_.wvu.Rows" hidden="1" oldHidden="1">
    <formula>'1.СЗН'!$69:$73</formula>
    <oldFormula>'1.СЗН'!$69:$73</oldFormula>
  </rdn>
  <rdn rId="0" localSheetId="2" customView="1" name="Z_533DC55B_6AD4_4674_9488_685EF2039F3E_.wvu.FilterData" hidden="1" oldHidden="1">
    <formula>'1.СЗН'!$A$1:$AF$63</formula>
    <oldFormula>'1.СЗН'!$A$1:$AF$63</oldFormula>
  </rdn>
  <rdn rId="0" localSheetId="3" customView="1" name="Z_533DC55B_6AD4_4674_9488_685EF2039F3E_.wvu.FilterData" hidden="1" oldHidden="1">
    <formula>'2.АПК'!$A$1:$AF$36</formula>
    <oldFormula>'2.АПК'!$A$1:$AF$36</oldFormula>
  </rdn>
  <rdn rId="0" localSheetId="4" customView="1" name="Z_533DC55B_6AD4_4674_9488_685EF2039F3E_.wvu.FilterData" hidden="1" oldHidden="1">
    <formula>'3.БЖД'!$A$1:$AF$17</formula>
    <oldFormula>'3.БЖД'!$A$1:$AF$17</oldFormula>
  </rdn>
  <rdn rId="0" localSheetId="5" customView="1" name="Z_533DC55B_6AD4_4674_9488_685EF2039F3E_.wvu.FilterData" hidden="1" oldHidden="1">
    <formula>'4.УМИ'!$A$1:$AF$11</formula>
    <oldFormula>'4.УМИ'!$A$1:$AF$11</oldFormula>
  </rdn>
  <rdn rId="0" localSheetId="6" customView="1" name="Z_533DC55B_6AD4_4674_9488_685EF2039F3E_.wvu.FilterData" hidden="1" oldHidden="1">
    <formula>'5.Проф. прав.'!$A$1:$AF$12</formula>
    <oldFormula>'5.Проф. прав.'!$A$1:$AF$12</oldFormula>
  </rdn>
  <rdn rId="0" localSheetId="7" customView="1" name="Z_533DC55B_6AD4_4674_9488_685EF2039F3E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533DC55B_6AD4_4674_9488_685EF2039F3E_.wvu.FilterData" hidden="1" oldHidden="1">
    <formula>'6.Экстримизм'!$A$1:$AF$11</formula>
    <oldFormula>'6.Экстримизм'!$A$1:$AF$11</oldFormula>
  </rdn>
  <rdn rId="0" localSheetId="15" customView="1" name="Z_533DC55B_6AD4_4674_9488_685EF2039F3E_.wvu.Rows" hidden="1" oldHidden="1">
    <formula>'13.МП РЖС'!$122:$127</formula>
    <oldFormula>'13.МП РЖС'!$122:$127</oldFormula>
  </rdn>
  <rdn rId="0" localSheetId="15" customView="1" name="Z_533DC55B_6AD4_4674_9488_685EF2039F3E_.wvu.Cols" hidden="1" oldHidden="1">
    <formula>'13.МП РЖС'!$AG:$AG</formula>
    <oldFormula>'13.МП РЖС'!$AG:$AG</oldFormula>
  </rdn>
  <rcv guid="{533DC55B-6AD4-4674-9488-685EF2039F3E}" action="add"/>
</revisions>
</file>

<file path=xl/revisions/revisionLog3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42" sId="6" numFmtId="34">
    <oc r="B139">
      <v>32853.199999999997</v>
    </oc>
    <nc r="B139"/>
  </rcc>
  <rcc rId="10643" sId="6" numFmtId="34">
    <oc r="C139">
      <v>8686.3700000000008</v>
    </oc>
    <nc r="C139"/>
  </rcc>
  <rcc rId="10644" sId="6" numFmtId="34">
    <oc r="E139">
      <v>7157.4989999999998</v>
    </oc>
    <nc r="E139"/>
  </rcc>
</revisions>
</file>

<file path=xl/revisions/revisionLog3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E142">
    <dxf>
      <alignment wrapText="1" readingOrder="0"/>
    </dxf>
  </rfmt>
</revisions>
</file>

<file path=xl/revisions/revisionLog3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45" sId="6">
    <oc r="D142" t="inlineStr">
      <is>
        <t>ФИО</t>
      </is>
    </oc>
    <nc r="D142" t="inlineStr">
      <is>
        <t>С.С.Алексеев</t>
      </is>
    </nc>
  </rcc>
  <rcc rId="10646" sId="6">
    <oc r="E142" t="inlineStr">
      <is>
        <t xml:space="preserve">НЕОБХОДИМО ЗАПОЛНИТЬ </t>
      </is>
    </oc>
    <nc r="E142"/>
  </rcc>
  <rcc rId="10647" sId="6">
    <oc r="A144" t="inlineStr">
      <is>
        <t>Исполнитель: 
тел.</t>
      </is>
    </oc>
    <nc r="A144" t="inlineStr">
      <is>
        <t>Исполнитель: Колесник Елена Николаевна
тел.93-736</t>
      </is>
    </nc>
  </rcc>
  <rfmt sheetId="6" sqref="A142:D145">
    <dxf>
      <fill>
        <patternFill>
          <bgColor theme="0"/>
        </patternFill>
      </fill>
    </dxf>
  </rfmt>
</revisions>
</file>

<file path=xl/revisions/revisionLog3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48" sId="6">
    <oc r="AF19" t="inlineStr">
      <is>
        <t xml:space="preserve">ПРИЧИНЫ ОТКЛОНЕНИЙ </t>
      </is>
    </oc>
    <nc r="AF19" t="inlineStr">
      <is>
        <t>Неисполнение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год за фактически отработанное время)</t>
      </is>
    </nc>
  </rcc>
</revisions>
</file>

<file path=xl/revisions/revisionLog3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49" sId="6">
    <oc r="E44">
      <f>K44+M44+O44+Q44+S44+U44+W44+Y44+AA44+AC44+AE44</f>
    </oc>
    <nc r="E44">
      <f>I44+K44</f>
    </nc>
  </rcc>
  <rcc rId="10650" sId="6">
    <oc r="E41">
      <f>K41+M41+O41+Q41+S41+U41+W41+Y41+AA41+AC41+AE41</f>
    </oc>
    <nc r="E41">
      <f>E43</f>
    </nc>
  </rcc>
</revisions>
</file>

<file path=xl/revisions/revisionLog3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F115" start="0" length="2147483647">
    <dxf>
      <font>
        <name val="Times New Roman"/>
        <scheme val="none"/>
      </font>
    </dxf>
  </rfmt>
</revisions>
</file>

<file path=xl/revisions/revisionLog3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51" sId="6">
    <oc r="AF41" t="inlineStr">
      <is>
        <t>ПРИЧИНЫ ОТКЛОНЕНИЙ  108,0 тыс. руб</t>
      </is>
    </oc>
    <nc r="AF41"/>
  </rcc>
  <rfmt sheetId="6" sqref="AF41">
    <dxf>
      <fill>
        <patternFill patternType="none">
          <bgColor auto="1"/>
        </patternFill>
      </fill>
    </dxf>
  </rfmt>
  <rcc rId="10652" sId="6">
    <oc r="C81">
      <f>D81</f>
    </oc>
    <nc r="C81">
      <f>H81+J81+L81</f>
    </nc>
  </rcc>
  <rcc rId="10653" sId="6">
    <nc r="AG82">
      <f>C81-E81</f>
    </nc>
  </rcc>
  <rcv guid="{533DC55B-6AD4-4674-9488-685EF2039F3E}" action="delete"/>
  <rdn rId="0" localSheetId="2" customView="1" name="Z_533DC55B_6AD4_4674_9488_685EF2039F3E_.wvu.Rows" hidden="1" oldHidden="1">
    <formula>'1.СЗН'!$69:$73</formula>
    <oldFormula>'1.СЗН'!$69:$73</oldFormula>
  </rdn>
  <rdn rId="0" localSheetId="2" customView="1" name="Z_533DC55B_6AD4_4674_9488_685EF2039F3E_.wvu.FilterData" hidden="1" oldHidden="1">
    <formula>'1.СЗН'!$A$1:$AF$63</formula>
    <oldFormula>'1.СЗН'!$A$1:$AF$63</oldFormula>
  </rdn>
  <rdn rId="0" localSheetId="3" customView="1" name="Z_533DC55B_6AD4_4674_9488_685EF2039F3E_.wvu.FilterData" hidden="1" oldHidden="1">
    <formula>'2.АПК'!$A$1:$AF$36</formula>
    <oldFormula>'2.АПК'!$A$1:$AF$36</oldFormula>
  </rdn>
  <rdn rId="0" localSheetId="4" customView="1" name="Z_533DC55B_6AD4_4674_9488_685EF2039F3E_.wvu.FilterData" hidden="1" oldHidden="1">
    <formula>'3.БЖД'!$A$1:$AF$17</formula>
    <oldFormula>'3.БЖД'!$A$1:$AF$17</oldFormula>
  </rdn>
  <rdn rId="0" localSheetId="5" customView="1" name="Z_533DC55B_6AD4_4674_9488_685EF2039F3E_.wvu.FilterData" hidden="1" oldHidden="1">
    <formula>'4.УМИ'!$A$1:$AF$11</formula>
    <oldFormula>'4.УМИ'!$A$1:$AF$11</oldFormula>
  </rdn>
  <rdn rId="0" localSheetId="6" customView="1" name="Z_533DC55B_6AD4_4674_9488_685EF2039F3E_.wvu.FilterData" hidden="1" oldHidden="1">
    <formula>'5.Проф. прав.'!$A$1:$AF$12</formula>
    <oldFormula>'5.Проф. прав.'!$A$1:$AF$12</oldFormula>
  </rdn>
  <rdn rId="0" localSheetId="7" customView="1" name="Z_533DC55B_6AD4_4674_9488_685EF2039F3E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533DC55B_6AD4_4674_9488_685EF2039F3E_.wvu.FilterData" hidden="1" oldHidden="1">
    <formula>'6.Экстримизм'!$A$1:$AF$11</formula>
    <oldFormula>'6.Экстримизм'!$A$1:$AF$11</oldFormula>
  </rdn>
  <rdn rId="0" localSheetId="15" customView="1" name="Z_533DC55B_6AD4_4674_9488_685EF2039F3E_.wvu.Rows" hidden="1" oldHidden="1">
    <formula>'13.МП РЖС'!$122:$127</formula>
    <oldFormula>'13.МП РЖС'!$122:$127</oldFormula>
  </rdn>
  <rdn rId="0" localSheetId="15" customView="1" name="Z_533DC55B_6AD4_4674_9488_685EF2039F3E_.wvu.Cols" hidden="1" oldHidden="1">
    <formula>'13.МП РЖС'!$AG:$AG</formula>
    <oldFormula>'13.МП РЖС'!$AG:$AG</oldFormula>
  </rdn>
  <rcv guid="{533DC55B-6AD4-4674-9488-685EF2039F3E}" action="add"/>
</revisions>
</file>

<file path=xl/revisions/revisionLog3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64" sId="6">
    <oc r="AF80" t="inlineStr">
      <is>
        <t>ПРИЧИНЫ ОТКЛОНЕНИЙ 108,0 тыс. руб</t>
      </is>
    </oc>
    <nc r="AF80"/>
  </rcc>
  <rfmt sheetId="6" sqref="AF80">
    <dxf>
      <fill>
        <patternFill>
          <bgColor theme="0"/>
        </patternFill>
      </fill>
    </dxf>
  </rfmt>
  <rfmt sheetId="6" sqref="AF19">
    <dxf>
      <fill>
        <patternFill>
          <bgColor theme="0"/>
        </patternFill>
      </fill>
    </dxf>
  </rfmt>
  <rfmt sheetId="6" sqref="AF14">
    <dxf>
      <alignment horizontal="justify" readingOrder="0"/>
    </dxf>
  </rfmt>
  <rfmt sheetId="6" sqref="AF19">
    <dxf>
      <alignment horizontal="justify" readingOrder="0"/>
    </dxf>
  </rfmt>
  <rfmt sheetId="6" sqref="AF19" start="0" length="2147483647">
    <dxf>
      <font>
        <sz val="11"/>
      </font>
    </dxf>
  </rfmt>
  <rfmt sheetId="6" sqref="AF14" start="0" length="2147483647">
    <dxf>
      <font>
        <sz val="11"/>
      </font>
    </dxf>
  </rfmt>
  <rfmt sheetId="6" sqref="AF115">
    <dxf>
      <alignment horizontal="justify" readingOrder="0"/>
    </dxf>
  </rfmt>
  <rfmt sheetId="6" sqref="AF118">
    <dxf>
      <alignment horizontal="justify" readingOrder="0"/>
    </dxf>
  </rfmt>
  <rfmt sheetId="6" sqref="AF118" start="0" length="2147483647">
    <dxf>
      <font>
        <sz val="11"/>
      </font>
    </dxf>
  </rfmt>
</revisions>
</file>

<file path=xl/revisions/revisionLog3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F118">
    <dxf>
      <alignment vertical="top" readingOrder="0"/>
    </dxf>
  </rfmt>
  <rfmt sheetId="6" sqref="AF115">
    <dxf>
      <alignment vertical="top" readingOrder="0"/>
    </dxf>
  </rfmt>
</revisions>
</file>

<file path=xl/revisions/revisionLog3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65" sId="12">
    <oc r="C15">
      <f>C21</f>
    </oc>
    <nc r="C15">
      <f>C21</f>
    </nc>
  </rcc>
  <rcc rId="10666" sId="12" numFmtId="4">
    <oc r="J21">
      <v>137.80000000000001</v>
    </oc>
    <nc r="J21">
      <v>137.773</v>
    </nc>
  </rcc>
  <rcc rId="10667" sId="12" numFmtId="4">
    <oc r="K21">
      <v>137.80000000000001</v>
    </oc>
    <nc r="K21">
      <v>137.77000000000001</v>
    </nc>
  </rcc>
  <rcc rId="10668" sId="12">
    <oc r="Z21">
      <f>140-37.8</f>
    </oc>
    <nc r="Z21">
      <f>140-37.5-0.27</f>
    </nc>
  </rcc>
  <rcc rId="10669" sId="12">
    <oc r="A17" t="inlineStr">
      <is>
        <t>П.1.1.1. Развитие системы выявления, поддержки, сопровождения и стимулирования одаренных детей в различных сферах деятельности</t>
      </is>
    </oc>
    <nc r="A17" t="inlineStr">
      <is>
        <t>П.1.1.1. Развитие системы выявления, поддержки, сопровождения и стимулирования одаренных детей в различных сферах деятельности (03 01 11,12)</t>
      </is>
    </nc>
  </rcc>
  <rfmt sheetId="12" sqref="A17">
    <dxf>
      <fill>
        <patternFill>
          <bgColor rgb="FFFFFF00"/>
        </patternFill>
      </fill>
    </dxf>
  </rfmt>
</revisions>
</file>

<file path=xl/revisions/revisionLog3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54">
    <dxf>
      <fill>
        <patternFill patternType="solid">
          <bgColor rgb="FFFFFF00"/>
        </patternFill>
      </fill>
    </dxf>
  </rfmt>
  <rfmt sheetId="12" sqref="A54 A48 A42">
    <dxf>
      <fill>
        <patternFill>
          <bgColor rgb="FFFFFF00"/>
        </patternFill>
      </fill>
    </dxf>
  </rfmt>
  <rcc rId="10670" sId="12" numFmtId="4">
    <oc r="M40">
      <v>150.99</v>
    </oc>
    <nc r="M40">
      <v>150.63</v>
    </nc>
  </rcc>
  <rcc rId="10671" sId="12">
    <oc r="C34">
      <f>SUM(H34)</f>
    </oc>
    <nc r="C34">
      <f>H34+J34+L34</f>
    </nc>
  </rcc>
</revisions>
</file>

<file path=xl/revisions/revisionLog3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72" sId="12">
    <oc r="L34">
      <f>L40+L46+L52+L58</f>
    </oc>
    <nc r="L34">
      <f>L40+L46+L52+L58</f>
    </nc>
  </rcc>
  <rcc rId="10673" sId="12" numFmtId="4">
    <oc r="J40">
      <v>134.654</v>
    </oc>
    <nc r="J40">
      <v>134.25399999999999</v>
    </nc>
  </rcc>
  <rcc rId="10674" sId="12" numFmtId="4">
    <oc r="R40">
      <v>45</v>
    </oc>
    <nc r="R40">
      <v>45.4</v>
    </nc>
  </rcc>
  <rfmt sheetId="12" sqref="A36">
    <dxf>
      <fill>
        <patternFill>
          <bgColor rgb="FFFFFF00"/>
        </patternFill>
      </fill>
    </dxf>
  </rfmt>
</revisions>
</file>

<file path=xl/revisions/revisionLog3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240">
    <dxf>
      <fill>
        <patternFill>
          <bgColor rgb="FFFFFF00"/>
        </patternFill>
      </fill>
    </dxf>
  </rfmt>
  <rfmt sheetId="12" sqref="A246">
    <dxf>
      <fill>
        <patternFill>
          <bgColor rgb="FFFFFF00"/>
        </patternFill>
      </fill>
    </dxf>
  </rfmt>
  <rfmt sheetId="12" sqref="A246 A266 A260">
    <dxf>
      <fill>
        <patternFill>
          <bgColor rgb="FFFFFF0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8" sId="8" numFmtId="4">
    <nc r="O108">
      <v>1089.125</v>
    </nc>
  </rcc>
  <rcc rId="11079" sId="8" numFmtId="4">
    <nc r="O160">
      <v>105.1</v>
    </nc>
  </rcc>
  <rcc rId="11080" sId="8" numFmtId="4">
    <nc r="O190">
      <v>774.58900000000006</v>
    </nc>
  </rcc>
  <rcc rId="11081" sId="8" numFmtId="4">
    <nc r="O202">
      <v>11289.794</v>
    </nc>
  </rcc>
  <rcc rId="11082" sId="8" numFmtId="4">
    <nc r="N34">
      <v>0</v>
    </nc>
  </rcc>
  <rcc rId="11083" sId="8" numFmtId="4">
    <nc r="O34">
      <v>2.98</v>
    </nc>
  </rcc>
  <rcc rId="11084" sId="8" numFmtId="4">
    <nc r="O47">
      <v>4395.1000000000004</v>
    </nc>
  </rcc>
  <rcc rId="11085" sId="8" numFmtId="4">
    <nc r="O53">
      <v>3.6</v>
    </nc>
  </rcc>
  <rcc rId="11086" sId="8" numFmtId="4">
    <nc r="O52">
      <v>9.1</v>
    </nc>
  </rcc>
  <rcc rId="11087" sId="8" numFmtId="4">
    <nc r="O54">
      <v>3.6</v>
    </nc>
  </rcc>
  <rcc rId="11088" sId="8" numFmtId="4">
    <nc r="O59">
      <v>10.8</v>
    </nc>
  </rcc>
  <rcc rId="11089" sId="8" numFmtId="4">
    <nc r="O60">
      <v>0.85</v>
    </nc>
  </rcc>
  <rcc rId="11090" sId="8" numFmtId="4">
    <nc r="N120">
      <v>0</v>
    </nc>
  </rcc>
  <rcc rId="11091" sId="8" numFmtId="4">
    <nc r="O120">
      <v>0</v>
    </nc>
  </rcc>
  <rrc rId="11092" sId="8" ref="A23:XFD23" action="insertRow"/>
  <rrc rId="11093" sId="8" ref="A23:XFD23" action="insertRow"/>
  <rrc rId="11094" sId="8" ref="A23:XFD23" action="insertRow"/>
  <rrc rId="11095" sId="8" ref="A23:XFD23" action="insertRow"/>
  <rrc rId="11096" sId="8" ref="A23:XFD23" action="insertRow"/>
  <rrc rId="11097" sId="8" ref="A23:XFD23" action="insertRow"/>
  <rrc rId="11098" sId="8" ref="A23:XFD23" action="insertRow"/>
  <rrc rId="11099" sId="8" ref="A23:XFD23" action="insertRow"/>
  <rfmt sheetId="8" sqref="A23" start="0" length="0">
    <dxf>
      <font>
        <b/>
        <sz val="14"/>
        <color auto="1"/>
        <name val="Times New Roman"/>
        <scheme val="none"/>
      </font>
      <numFmt numFmtId="0" formatCode="General"/>
      <border outline="0">
        <right style="thin">
          <color indexed="64"/>
        </right>
      </border>
    </dxf>
  </rfmt>
  <rfmt sheetId="8" sqref="B23" start="0" length="0">
    <dxf>
      <numFmt numFmtId="2" formatCode="0.00"/>
      <border outline="0">
        <left style="thin">
          <color indexed="64"/>
        </left>
        <right style="thin">
          <color indexed="64"/>
        </right>
      </border>
    </dxf>
  </rfmt>
  <rfmt sheetId="8" sqref="C23" start="0" length="0">
    <dxf>
      <font>
        <sz val="14"/>
        <color rgb="FFFF0000"/>
        <name val="Times New Roman"/>
        <scheme val="none"/>
      </font>
      <numFmt numFmtId="2" formatCode="0.00"/>
      <border outline="0">
        <left style="thin">
          <color indexed="64"/>
        </left>
        <right style="thin">
          <color indexed="64"/>
        </right>
      </border>
    </dxf>
  </rfmt>
  <rfmt sheetId="8" sqref="D23" start="0" length="0">
    <dxf>
      <font>
        <sz val="14"/>
        <color rgb="FFFF0000"/>
        <name val="Times New Roman"/>
        <scheme val="none"/>
      </font>
      <numFmt numFmtId="2" formatCode="0.00"/>
      <border outline="0">
        <left style="thin">
          <color indexed="64"/>
        </left>
        <right style="thin">
          <color indexed="64"/>
        </right>
      </border>
    </dxf>
  </rfmt>
  <rfmt sheetId="8" sqref="E23" start="0" length="0">
    <dxf>
      <font>
        <sz val="14"/>
        <color rgb="FFFF0000"/>
        <name val="Times New Roman"/>
        <scheme val="none"/>
      </font>
      <numFmt numFmtId="2" formatCode="0.00"/>
      <border outline="0">
        <left style="thin">
          <color indexed="64"/>
        </left>
        <right style="thin">
          <color indexed="64"/>
        </right>
      </border>
    </dxf>
  </rfmt>
  <rfmt sheetId="8" sqref="F23" start="0" length="0">
    <dxf>
      <font>
        <sz val="14"/>
        <color rgb="FFFF0000"/>
        <name val="Times New Roman"/>
        <scheme val="none"/>
      </font>
      <numFmt numFmtId="2" formatCode="0.00"/>
      <border outline="0">
        <left style="thin">
          <color indexed="64"/>
        </left>
        <right style="thin">
          <color indexed="64"/>
        </right>
      </border>
    </dxf>
  </rfmt>
  <rfmt sheetId="8" sqref="G23" start="0" length="0">
    <dxf>
      <font>
        <sz val="14"/>
        <color rgb="FFFF0000"/>
        <name val="Times New Roman"/>
        <scheme val="none"/>
      </font>
      <numFmt numFmtId="2" formatCode="0.00"/>
      <border outline="0">
        <left style="thin">
          <color indexed="64"/>
        </left>
        <right style="thin">
          <color indexed="64"/>
        </right>
      </border>
    </dxf>
  </rfmt>
  <rfmt sheetId="8" sqref="H23" start="0" length="0">
    <dxf>
      <font>
        <sz val="14"/>
        <color rgb="FFFF0000"/>
        <name val="Times New Roman"/>
        <scheme val="none"/>
      </font>
      <numFmt numFmtId="2" formatCode="0.00"/>
      <border outline="0">
        <left style="thin">
          <color indexed="64"/>
        </left>
        <right style="thin">
          <color indexed="64"/>
        </right>
      </border>
    </dxf>
  </rfmt>
  <rfmt sheetId="8" sqref="I23" start="0" length="0">
    <dxf>
      <font>
        <sz val="14"/>
        <color rgb="FFFF0000"/>
        <name val="Times New Roman"/>
        <scheme val="none"/>
      </font>
      <numFmt numFmtId="2" formatCode="0.00"/>
      <border outline="0">
        <left style="thin">
          <color indexed="64"/>
        </left>
        <right style="thin">
          <color indexed="64"/>
        </right>
      </border>
    </dxf>
  </rfmt>
  <rfmt sheetId="8" sqref="J23" start="0" length="0">
    <dxf>
      <font>
        <sz val="14"/>
        <color rgb="FFFF0000"/>
        <name val="Times New Roman"/>
        <scheme val="none"/>
      </font>
      <numFmt numFmtId="2" formatCode="0.00"/>
      <border outline="0">
        <left style="thin">
          <color indexed="64"/>
        </left>
        <right style="thin">
          <color indexed="64"/>
        </right>
      </border>
    </dxf>
  </rfmt>
  <rfmt sheetId="8" sqref="K23" start="0" length="0">
    <dxf>
      <font>
        <sz val="14"/>
        <color rgb="FFFF0000"/>
        <name val="Times New Roman"/>
        <scheme val="none"/>
      </font>
      <numFmt numFmtId="2" formatCode="0.00"/>
      <border outline="0">
        <left style="thin">
          <color indexed="64"/>
        </left>
        <right style="thin">
          <color indexed="64"/>
        </right>
      </border>
    </dxf>
  </rfmt>
  <rfmt sheetId="8" sqref="L23" start="0" length="0">
    <dxf>
      <font>
        <sz val="14"/>
        <color rgb="FFFF0000"/>
        <name val="Times New Roman"/>
        <scheme val="none"/>
      </font>
      <numFmt numFmtId="2" formatCode="0.00"/>
      <border outline="0">
        <left style="thin">
          <color indexed="64"/>
        </left>
        <right style="thin">
          <color indexed="64"/>
        </right>
      </border>
    </dxf>
  </rfmt>
  <rfmt sheetId="8" sqref="M23" start="0" length="0">
    <dxf>
      <font>
        <sz val="14"/>
        <color rgb="FFFF0000"/>
        <name val="Times New Roman"/>
        <scheme val="none"/>
      </font>
      <numFmt numFmtId="2" formatCode="0.00"/>
      <border outline="0">
        <left style="thin">
          <color indexed="64"/>
        </left>
        <right style="thin">
          <color indexed="64"/>
        </right>
      </border>
    </dxf>
  </rfmt>
  <rfmt sheetId="8" sqref="N23" start="0" length="0">
    <dxf>
      <font>
        <sz val="14"/>
        <color rgb="FFFF0000"/>
        <name val="Times New Roman"/>
        <scheme val="none"/>
      </font>
      <numFmt numFmtId="2" formatCode="0.00"/>
      <border outline="0">
        <left style="thin">
          <color indexed="64"/>
        </left>
        <right style="thin">
          <color indexed="64"/>
        </right>
      </border>
    </dxf>
  </rfmt>
  <rfmt sheetId="8" sqref="O23" start="0" length="0">
    <dxf>
      <font>
        <sz val="14"/>
        <color rgb="FFFF0000"/>
        <name val="Times New Roman"/>
        <scheme val="none"/>
      </font>
      <numFmt numFmtId="2" formatCode="0.00"/>
      <border outline="0">
        <left style="thin">
          <color indexed="64"/>
        </left>
        <right style="thin">
          <color indexed="64"/>
        </right>
      </border>
    </dxf>
  </rfmt>
  <rfmt sheetId="8" sqref="P23" start="0" length="0">
    <dxf>
      <font>
        <sz val="14"/>
        <color rgb="FFFF0000"/>
        <name val="Times New Roman"/>
        <scheme val="none"/>
      </font>
      <numFmt numFmtId="2" formatCode="0.00"/>
      <border outline="0">
        <left style="thin">
          <color indexed="64"/>
        </left>
        <right style="thin">
          <color indexed="64"/>
        </right>
      </border>
    </dxf>
  </rfmt>
  <rfmt sheetId="8" sqref="Q23" start="0" length="0">
    <dxf>
      <font>
        <sz val="14"/>
        <color rgb="FFFF0000"/>
        <name val="Times New Roman"/>
        <scheme val="none"/>
      </font>
      <numFmt numFmtId="2" formatCode="0.00"/>
      <border outline="0">
        <left style="thin">
          <color indexed="64"/>
        </left>
        <right style="thin">
          <color indexed="64"/>
        </right>
      </border>
    </dxf>
  </rfmt>
  <rfmt sheetId="8" sqref="R23" start="0" length="0">
    <dxf>
      <font>
        <sz val="14"/>
        <color rgb="FFFF0000"/>
        <name val="Times New Roman"/>
        <scheme val="none"/>
      </font>
      <numFmt numFmtId="2" formatCode="0.00"/>
      <border outline="0">
        <left style="thin">
          <color indexed="64"/>
        </left>
        <right style="thin">
          <color indexed="64"/>
        </right>
      </border>
    </dxf>
  </rfmt>
  <rfmt sheetId="8" sqref="S23" start="0" length="0">
    <dxf>
      <font>
        <sz val="14"/>
        <color rgb="FFFF0000"/>
        <name val="Times New Roman"/>
        <scheme val="none"/>
      </font>
      <numFmt numFmtId="2" formatCode="0.00"/>
      <border outline="0">
        <left style="thin">
          <color indexed="64"/>
        </left>
        <right style="thin">
          <color indexed="64"/>
        </right>
      </border>
    </dxf>
  </rfmt>
  <rfmt sheetId="8" sqref="T23" start="0" length="0">
    <dxf>
      <font>
        <sz val="14"/>
        <color rgb="FFFF0000"/>
        <name val="Times New Roman"/>
        <scheme val="none"/>
      </font>
      <numFmt numFmtId="2" formatCode="0.00"/>
      <border outline="0">
        <left style="thin">
          <color indexed="64"/>
        </left>
        <right style="thin">
          <color indexed="64"/>
        </right>
      </border>
    </dxf>
  </rfmt>
  <rfmt sheetId="8" sqref="U23" start="0" length="0">
    <dxf>
      <font>
        <sz val="14"/>
        <color rgb="FFFF0000"/>
        <name val="Times New Roman"/>
        <scheme val="none"/>
      </font>
      <numFmt numFmtId="2" formatCode="0.00"/>
      <border outline="0">
        <left style="thin">
          <color indexed="64"/>
        </left>
        <right style="thin">
          <color indexed="64"/>
        </right>
      </border>
    </dxf>
  </rfmt>
  <rfmt sheetId="8" sqref="V23" start="0" length="0">
    <dxf>
      <font>
        <sz val="14"/>
        <color rgb="FFFF0000"/>
        <name val="Times New Roman"/>
        <scheme val="none"/>
      </font>
      <numFmt numFmtId="2" formatCode="0.00"/>
      <border outline="0">
        <left style="thin">
          <color indexed="64"/>
        </left>
        <right style="thin">
          <color indexed="64"/>
        </right>
      </border>
    </dxf>
  </rfmt>
  <rfmt sheetId="8" sqref="W23" start="0" length="0">
    <dxf>
      <font>
        <sz val="14"/>
        <color rgb="FFFF0000"/>
        <name val="Times New Roman"/>
        <scheme val="none"/>
      </font>
      <numFmt numFmtId="2" formatCode="0.00"/>
      <border outline="0">
        <left style="thin">
          <color indexed="64"/>
        </left>
        <right style="thin">
          <color indexed="64"/>
        </right>
      </border>
    </dxf>
  </rfmt>
  <rfmt sheetId="8" sqref="X23" start="0" length="0">
    <dxf>
      <font>
        <sz val="14"/>
        <color rgb="FFFF0000"/>
        <name val="Times New Roman"/>
        <scheme val="none"/>
      </font>
      <numFmt numFmtId="2" formatCode="0.00"/>
      <border outline="0">
        <left style="thin">
          <color indexed="64"/>
        </left>
        <right style="thin">
          <color indexed="64"/>
        </right>
      </border>
    </dxf>
  </rfmt>
  <rfmt sheetId="8" sqref="Y23" start="0" length="0">
    <dxf>
      <font>
        <sz val="14"/>
        <color rgb="FFFF0000"/>
        <name val="Times New Roman"/>
        <scheme val="none"/>
      </font>
      <numFmt numFmtId="2" formatCode="0.00"/>
      <border outline="0">
        <left style="thin">
          <color indexed="64"/>
        </left>
        <right style="thin">
          <color indexed="64"/>
        </right>
      </border>
    </dxf>
  </rfmt>
  <rfmt sheetId="8" sqref="Z23" start="0" length="0">
    <dxf>
      <font>
        <sz val="14"/>
        <color rgb="FFFF0000"/>
        <name val="Times New Roman"/>
        <scheme val="none"/>
      </font>
      <numFmt numFmtId="2" formatCode="0.00"/>
      <border outline="0">
        <left style="thin">
          <color indexed="64"/>
        </left>
        <right style="thin">
          <color indexed="64"/>
        </right>
      </border>
    </dxf>
  </rfmt>
  <rfmt sheetId="8" sqref="AA23" start="0" length="0">
    <dxf>
      <font>
        <sz val="14"/>
        <color rgb="FFFF0000"/>
        <name val="Times New Roman"/>
        <scheme val="none"/>
      </font>
      <numFmt numFmtId="2" formatCode="0.00"/>
      <border outline="0">
        <left style="thin">
          <color indexed="64"/>
        </left>
        <right style="thin">
          <color indexed="64"/>
        </right>
      </border>
    </dxf>
  </rfmt>
  <rfmt sheetId="8" sqref="AB23" start="0" length="0">
    <dxf>
      <font>
        <sz val="14"/>
        <color rgb="FFFF0000"/>
        <name val="Times New Roman"/>
        <scheme val="none"/>
      </font>
      <numFmt numFmtId="2" formatCode="0.00"/>
      <border outline="0">
        <left style="thin">
          <color indexed="64"/>
        </left>
        <right style="thin">
          <color indexed="64"/>
        </right>
      </border>
    </dxf>
  </rfmt>
  <rfmt sheetId="8" sqref="AC23" start="0" length="0">
    <dxf>
      <font>
        <sz val="14"/>
        <color rgb="FFFF0000"/>
        <name val="Times New Roman"/>
        <scheme val="none"/>
      </font>
      <numFmt numFmtId="2" formatCode="0.00"/>
      <border outline="0">
        <left style="thin">
          <color indexed="64"/>
        </left>
        <right style="thin">
          <color indexed="64"/>
        </right>
      </border>
    </dxf>
  </rfmt>
  <rfmt sheetId="8" sqref="AD23" start="0" length="0">
    <dxf>
      <font>
        <sz val="14"/>
        <color rgb="FFFF0000"/>
        <name val="Times New Roman"/>
        <scheme val="none"/>
      </font>
      <numFmt numFmtId="2" formatCode="0.00"/>
      <border outline="0">
        <left style="thin">
          <color indexed="64"/>
        </left>
        <right style="thin">
          <color indexed="64"/>
        </right>
      </border>
    </dxf>
  </rfmt>
  <rfmt sheetId="8" sqref="AE23" start="0" length="0">
    <dxf>
      <font>
        <sz val="14"/>
        <color rgb="FFFF0000"/>
        <name val="Times New Roman"/>
        <scheme val="none"/>
      </font>
      <numFmt numFmtId="2" formatCode="0.00"/>
      <border outline="0">
        <left style="thin">
          <color indexed="64"/>
        </left>
        <right style="thin">
          <color indexed="64"/>
        </right>
      </border>
    </dxf>
  </rfmt>
  <rfmt sheetId="8" sqref="AF23" start="0" length="0">
    <dxf>
      <border outline="0">
        <left style="thin">
          <color indexed="64"/>
        </left>
      </border>
    </dxf>
  </rfmt>
  <rcc rId="11100" sId="8">
    <nc r="AG23">
      <f>B23-H23-J23-L23-N23-P23-R23-T23-V23-X23-Z23-AB23-AD23</f>
    </nc>
  </rcc>
  <rcc rId="11101" sId="8" odxf="1" dxf="1">
    <nc r="A24" t="inlineStr">
      <is>
        <t>Всего</t>
      </is>
    </nc>
    <odxf>
      <font>
        <b val="0"/>
        <sz val="14"/>
        <color auto="1"/>
        <name val="Times New Roman"/>
        <scheme val="none"/>
      </font>
      <border outline="0">
        <right/>
      </border>
    </odxf>
    <ndxf>
      <font>
        <b/>
        <sz val="14"/>
        <color auto="1"/>
        <name val="Times New Roman"/>
        <scheme val="none"/>
      </font>
      <border outline="0">
        <right style="thin">
          <color indexed="64"/>
        </right>
      </border>
    </ndxf>
  </rcc>
  <rcc rId="11102" sId="8" odxf="1" dxf="1">
    <nc r="B24">
      <f>B25+B26+B27+B28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03" sId="8" odxf="1" dxf="1">
    <nc r="C24">
      <f>C25+C26+C27+C28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04" sId="8" odxf="1" dxf="1">
    <nc r="D24">
      <f>D25+D26+D27+D28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05" sId="8" odxf="1" dxf="1">
    <nc r="E24">
      <f>E25+E26+E27+E28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06" sId="8" odxf="1" dxf="1">
    <nc r="F24">
      <f>IFERROR(E24/B24*100,0)</f>
    </nc>
    <odxf>
      <font>
        <b val="0"/>
        <sz val="14"/>
        <color auto="1"/>
        <name val="Times New Roman"/>
        <scheme val="none"/>
      </font>
      <alignment horizontal="right" vertical="top" readingOrder="0"/>
      <border outline="0">
        <left/>
        <right/>
      </border>
    </odxf>
    <ndxf>
      <font>
        <b/>
        <sz val="14"/>
        <color auto="1"/>
        <name val="Times New Roman"/>
        <scheme val="none"/>
      </font>
      <alignment horizontal="general" vertical="center" readingOrder="0"/>
      <border outline="0">
        <left style="thin">
          <color indexed="64"/>
        </left>
        <right style="thin">
          <color indexed="64"/>
        </right>
      </border>
    </ndxf>
  </rcc>
  <rcc rId="11107" sId="8" odxf="1" dxf="1">
    <nc r="G24">
      <f>IFERROR(E24/C24*100,0)</f>
    </nc>
    <odxf>
      <font>
        <b val="0"/>
        <sz val="14"/>
        <color auto="1"/>
        <name val="Times New Roman"/>
        <scheme val="none"/>
      </font>
      <alignment horizontal="right" vertical="top" readingOrder="0"/>
      <border outline="0">
        <left/>
        <right/>
      </border>
    </odxf>
    <ndxf>
      <font>
        <b/>
        <sz val="14"/>
        <color auto="1"/>
        <name val="Times New Roman"/>
        <scheme val="none"/>
      </font>
      <alignment horizontal="general" vertical="center" readingOrder="0"/>
      <border outline="0">
        <left style="thin">
          <color indexed="64"/>
        </left>
        <right style="thin">
          <color indexed="64"/>
        </right>
      </border>
    </ndxf>
  </rcc>
  <rcc rId="11108" sId="8" odxf="1" dxf="1">
    <nc r="H24">
      <f>H25+H26+H27+H28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09" sId="8" odxf="1" dxf="1">
    <nc r="I24">
      <f>I25+I26+I27+I28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0" sId="8" odxf="1" dxf="1">
    <nc r="J24">
      <f>J25+J26+J27+J28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1" sId="8" odxf="1" dxf="1">
    <nc r="K24">
      <f>K25+K26+K27+K28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2" sId="8" odxf="1" dxf="1">
    <nc r="L24">
      <f>L25+L26+L27+L28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3" sId="8" odxf="1" dxf="1">
    <nc r="M24">
      <f>M25+M26+M27+M28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4" sId="8" odxf="1" dxf="1">
    <nc r="N24">
      <f>N25+N26+N27+N28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5" sId="8" odxf="1" dxf="1">
    <nc r="O24">
      <f>O25+O26+O27+O28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6" sId="8" odxf="1" dxf="1">
    <nc r="P24">
      <f>P25+P26+P27+P28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7" sId="8" odxf="1" dxf="1">
    <nc r="Q24">
      <f>Q25+Q26+Q27+Q28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8" sId="8" odxf="1" dxf="1">
    <nc r="R24">
      <f>R25+R26+R27+R28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19" sId="8" odxf="1" dxf="1">
    <nc r="S24">
      <f>S25+S26+S27+S28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0" sId="8" odxf="1" dxf="1">
    <nc r="T24">
      <f>T25+T26+T27+T28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1" sId="8" odxf="1" dxf="1">
    <nc r="U24">
      <f>U25+U26+U27+U28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2" sId="8" odxf="1" dxf="1">
    <nc r="V24">
      <f>V25+V26+V27+V28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3" sId="8" odxf="1" dxf="1">
    <nc r="W24">
      <f>W25+W26+W27+W28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4" sId="8" odxf="1" dxf="1">
    <nc r="X24">
      <f>X25+X26+X27+X28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5" sId="8" odxf="1" dxf="1">
    <nc r="Y24">
      <f>Y25+Y26+Y27+Y28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6" sId="8" odxf="1" dxf="1">
    <nc r="Z24">
      <f>Z25+Z26+Z27+Z28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7" sId="8" odxf="1" dxf="1">
    <nc r="AA24">
      <f>AA25+AA26+AA27+AA28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8" sId="8" odxf="1" dxf="1">
    <nc r="AB24">
      <f>AB25+AB26+AB27+AB28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29" sId="8" odxf="1" dxf="1">
    <nc r="AC24">
      <f>AC25+AC26+AC27+AC28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30" sId="8" odxf="1" dxf="1">
    <nc r="AD24">
      <f>AD25+AD26+AD27+AD28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31" sId="8" odxf="1" dxf="1">
    <nc r="AE24">
      <f>AE25+AE26+AE27+AE28</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fmt sheetId="8" sqref="AF24" start="0" length="0">
    <dxf>
      <border outline="0">
        <left style="thin">
          <color indexed="64"/>
        </left>
      </border>
    </dxf>
  </rfmt>
  <rcc rId="11132" sId="8">
    <nc r="AG24">
      <f>B24-H24-J24-L24-N24-P24-R24-T24-V24-X24-Z24-AB24-AD24</f>
    </nc>
  </rcc>
  <rcc rId="11133" sId="8" odxf="1" dxf="1">
    <nc r="A25" t="inlineStr">
      <is>
        <t>федеральный бюджет</t>
      </is>
    </nc>
    <odxf>
      <border outline="0">
        <right/>
      </border>
    </odxf>
    <ndxf>
      <border outline="0">
        <right style="thin">
          <color indexed="64"/>
        </right>
      </border>
    </ndxf>
  </rcc>
  <rcc rId="11134" sId="8" odxf="1" dxf="1">
    <nc r="B25">
      <f>J25+L25+N25+P25+R25+T25+V25+X25+Z25+AB25+AD25+H25</f>
    </nc>
    <odxf>
      <border outline="0">
        <left/>
        <right/>
      </border>
    </odxf>
    <ndxf>
      <border outline="0">
        <left style="thin">
          <color indexed="64"/>
        </left>
        <right style="thin">
          <color indexed="64"/>
        </right>
      </border>
    </ndxf>
  </rcc>
  <rcc rId="11135" sId="8" odxf="1" dxf="1">
    <nc r="C25">
      <f>SUM(H25)</f>
    </nc>
    <odxf>
      <border outline="0">
        <left/>
        <right/>
      </border>
    </odxf>
    <ndxf>
      <border outline="0">
        <left style="thin">
          <color indexed="64"/>
        </left>
        <right style="thin">
          <color indexed="64"/>
        </right>
      </border>
    </ndxf>
  </rcc>
  <rcc rId="11136" sId="8" odxf="1" dxf="1">
    <nc r="D25">
      <f>E25</f>
    </nc>
    <odxf>
      <border outline="0">
        <left/>
        <right/>
      </border>
    </odxf>
    <ndxf>
      <border outline="0">
        <left style="thin">
          <color indexed="64"/>
        </left>
        <right style="thin">
          <color indexed="64"/>
        </right>
      </border>
    </ndxf>
  </rcc>
  <rcc rId="11137" sId="8" odxf="1" dxf="1">
    <nc r="E25">
      <f>SUM(I25,K25,M25,O25,Q25,S25,U25,W25,Y25,AA25,AC25,AE25)</f>
    </nc>
    <odxf>
      <border outline="0">
        <left/>
        <right/>
      </border>
    </odxf>
    <ndxf>
      <border outline="0">
        <left style="thin">
          <color indexed="64"/>
        </left>
        <right style="thin">
          <color indexed="64"/>
        </right>
      </border>
    </ndxf>
  </rcc>
  <rcc rId="11138" sId="8" odxf="1" dxf="1">
    <nc r="F25">
      <f>IFERROR(E25/B25*100,0)</f>
    </nc>
    <odxf>
      <border outline="0">
        <left/>
        <right/>
      </border>
    </odxf>
    <ndxf>
      <border outline="0">
        <left style="thin">
          <color indexed="64"/>
        </left>
        <right style="thin">
          <color indexed="64"/>
        </right>
      </border>
    </ndxf>
  </rcc>
  <rcc rId="11139" sId="8" odxf="1" dxf="1">
    <nc r="G25">
      <f>IFERROR(E25/C25*100,0)</f>
    </nc>
    <odxf>
      <border outline="0">
        <left/>
        <right/>
      </border>
    </odxf>
    <ndxf>
      <border outline="0">
        <left style="thin">
          <color indexed="64"/>
        </left>
        <right style="thin">
          <color indexed="64"/>
        </right>
      </border>
    </ndxf>
  </rcc>
  <rfmt sheetId="8" sqref="H25" start="0" length="0">
    <dxf>
      <border outline="0">
        <left style="thin">
          <color indexed="64"/>
        </left>
        <right style="thin">
          <color indexed="64"/>
        </right>
      </border>
    </dxf>
  </rfmt>
  <rfmt sheetId="8" sqref="I25" start="0" length="0">
    <dxf>
      <border outline="0">
        <left style="thin">
          <color indexed="64"/>
        </left>
        <right style="thin">
          <color indexed="64"/>
        </right>
      </border>
    </dxf>
  </rfmt>
  <rfmt sheetId="8" sqref="J25" start="0" length="0">
    <dxf>
      <border outline="0">
        <left style="thin">
          <color indexed="64"/>
        </left>
        <right style="thin">
          <color indexed="64"/>
        </right>
      </border>
    </dxf>
  </rfmt>
  <rfmt sheetId="8" sqref="K25" start="0" length="0">
    <dxf>
      <border outline="0">
        <left style="thin">
          <color indexed="64"/>
        </left>
        <right style="thin">
          <color indexed="64"/>
        </right>
      </border>
    </dxf>
  </rfmt>
  <rfmt sheetId="8" sqref="L25" start="0" length="0">
    <dxf>
      <border outline="0">
        <left style="thin">
          <color indexed="64"/>
        </left>
        <right style="thin">
          <color indexed="64"/>
        </right>
      </border>
    </dxf>
  </rfmt>
  <rfmt sheetId="8" sqref="M25" start="0" length="0">
    <dxf>
      <border outline="0">
        <left style="thin">
          <color indexed="64"/>
        </left>
        <right style="thin">
          <color indexed="64"/>
        </right>
      </border>
    </dxf>
  </rfmt>
  <rfmt sheetId="8" sqref="N25" start="0" length="0">
    <dxf>
      <border outline="0">
        <left style="thin">
          <color indexed="64"/>
        </left>
        <right style="thin">
          <color indexed="64"/>
        </right>
      </border>
    </dxf>
  </rfmt>
  <rfmt sheetId="8" sqref="O25" start="0" length="0">
    <dxf>
      <border outline="0">
        <left style="thin">
          <color indexed="64"/>
        </left>
        <right style="thin">
          <color indexed="64"/>
        </right>
      </border>
    </dxf>
  </rfmt>
  <rfmt sheetId="8" sqref="P25" start="0" length="0">
    <dxf>
      <border outline="0">
        <left style="thin">
          <color indexed="64"/>
        </left>
        <right style="thin">
          <color indexed="64"/>
        </right>
      </border>
    </dxf>
  </rfmt>
  <rfmt sheetId="8" sqref="Q25" start="0" length="0">
    <dxf>
      <border outline="0">
        <left style="thin">
          <color indexed="64"/>
        </left>
        <right style="thin">
          <color indexed="64"/>
        </right>
      </border>
    </dxf>
  </rfmt>
  <rfmt sheetId="8" sqref="R25" start="0" length="0">
    <dxf>
      <border outline="0">
        <left style="thin">
          <color indexed="64"/>
        </left>
        <right style="thin">
          <color indexed="64"/>
        </right>
      </border>
    </dxf>
  </rfmt>
  <rfmt sheetId="8" sqref="S25" start="0" length="0">
    <dxf>
      <border outline="0">
        <left style="thin">
          <color indexed="64"/>
        </left>
        <right style="thin">
          <color indexed="64"/>
        </right>
      </border>
    </dxf>
  </rfmt>
  <rfmt sheetId="8" sqref="T25" start="0" length="0">
    <dxf>
      <border outline="0">
        <left style="thin">
          <color indexed="64"/>
        </left>
        <right style="thin">
          <color indexed="64"/>
        </right>
      </border>
    </dxf>
  </rfmt>
  <rfmt sheetId="8" sqref="U25" start="0" length="0">
    <dxf>
      <border outline="0">
        <left style="thin">
          <color indexed="64"/>
        </left>
        <right style="thin">
          <color indexed="64"/>
        </right>
      </border>
    </dxf>
  </rfmt>
  <rfmt sheetId="8" sqref="V25" start="0" length="0">
    <dxf>
      <border outline="0">
        <left style="thin">
          <color indexed="64"/>
        </left>
        <right style="thin">
          <color indexed="64"/>
        </right>
      </border>
    </dxf>
  </rfmt>
  <rfmt sheetId="8" sqref="W25" start="0" length="0">
    <dxf>
      <border outline="0">
        <left style="thin">
          <color indexed="64"/>
        </left>
        <right style="thin">
          <color indexed="64"/>
        </right>
      </border>
    </dxf>
  </rfmt>
  <rfmt sheetId="8" sqref="X25" start="0" length="0">
    <dxf>
      <border outline="0">
        <left style="thin">
          <color indexed="64"/>
        </left>
        <right style="thin">
          <color indexed="64"/>
        </right>
      </border>
    </dxf>
  </rfmt>
  <rfmt sheetId="8" sqref="Y25" start="0" length="0">
    <dxf>
      <border outline="0">
        <left style="thin">
          <color indexed="64"/>
        </left>
        <right style="thin">
          <color indexed="64"/>
        </right>
      </border>
    </dxf>
  </rfmt>
  <rfmt sheetId="8" sqref="Z25" start="0" length="0">
    <dxf>
      <border outline="0">
        <left style="thin">
          <color indexed="64"/>
        </left>
        <right style="thin">
          <color indexed="64"/>
        </right>
      </border>
    </dxf>
  </rfmt>
  <rfmt sheetId="8" sqref="AA25" start="0" length="0">
    <dxf>
      <border outline="0">
        <left style="thin">
          <color indexed="64"/>
        </left>
        <right style="thin">
          <color indexed="64"/>
        </right>
      </border>
    </dxf>
  </rfmt>
  <rfmt sheetId="8" sqref="AB25" start="0" length="0">
    <dxf>
      <border outline="0">
        <left style="thin">
          <color indexed="64"/>
        </left>
        <right style="thin">
          <color indexed="64"/>
        </right>
      </border>
    </dxf>
  </rfmt>
  <rfmt sheetId="8" sqref="AC25" start="0" length="0">
    <dxf>
      <border outline="0">
        <left style="thin">
          <color indexed="64"/>
        </left>
        <right style="thin">
          <color indexed="64"/>
        </right>
      </border>
    </dxf>
  </rfmt>
  <rfmt sheetId="8" sqref="AD25" start="0" length="0">
    <dxf>
      <border outline="0">
        <left style="thin">
          <color indexed="64"/>
        </left>
        <right style="thin">
          <color indexed="64"/>
        </right>
      </border>
    </dxf>
  </rfmt>
  <rfmt sheetId="8" sqref="AE25" start="0" length="0">
    <dxf>
      <border outline="0">
        <left style="thin">
          <color indexed="64"/>
        </left>
        <right style="thin">
          <color indexed="64"/>
        </right>
      </border>
    </dxf>
  </rfmt>
  <rfmt sheetId="8" sqref="AF25" start="0" length="0">
    <dxf>
      <border outline="0">
        <left style="thin">
          <color indexed="64"/>
        </left>
      </border>
    </dxf>
  </rfmt>
  <rcc rId="11140" sId="8">
    <nc r="AG25">
      <f>B25-H25-J25-L25-N25-P25-R25-T25-V25-X25-Z25-AB25-AD25</f>
    </nc>
  </rcc>
  <rcc rId="11141" sId="8" odxf="1" dxf="1">
    <nc r="A26" t="inlineStr">
      <is>
        <t>бюджет автономного округа</t>
      </is>
    </nc>
    <odxf>
      <border outline="0">
        <right/>
      </border>
    </odxf>
    <ndxf>
      <border outline="0">
        <right style="thin">
          <color indexed="64"/>
        </right>
      </border>
    </ndxf>
  </rcc>
  <rcc rId="11142" sId="8" odxf="1" dxf="1">
    <nc r="B26">
      <f>J26+L26+N26+P26+R26+T26+V26+X26+Z26+AB26+AD26+H26</f>
    </nc>
    <odxf>
      <border outline="0">
        <left/>
        <right/>
      </border>
    </odxf>
    <ndxf>
      <border outline="0">
        <left style="thin">
          <color indexed="64"/>
        </left>
        <right style="thin">
          <color indexed="64"/>
        </right>
      </border>
    </ndxf>
  </rcc>
  <rcc rId="11143" sId="8" odxf="1" dxf="1">
    <nc r="C26">
      <f>SUM(H26)</f>
    </nc>
    <odxf>
      <border outline="0">
        <left/>
        <right/>
      </border>
    </odxf>
    <ndxf>
      <border outline="0">
        <left style="thin">
          <color indexed="64"/>
        </left>
        <right style="thin">
          <color indexed="64"/>
        </right>
      </border>
    </ndxf>
  </rcc>
  <rcc rId="11144" sId="8" odxf="1" dxf="1">
    <nc r="D26">
      <f>E26</f>
    </nc>
    <odxf>
      <border outline="0">
        <left/>
        <right/>
      </border>
    </odxf>
    <ndxf>
      <border outline="0">
        <left style="thin">
          <color indexed="64"/>
        </left>
        <right style="thin">
          <color indexed="64"/>
        </right>
      </border>
    </ndxf>
  </rcc>
  <rcc rId="11145" sId="8" odxf="1" dxf="1">
    <nc r="E26">
      <f>SUM(I26,K26,M26,O26,Q26,S26,U26,W26,Y26,AA26,AC26,AE26)</f>
    </nc>
    <odxf>
      <border outline="0">
        <left/>
        <right/>
      </border>
    </odxf>
    <ndxf>
      <border outline="0">
        <left style="thin">
          <color indexed="64"/>
        </left>
        <right style="thin">
          <color indexed="64"/>
        </right>
      </border>
    </ndxf>
  </rcc>
  <rcc rId="11146" sId="8" odxf="1" dxf="1">
    <nc r="F26">
      <f>IFERROR(E26/B26*100,0)</f>
    </nc>
    <odxf>
      <border outline="0">
        <left/>
        <right/>
      </border>
    </odxf>
    <ndxf>
      <border outline="0">
        <left style="thin">
          <color indexed="64"/>
        </left>
        <right style="thin">
          <color indexed="64"/>
        </right>
      </border>
    </ndxf>
  </rcc>
  <rcc rId="11147" sId="8" odxf="1" dxf="1">
    <nc r="G26">
      <f>IFERROR(E26/C26*100,0)</f>
    </nc>
    <odxf>
      <border outline="0">
        <left/>
        <right/>
      </border>
    </odxf>
    <ndxf>
      <border outline="0">
        <left style="thin">
          <color indexed="64"/>
        </left>
        <right style="thin">
          <color indexed="64"/>
        </right>
      </border>
    </ndxf>
  </rcc>
  <rfmt sheetId="8" sqref="H26" start="0" length="0">
    <dxf>
      <border outline="0">
        <left style="thin">
          <color indexed="64"/>
        </left>
        <right style="thin">
          <color indexed="64"/>
        </right>
      </border>
    </dxf>
  </rfmt>
  <rfmt sheetId="8" sqref="I26" start="0" length="0">
    <dxf>
      <border outline="0">
        <left style="thin">
          <color indexed="64"/>
        </left>
        <right style="thin">
          <color indexed="64"/>
        </right>
      </border>
    </dxf>
  </rfmt>
  <rfmt sheetId="8" sqref="J26" start="0" length="0">
    <dxf>
      <border outline="0">
        <left style="thin">
          <color indexed="64"/>
        </left>
        <right style="thin">
          <color indexed="64"/>
        </right>
      </border>
    </dxf>
  </rfmt>
  <rfmt sheetId="8" sqref="K26" start="0" length="0">
    <dxf>
      <border outline="0">
        <left style="thin">
          <color indexed="64"/>
        </left>
        <right style="thin">
          <color indexed="64"/>
        </right>
      </border>
    </dxf>
  </rfmt>
  <rfmt sheetId="8" sqref="L26" start="0" length="0">
    <dxf>
      <border outline="0">
        <left style="thin">
          <color indexed="64"/>
        </left>
        <right style="thin">
          <color indexed="64"/>
        </right>
      </border>
    </dxf>
  </rfmt>
  <rfmt sheetId="8" sqref="M26" start="0" length="0">
    <dxf>
      <border outline="0">
        <left style="thin">
          <color indexed="64"/>
        </left>
        <right style="thin">
          <color indexed="64"/>
        </right>
      </border>
    </dxf>
  </rfmt>
  <rfmt sheetId="8" sqref="N26" start="0" length="0">
    <dxf>
      <border outline="0">
        <left style="thin">
          <color indexed="64"/>
        </left>
        <right style="thin">
          <color indexed="64"/>
        </right>
      </border>
    </dxf>
  </rfmt>
  <rfmt sheetId="8" sqref="O26" start="0" length="0">
    <dxf>
      <border outline="0">
        <left style="thin">
          <color indexed="64"/>
        </left>
        <right style="thin">
          <color indexed="64"/>
        </right>
      </border>
    </dxf>
  </rfmt>
  <rfmt sheetId="8" sqref="P26" start="0" length="0">
    <dxf>
      <border outline="0">
        <left style="thin">
          <color indexed="64"/>
        </left>
        <right style="thin">
          <color indexed="64"/>
        </right>
      </border>
    </dxf>
  </rfmt>
  <rfmt sheetId="8" sqref="Q26" start="0" length="0">
    <dxf>
      <border outline="0">
        <left style="thin">
          <color indexed="64"/>
        </left>
        <right style="thin">
          <color indexed="64"/>
        </right>
      </border>
    </dxf>
  </rfmt>
  <rfmt sheetId="8" sqref="R26" start="0" length="0">
    <dxf>
      <border outline="0">
        <left style="thin">
          <color indexed="64"/>
        </left>
        <right style="thin">
          <color indexed="64"/>
        </right>
      </border>
    </dxf>
  </rfmt>
  <rfmt sheetId="8" sqref="S26" start="0" length="0">
    <dxf>
      <border outline="0">
        <left style="thin">
          <color indexed="64"/>
        </left>
        <right style="thin">
          <color indexed="64"/>
        </right>
      </border>
    </dxf>
  </rfmt>
  <rfmt sheetId="8" sqref="T26" start="0" length="0">
    <dxf>
      <border outline="0">
        <left style="thin">
          <color indexed="64"/>
        </left>
        <right style="thin">
          <color indexed="64"/>
        </right>
      </border>
    </dxf>
  </rfmt>
  <rfmt sheetId="8" sqref="U26" start="0" length="0">
    <dxf>
      <border outline="0">
        <left style="thin">
          <color indexed="64"/>
        </left>
        <right style="thin">
          <color indexed="64"/>
        </right>
      </border>
    </dxf>
  </rfmt>
  <rfmt sheetId="8" sqref="V26" start="0" length="0">
    <dxf>
      <border outline="0">
        <left style="thin">
          <color indexed="64"/>
        </left>
        <right style="thin">
          <color indexed="64"/>
        </right>
      </border>
    </dxf>
  </rfmt>
  <rfmt sheetId="8" sqref="W26" start="0" length="0">
    <dxf>
      <border outline="0">
        <left style="thin">
          <color indexed="64"/>
        </left>
        <right style="thin">
          <color indexed="64"/>
        </right>
      </border>
    </dxf>
  </rfmt>
  <rfmt sheetId="8" sqref="X26" start="0" length="0">
    <dxf>
      <border outline="0">
        <left style="thin">
          <color indexed="64"/>
        </left>
        <right style="thin">
          <color indexed="64"/>
        </right>
      </border>
    </dxf>
  </rfmt>
  <rfmt sheetId="8" sqref="Y26" start="0" length="0">
    <dxf>
      <border outline="0">
        <left style="thin">
          <color indexed="64"/>
        </left>
        <right style="thin">
          <color indexed="64"/>
        </right>
      </border>
    </dxf>
  </rfmt>
  <rfmt sheetId="8" sqref="Z26" start="0" length="0">
    <dxf>
      <border outline="0">
        <left style="thin">
          <color indexed="64"/>
        </left>
        <right style="thin">
          <color indexed="64"/>
        </right>
      </border>
    </dxf>
  </rfmt>
  <rfmt sheetId="8" sqref="AA26" start="0" length="0">
    <dxf>
      <border outline="0">
        <left style="thin">
          <color indexed="64"/>
        </left>
        <right style="thin">
          <color indexed="64"/>
        </right>
      </border>
    </dxf>
  </rfmt>
  <rfmt sheetId="8" sqref="AB26" start="0" length="0">
    <dxf>
      <border outline="0">
        <left style="thin">
          <color indexed="64"/>
        </left>
        <right style="thin">
          <color indexed="64"/>
        </right>
      </border>
    </dxf>
  </rfmt>
  <rfmt sheetId="8" sqref="AC26" start="0" length="0">
    <dxf>
      <border outline="0">
        <left style="thin">
          <color indexed="64"/>
        </left>
        <right style="thin">
          <color indexed="64"/>
        </right>
      </border>
    </dxf>
  </rfmt>
  <rfmt sheetId="8" sqref="AD26" start="0" length="0">
    <dxf>
      <border outline="0">
        <left style="thin">
          <color indexed="64"/>
        </left>
        <right style="thin">
          <color indexed="64"/>
        </right>
      </border>
    </dxf>
  </rfmt>
  <rfmt sheetId="8" sqref="AE26" start="0" length="0">
    <dxf>
      <border outline="0">
        <left style="thin">
          <color indexed="64"/>
        </left>
        <right style="thin">
          <color indexed="64"/>
        </right>
      </border>
    </dxf>
  </rfmt>
  <rfmt sheetId="8" sqref="AF26" start="0" length="0">
    <dxf>
      <border outline="0">
        <left style="thin">
          <color indexed="64"/>
        </left>
      </border>
    </dxf>
  </rfmt>
  <rcc rId="11148" sId="8">
    <nc r="AG26">
      <f>B26-H26-J26-L26-N26-P26-R26-T26-V26-X26-Z26-AB26-AD26</f>
    </nc>
  </rcc>
  <rcc rId="11149" sId="8" odxf="1" dxf="1">
    <nc r="A27" t="inlineStr">
      <is>
        <t>бюджет города Когалыма</t>
      </is>
    </nc>
    <odxf>
      <border outline="0">
        <right/>
      </border>
    </odxf>
    <ndxf>
      <border outline="0">
        <right style="thin">
          <color indexed="64"/>
        </right>
      </border>
    </ndxf>
  </rcc>
  <rcc rId="11150" sId="8" odxf="1" dxf="1">
    <nc r="B27">
      <f>J27+L27+N27+P27+R27+T27+V27+X27+Z27+AB27+AD27+H27</f>
    </nc>
    <odxf>
      <border outline="0">
        <left/>
        <right/>
      </border>
    </odxf>
    <ndxf>
      <border outline="0">
        <left style="thin">
          <color indexed="64"/>
        </left>
        <right style="thin">
          <color indexed="64"/>
        </right>
      </border>
    </ndxf>
  </rcc>
  <rcc rId="11151" sId="8" odxf="1" dxf="1">
    <nc r="C27">
      <f>SUM(H27)</f>
    </nc>
    <odxf>
      <border outline="0">
        <left/>
        <right/>
      </border>
    </odxf>
    <ndxf>
      <border outline="0">
        <left style="thin">
          <color indexed="64"/>
        </left>
        <right style="thin">
          <color indexed="64"/>
        </right>
      </border>
    </ndxf>
  </rcc>
  <rcc rId="11152" sId="8" odxf="1" dxf="1">
    <nc r="D27">
      <f>E27</f>
    </nc>
    <odxf>
      <border outline="0">
        <left/>
        <right/>
      </border>
    </odxf>
    <ndxf>
      <border outline="0">
        <left style="thin">
          <color indexed="64"/>
        </left>
        <right style="thin">
          <color indexed="64"/>
        </right>
      </border>
    </ndxf>
  </rcc>
  <rcc rId="11153" sId="8" odxf="1" dxf="1">
    <nc r="E27">
      <f>SUM(I27,K27,M27,O27,Q27,S27,U27,W27,Y27,AA27,AC27,AE27)</f>
    </nc>
    <odxf>
      <border outline="0">
        <left/>
        <right/>
      </border>
    </odxf>
    <ndxf>
      <border outline="0">
        <left style="thin">
          <color indexed="64"/>
        </left>
        <right style="thin">
          <color indexed="64"/>
        </right>
      </border>
    </ndxf>
  </rcc>
  <rcc rId="11154" sId="8" odxf="1" dxf="1">
    <nc r="F27">
      <f>IFERROR(E27/B27*100,0)</f>
    </nc>
    <odxf>
      <border outline="0">
        <left/>
        <right/>
      </border>
    </odxf>
    <ndxf>
      <border outline="0">
        <left style="thin">
          <color indexed="64"/>
        </left>
        <right style="thin">
          <color indexed="64"/>
        </right>
      </border>
    </ndxf>
  </rcc>
  <rcc rId="11155" sId="8" odxf="1" dxf="1">
    <nc r="G27">
      <f>IFERROR(E27/C27*100,0)</f>
    </nc>
    <odxf>
      <border outline="0">
        <left/>
        <right/>
      </border>
    </odxf>
    <ndxf>
      <border outline="0">
        <left style="thin">
          <color indexed="64"/>
        </left>
        <right style="thin">
          <color indexed="64"/>
        </right>
      </border>
    </ndxf>
  </rcc>
  <rfmt sheetId="8" sqref="H27" start="0" length="0">
    <dxf>
      <border outline="0">
        <left style="thin">
          <color indexed="64"/>
        </left>
        <right style="thin">
          <color indexed="64"/>
        </right>
      </border>
    </dxf>
  </rfmt>
  <rfmt sheetId="8" sqref="I27" start="0" length="0">
    <dxf>
      <border outline="0">
        <left style="thin">
          <color indexed="64"/>
        </left>
        <right style="thin">
          <color indexed="64"/>
        </right>
      </border>
    </dxf>
  </rfmt>
  <rfmt sheetId="8" sqref="J27" start="0" length="0">
    <dxf>
      <border outline="0">
        <left style="thin">
          <color indexed="64"/>
        </left>
        <right style="thin">
          <color indexed="64"/>
        </right>
      </border>
    </dxf>
  </rfmt>
  <rfmt sheetId="8" sqref="K27" start="0" length="0">
    <dxf>
      <border outline="0">
        <left style="thin">
          <color indexed="64"/>
        </left>
        <right style="thin">
          <color indexed="64"/>
        </right>
      </border>
    </dxf>
  </rfmt>
  <rfmt sheetId="8" sqref="L27" start="0" length="0">
    <dxf>
      <border outline="0">
        <left style="thin">
          <color indexed="64"/>
        </left>
        <right style="thin">
          <color indexed="64"/>
        </right>
      </border>
    </dxf>
  </rfmt>
  <rfmt sheetId="8" sqref="M27" start="0" length="0">
    <dxf>
      <border outline="0">
        <left style="thin">
          <color indexed="64"/>
        </left>
        <right style="thin">
          <color indexed="64"/>
        </right>
      </border>
    </dxf>
  </rfmt>
  <rfmt sheetId="8" sqref="N27" start="0" length="0">
    <dxf>
      <border outline="0">
        <left style="thin">
          <color indexed="64"/>
        </left>
        <right style="thin">
          <color indexed="64"/>
        </right>
      </border>
    </dxf>
  </rfmt>
  <rfmt sheetId="8" sqref="O27" start="0" length="0">
    <dxf>
      <border outline="0">
        <left style="thin">
          <color indexed="64"/>
        </left>
        <right style="thin">
          <color indexed="64"/>
        </right>
      </border>
    </dxf>
  </rfmt>
  <rfmt sheetId="8" sqref="P27" start="0" length="0">
    <dxf>
      <border outline="0">
        <left style="thin">
          <color indexed="64"/>
        </left>
        <right style="thin">
          <color indexed="64"/>
        </right>
      </border>
    </dxf>
  </rfmt>
  <rfmt sheetId="8" sqref="Q27" start="0" length="0">
    <dxf>
      <border outline="0">
        <left style="thin">
          <color indexed="64"/>
        </left>
        <right style="thin">
          <color indexed="64"/>
        </right>
      </border>
    </dxf>
  </rfmt>
  <rfmt sheetId="8" sqref="R27" start="0" length="0">
    <dxf>
      <border outline="0">
        <left style="thin">
          <color indexed="64"/>
        </left>
        <right style="thin">
          <color indexed="64"/>
        </right>
      </border>
    </dxf>
  </rfmt>
  <rfmt sheetId="8" sqref="S27" start="0" length="0">
    <dxf>
      <border outline="0">
        <left style="thin">
          <color indexed="64"/>
        </left>
        <right style="thin">
          <color indexed="64"/>
        </right>
      </border>
    </dxf>
  </rfmt>
  <rfmt sheetId="8" sqref="T27" start="0" length="0">
    <dxf>
      <border outline="0">
        <left style="thin">
          <color indexed="64"/>
        </left>
        <right style="thin">
          <color indexed="64"/>
        </right>
      </border>
    </dxf>
  </rfmt>
  <rfmt sheetId="8" sqref="U27" start="0" length="0">
    <dxf>
      <border outline="0">
        <left style="thin">
          <color indexed="64"/>
        </left>
        <right style="thin">
          <color indexed="64"/>
        </right>
      </border>
    </dxf>
  </rfmt>
  <rfmt sheetId="8" sqref="V27" start="0" length="0">
    <dxf>
      <border outline="0">
        <left style="thin">
          <color indexed="64"/>
        </left>
        <right style="thin">
          <color indexed="64"/>
        </right>
      </border>
    </dxf>
  </rfmt>
  <rfmt sheetId="8" sqref="W27" start="0" length="0">
    <dxf>
      <border outline="0">
        <left style="thin">
          <color indexed="64"/>
        </left>
        <right style="thin">
          <color indexed="64"/>
        </right>
      </border>
    </dxf>
  </rfmt>
  <rfmt sheetId="8" sqref="X27" start="0" length="0">
    <dxf>
      <border outline="0">
        <left style="thin">
          <color indexed="64"/>
        </left>
        <right style="thin">
          <color indexed="64"/>
        </right>
      </border>
    </dxf>
  </rfmt>
  <rfmt sheetId="8" sqref="Y27" start="0" length="0">
    <dxf>
      <border outline="0">
        <left style="thin">
          <color indexed="64"/>
        </left>
        <right style="thin">
          <color indexed="64"/>
        </right>
      </border>
    </dxf>
  </rfmt>
  <rfmt sheetId="8" sqref="Z27" start="0" length="0">
    <dxf>
      <border outline="0">
        <left style="thin">
          <color indexed="64"/>
        </left>
        <right style="thin">
          <color indexed="64"/>
        </right>
      </border>
    </dxf>
  </rfmt>
  <rfmt sheetId="8" sqref="AA27" start="0" length="0">
    <dxf>
      <border outline="0">
        <left style="thin">
          <color indexed="64"/>
        </left>
        <right style="thin">
          <color indexed="64"/>
        </right>
      </border>
    </dxf>
  </rfmt>
  <rfmt sheetId="8" sqref="AB27" start="0" length="0">
    <dxf>
      <border outline="0">
        <left style="thin">
          <color indexed="64"/>
        </left>
        <right style="thin">
          <color indexed="64"/>
        </right>
      </border>
    </dxf>
  </rfmt>
  <rfmt sheetId="8" sqref="AC27" start="0" length="0">
    <dxf>
      <border outline="0">
        <left style="thin">
          <color indexed="64"/>
        </left>
        <right style="thin">
          <color indexed="64"/>
        </right>
      </border>
    </dxf>
  </rfmt>
  <rfmt sheetId="8" sqref="AD27" start="0" length="0">
    <dxf>
      <border outline="0">
        <left style="thin">
          <color indexed="64"/>
        </left>
        <right style="thin">
          <color indexed="64"/>
        </right>
      </border>
    </dxf>
  </rfmt>
  <rfmt sheetId="8" sqref="AE27" start="0" length="0">
    <dxf>
      <border outline="0">
        <left style="thin">
          <color indexed="64"/>
        </left>
        <right style="thin">
          <color indexed="64"/>
        </right>
      </border>
    </dxf>
  </rfmt>
  <rfmt sheetId="8" sqref="AF27" start="0" length="0">
    <dxf>
      <border outline="0">
        <left style="thin">
          <color indexed="64"/>
        </left>
      </border>
    </dxf>
  </rfmt>
  <rcc rId="11156" sId="8">
    <nc r="AG27">
      <f>B27-H27-J27-L27-N27-P27-R27-T27-V27-X27-Z27-AB27-AD27</f>
    </nc>
  </rcc>
  <rcc rId="11157" sId="8" odxf="1" dxf="1">
    <nc r="A28" t="inlineStr">
      <is>
        <t>привлеченные средства</t>
      </is>
    </nc>
    <odxf>
      <border outline="0">
        <right/>
      </border>
    </odxf>
    <ndxf>
      <border outline="0">
        <right style="thin">
          <color indexed="64"/>
        </right>
      </border>
    </ndxf>
  </rcc>
  <rcc rId="11158" sId="8" odxf="1" dxf="1">
    <nc r="B28">
      <f>J28+L28+N28+P28+R28+T28+V28+X28+Z28+AB28+AD28+H28</f>
    </nc>
    <odxf>
      <border outline="0">
        <left/>
        <right/>
      </border>
    </odxf>
    <ndxf>
      <border outline="0">
        <left style="thin">
          <color indexed="64"/>
        </left>
        <right style="thin">
          <color indexed="64"/>
        </right>
      </border>
    </ndxf>
  </rcc>
  <rcc rId="11159" sId="8" odxf="1" dxf="1">
    <nc r="C28">
      <f>SUM(H28)</f>
    </nc>
    <odxf>
      <border outline="0">
        <left/>
        <right/>
      </border>
    </odxf>
    <ndxf>
      <border outline="0">
        <left style="thin">
          <color indexed="64"/>
        </left>
        <right style="thin">
          <color indexed="64"/>
        </right>
      </border>
    </ndxf>
  </rcc>
  <rcc rId="11160" sId="8" odxf="1" dxf="1">
    <nc r="D28">
      <f>E28</f>
    </nc>
    <odxf>
      <border outline="0">
        <left/>
        <right/>
      </border>
    </odxf>
    <ndxf>
      <border outline="0">
        <left style="thin">
          <color indexed="64"/>
        </left>
        <right style="thin">
          <color indexed="64"/>
        </right>
      </border>
    </ndxf>
  </rcc>
  <rcc rId="11161" sId="8" odxf="1" dxf="1">
    <nc r="E28">
      <f>SUM(I28,K28,M28,O28,Q28,S28,U28,W28,Y28,AA28,AC28,AE28)</f>
    </nc>
    <odxf>
      <border outline="0">
        <left/>
        <right/>
      </border>
    </odxf>
    <ndxf>
      <border outline="0">
        <left style="thin">
          <color indexed="64"/>
        </left>
        <right style="thin">
          <color indexed="64"/>
        </right>
      </border>
    </ndxf>
  </rcc>
  <rcc rId="11162" sId="8" odxf="1" dxf="1">
    <nc r="F28">
      <f>IFERROR(E28/B28*100,0)</f>
    </nc>
    <odxf>
      <border outline="0">
        <left/>
        <right/>
      </border>
    </odxf>
    <ndxf>
      <border outline="0">
        <left style="thin">
          <color indexed="64"/>
        </left>
        <right style="thin">
          <color indexed="64"/>
        </right>
      </border>
    </ndxf>
  </rcc>
  <rcc rId="11163" sId="8" odxf="1" dxf="1">
    <nc r="G28">
      <f>IFERROR(E28/C28*100,0)</f>
    </nc>
    <odxf>
      <border outline="0">
        <left/>
        <right/>
      </border>
    </odxf>
    <ndxf>
      <border outline="0">
        <left style="thin">
          <color indexed="64"/>
        </left>
        <right style="thin">
          <color indexed="64"/>
        </right>
      </border>
    </ndxf>
  </rcc>
  <rfmt sheetId="8" sqref="H28" start="0" length="0">
    <dxf>
      <border outline="0">
        <left style="thin">
          <color indexed="64"/>
        </left>
        <right style="thin">
          <color indexed="64"/>
        </right>
      </border>
    </dxf>
  </rfmt>
  <rfmt sheetId="8" sqref="I28" start="0" length="0">
    <dxf>
      <border outline="0">
        <left style="thin">
          <color indexed="64"/>
        </left>
        <right style="thin">
          <color indexed="64"/>
        </right>
      </border>
    </dxf>
  </rfmt>
  <rfmt sheetId="8" sqref="J28" start="0" length="0">
    <dxf>
      <border outline="0">
        <left style="thin">
          <color indexed="64"/>
        </left>
        <right style="thin">
          <color indexed="64"/>
        </right>
      </border>
    </dxf>
  </rfmt>
  <rfmt sheetId="8" sqref="K28" start="0" length="0">
    <dxf>
      <border outline="0">
        <left style="thin">
          <color indexed="64"/>
        </left>
        <right style="thin">
          <color indexed="64"/>
        </right>
      </border>
    </dxf>
  </rfmt>
  <rfmt sheetId="8" sqref="L28" start="0" length="0">
    <dxf>
      <border outline="0">
        <left style="thin">
          <color indexed="64"/>
        </left>
        <right style="thin">
          <color indexed="64"/>
        </right>
      </border>
    </dxf>
  </rfmt>
  <rfmt sheetId="8" sqref="M28" start="0" length="0">
    <dxf>
      <border outline="0">
        <left style="thin">
          <color indexed="64"/>
        </left>
        <right style="thin">
          <color indexed="64"/>
        </right>
      </border>
    </dxf>
  </rfmt>
  <rfmt sheetId="8" sqref="N28" start="0" length="0">
    <dxf>
      <border outline="0">
        <left style="thin">
          <color indexed="64"/>
        </left>
        <right style="thin">
          <color indexed="64"/>
        </right>
      </border>
    </dxf>
  </rfmt>
  <rfmt sheetId="8" sqref="O28" start="0" length="0">
    <dxf>
      <border outline="0">
        <left style="thin">
          <color indexed="64"/>
        </left>
        <right style="thin">
          <color indexed="64"/>
        </right>
      </border>
    </dxf>
  </rfmt>
  <rfmt sheetId="8" sqref="P28" start="0" length="0">
    <dxf>
      <border outline="0">
        <left style="thin">
          <color indexed="64"/>
        </left>
        <right style="thin">
          <color indexed="64"/>
        </right>
      </border>
    </dxf>
  </rfmt>
  <rfmt sheetId="8" sqref="Q28" start="0" length="0">
    <dxf>
      <border outline="0">
        <left style="thin">
          <color indexed="64"/>
        </left>
        <right style="thin">
          <color indexed="64"/>
        </right>
      </border>
    </dxf>
  </rfmt>
  <rfmt sheetId="8" sqref="R28" start="0" length="0">
    <dxf>
      <border outline="0">
        <left style="thin">
          <color indexed="64"/>
        </left>
        <right style="thin">
          <color indexed="64"/>
        </right>
      </border>
    </dxf>
  </rfmt>
  <rfmt sheetId="8" sqref="S28" start="0" length="0">
    <dxf>
      <border outline="0">
        <left style="thin">
          <color indexed="64"/>
        </left>
        <right style="thin">
          <color indexed="64"/>
        </right>
      </border>
    </dxf>
  </rfmt>
  <rfmt sheetId="8" sqref="T28" start="0" length="0">
    <dxf>
      <border outline="0">
        <left style="thin">
          <color indexed="64"/>
        </left>
        <right style="thin">
          <color indexed="64"/>
        </right>
      </border>
    </dxf>
  </rfmt>
  <rfmt sheetId="8" sqref="U28" start="0" length="0">
    <dxf>
      <border outline="0">
        <left style="thin">
          <color indexed="64"/>
        </left>
        <right style="thin">
          <color indexed="64"/>
        </right>
      </border>
    </dxf>
  </rfmt>
  <rfmt sheetId="8" sqref="V28" start="0" length="0">
    <dxf>
      <border outline="0">
        <left style="thin">
          <color indexed="64"/>
        </left>
        <right style="thin">
          <color indexed="64"/>
        </right>
      </border>
    </dxf>
  </rfmt>
  <rfmt sheetId="8" sqref="W28" start="0" length="0">
    <dxf>
      <border outline="0">
        <left style="thin">
          <color indexed="64"/>
        </left>
        <right style="thin">
          <color indexed="64"/>
        </right>
      </border>
    </dxf>
  </rfmt>
  <rfmt sheetId="8" sqref="X28" start="0" length="0">
    <dxf>
      <border outline="0">
        <left style="thin">
          <color indexed="64"/>
        </left>
        <right style="thin">
          <color indexed="64"/>
        </right>
      </border>
    </dxf>
  </rfmt>
  <rfmt sheetId="8" sqref="Y28" start="0" length="0">
    <dxf>
      <border outline="0">
        <left style="thin">
          <color indexed="64"/>
        </left>
        <right style="thin">
          <color indexed="64"/>
        </right>
      </border>
    </dxf>
  </rfmt>
  <rfmt sheetId="8" sqref="Z28" start="0" length="0">
    <dxf>
      <border outline="0">
        <left style="thin">
          <color indexed="64"/>
        </left>
        <right style="thin">
          <color indexed="64"/>
        </right>
      </border>
    </dxf>
  </rfmt>
  <rfmt sheetId="8" sqref="AA28" start="0" length="0">
    <dxf>
      <border outline="0">
        <left style="thin">
          <color indexed="64"/>
        </left>
        <right style="thin">
          <color indexed="64"/>
        </right>
      </border>
    </dxf>
  </rfmt>
  <rfmt sheetId="8" sqref="AB28" start="0" length="0">
    <dxf>
      <border outline="0">
        <left style="thin">
          <color indexed="64"/>
        </left>
        <right style="thin">
          <color indexed="64"/>
        </right>
      </border>
    </dxf>
  </rfmt>
  <rfmt sheetId="8" sqref="AC28" start="0" length="0">
    <dxf>
      <border outline="0">
        <left style="thin">
          <color indexed="64"/>
        </left>
        <right style="thin">
          <color indexed="64"/>
        </right>
      </border>
    </dxf>
  </rfmt>
  <rfmt sheetId="8" sqref="AD28" start="0" length="0">
    <dxf>
      <border outline="0">
        <left style="thin">
          <color indexed="64"/>
        </left>
        <right style="thin">
          <color indexed="64"/>
        </right>
      </border>
    </dxf>
  </rfmt>
  <rfmt sheetId="8" sqref="AE28" start="0" length="0">
    <dxf>
      <border outline="0">
        <left style="thin">
          <color indexed="64"/>
        </left>
        <right style="thin">
          <color indexed="64"/>
        </right>
      </border>
    </dxf>
  </rfmt>
  <rfmt sheetId="8" sqref="AF28" start="0" length="0">
    <dxf>
      <border outline="0">
        <left style="thin">
          <color indexed="64"/>
        </left>
      </border>
    </dxf>
  </rfmt>
  <rcc rId="11164" sId="8">
    <nc r="AG28">
      <f>B28-H28-J28-L28-N28-P28-R28-T28-V28-X28-Z28-AB28-AD28</f>
    </nc>
  </rcc>
  <rrc rId="11165" sId="8" ref="A29:XFD29" action="insertRow"/>
  <rrc rId="11166" sId="8" ref="A29:XFD29" action="insertRow"/>
  <rrc rId="11167" sId="8" ref="A29:XFD29" action="insertRow"/>
  <rrc rId="11168" sId="8" ref="A29:XFD29" action="insertRow"/>
  <rfmt sheetId="8" sqref="A29" start="0" length="0">
    <dxf>
      <font>
        <b/>
        <sz val="14"/>
        <color auto="1"/>
        <name val="Times New Roman"/>
        <scheme val="none"/>
      </font>
      <numFmt numFmtId="0" formatCode="General"/>
      <border outline="0">
        <right style="thin">
          <color indexed="64"/>
        </right>
      </border>
    </dxf>
  </rfmt>
  <rfmt sheetId="8" sqref="B29" start="0" length="0">
    <dxf>
      <numFmt numFmtId="2" formatCode="0.00"/>
      <border outline="0">
        <left style="thin">
          <color indexed="64"/>
        </left>
        <right style="thin">
          <color indexed="64"/>
        </right>
      </border>
    </dxf>
  </rfmt>
  <rfmt sheetId="8" sqref="C29" start="0" length="0">
    <dxf>
      <font>
        <sz val="14"/>
        <color rgb="FFFF0000"/>
        <name val="Times New Roman"/>
        <scheme val="none"/>
      </font>
      <numFmt numFmtId="2" formatCode="0.00"/>
      <border outline="0">
        <left style="thin">
          <color indexed="64"/>
        </left>
        <right style="thin">
          <color indexed="64"/>
        </right>
      </border>
    </dxf>
  </rfmt>
  <rfmt sheetId="8" sqref="D29" start="0" length="0">
    <dxf>
      <font>
        <sz val="14"/>
        <color rgb="FFFF0000"/>
        <name val="Times New Roman"/>
        <scheme val="none"/>
      </font>
      <numFmt numFmtId="2" formatCode="0.00"/>
      <border outline="0">
        <left style="thin">
          <color indexed="64"/>
        </left>
        <right style="thin">
          <color indexed="64"/>
        </right>
      </border>
    </dxf>
  </rfmt>
  <rfmt sheetId="8" sqref="E29" start="0" length="0">
    <dxf>
      <font>
        <sz val="14"/>
        <color rgb="FFFF0000"/>
        <name val="Times New Roman"/>
        <scheme val="none"/>
      </font>
      <numFmt numFmtId="2" formatCode="0.00"/>
      <border outline="0">
        <left style="thin">
          <color indexed="64"/>
        </left>
        <right style="thin">
          <color indexed="64"/>
        </right>
      </border>
    </dxf>
  </rfmt>
  <rfmt sheetId="8" sqref="F29" start="0" length="0">
    <dxf>
      <font>
        <sz val="14"/>
        <color rgb="FFFF0000"/>
        <name val="Times New Roman"/>
        <scheme val="none"/>
      </font>
      <numFmt numFmtId="2" formatCode="0.00"/>
      <border outline="0">
        <left style="thin">
          <color indexed="64"/>
        </left>
        <right style="thin">
          <color indexed="64"/>
        </right>
      </border>
    </dxf>
  </rfmt>
  <rfmt sheetId="8" sqref="G29" start="0" length="0">
    <dxf>
      <font>
        <sz val="14"/>
        <color rgb="FFFF0000"/>
        <name val="Times New Roman"/>
        <scheme val="none"/>
      </font>
      <numFmt numFmtId="2" formatCode="0.00"/>
      <border outline="0">
        <left style="thin">
          <color indexed="64"/>
        </left>
        <right style="thin">
          <color indexed="64"/>
        </right>
      </border>
    </dxf>
  </rfmt>
  <rfmt sheetId="8" sqref="H29" start="0" length="0">
    <dxf>
      <font>
        <sz val="14"/>
        <color rgb="FFFF0000"/>
        <name val="Times New Roman"/>
        <scheme val="none"/>
      </font>
      <numFmt numFmtId="2" formatCode="0.00"/>
      <border outline="0">
        <left style="thin">
          <color indexed="64"/>
        </left>
        <right style="thin">
          <color indexed="64"/>
        </right>
      </border>
    </dxf>
  </rfmt>
  <rfmt sheetId="8" sqref="I29" start="0" length="0">
    <dxf>
      <font>
        <sz val="14"/>
        <color rgb="FFFF0000"/>
        <name val="Times New Roman"/>
        <scheme val="none"/>
      </font>
      <numFmt numFmtId="2" formatCode="0.00"/>
      <border outline="0">
        <left style="thin">
          <color indexed="64"/>
        </left>
        <right style="thin">
          <color indexed="64"/>
        </right>
      </border>
    </dxf>
  </rfmt>
  <rfmt sheetId="8" sqref="J29" start="0" length="0">
    <dxf>
      <font>
        <sz val="14"/>
        <color rgb="FFFF0000"/>
        <name val="Times New Roman"/>
        <scheme val="none"/>
      </font>
      <numFmt numFmtId="2" formatCode="0.00"/>
      <border outline="0">
        <left style="thin">
          <color indexed="64"/>
        </left>
        <right style="thin">
          <color indexed="64"/>
        </right>
      </border>
    </dxf>
  </rfmt>
  <rfmt sheetId="8" sqref="K29" start="0" length="0">
    <dxf>
      <font>
        <sz val="14"/>
        <color rgb="FFFF0000"/>
        <name val="Times New Roman"/>
        <scheme val="none"/>
      </font>
      <numFmt numFmtId="2" formatCode="0.00"/>
      <border outline="0">
        <left style="thin">
          <color indexed="64"/>
        </left>
        <right style="thin">
          <color indexed="64"/>
        </right>
      </border>
    </dxf>
  </rfmt>
  <rfmt sheetId="8" sqref="L29" start="0" length="0">
    <dxf>
      <font>
        <sz val="14"/>
        <color rgb="FFFF0000"/>
        <name val="Times New Roman"/>
        <scheme val="none"/>
      </font>
      <numFmt numFmtId="2" formatCode="0.00"/>
      <border outline="0">
        <left style="thin">
          <color indexed="64"/>
        </left>
        <right style="thin">
          <color indexed="64"/>
        </right>
      </border>
    </dxf>
  </rfmt>
  <rfmt sheetId="8" sqref="M29" start="0" length="0">
    <dxf>
      <font>
        <sz val="14"/>
        <color rgb="FFFF0000"/>
        <name val="Times New Roman"/>
        <scheme val="none"/>
      </font>
      <numFmt numFmtId="2" formatCode="0.00"/>
      <border outline="0">
        <left style="thin">
          <color indexed="64"/>
        </left>
        <right style="thin">
          <color indexed="64"/>
        </right>
      </border>
    </dxf>
  </rfmt>
  <rfmt sheetId="8" sqref="N29" start="0" length="0">
    <dxf>
      <font>
        <sz val="14"/>
        <color rgb="FFFF0000"/>
        <name val="Times New Roman"/>
        <scheme val="none"/>
      </font>
      <numFmt numFmtId="2" formatCode="0.00"/>
      <border outline="0">
        <left style="thin">
          <color indexed="64"/>
        </left>
        <right style="thin">
          <color indexed="64"/>
        </right>
      </border>
    </dxf>
  </rfmt>
  <rfmt sheetId="8" sqref="O29" start="0" length="0">
    <dxf>
      <font>
        <sz val="14"/>
        <color rgb="FFFF0000"/>
        <name val="Times New Roman"/>
        <scheme val="none"/>
      </font>
      <numFmt numFmtId="2" formatCode="0.00"/>
      <border outline="0">
        <left style="thin">
          <color indexed="64"/>
        </left>
        <right style="thin">
          <color indexed="64"/>
        </right>
      </border>
    </dxf>
  </rfmt>
  <rfmt sheetId="8" sqref="P29" start="0" length="0">
    <dxf>
      <font>
        <sz val="14"/>
        <color rgb="FFFF0000"/>
        <name val="Times New Roman"/>
        <scheme val="none"/>
      </font>
      <numFmt numFmtId="2" formatCode="0.00"/>
      <border outline="0">
        <left style="thin">
          <color indexed="64"/>
        </left>
        <right style="thin">
          <color indexed="64"/>
        </right>
      </border>
    </dxf>
  </rfmt>
  <rfmt sheetId="8" sqref="Q29" start="0" length="0">
    <dxf>
      <font>
        <sz val="14"/>
        <color rgb="FFFF0000"/>
        <name val="Times New Roman"/>
        <scheme val="none"/>
      </font>
      <numFmt numFmtId="2" formatCode="0.00"/>
      <border outline="0">
        <left style="thin">
          <color indexed="64"/>
        </left>
        <right style="thin">
          <color indexed="64"/>
        </right>
      </border>
    </dxf>
  </rfmt>
  <rfmt sheetId="8" sqref="R29" start="0" length="0">
    <dxf>
      <font>
        <sz val="14"/>
        <color rgb="FFFF0000"/>
        <name val="Times New Roman"/>
        <scheme val="none"/>
      </font>
      <numFmt numFmtId="2" formatCode="0.00"/>
      <border outline="0">
        <left style="thin">
          <color indexed="64"/>
        </left>
        <right style="thin">
          <color indexed="64"/>
        </right>
      </border>
    </dxf>
  </rfmt>
  <rfmt sheetId="8" sqref="S29" start="0" length="0">
    <dxf>
      <font>
        <sz val="14"/>
        <color rgb="FFFF0000"/>
        <name val="Times New Roman"/>
        <scheme val="none"/>
      </font>
      <numFmt numFmtId="2" formatCode="0.00"/>
      <border outline="0">
        <left style="thin">
          <color indexed="64"/>
        </left>
        <right style="thin">
          <color indexed="64"/>
        </right>
      </border>
    </dxf>
  </rfmt>
  <rfmt sheetId="8" sqref="T29" start="0" length="0">
    <dxf>
      <font>
        <sz val="14"/>
        <color rgb="FFFF0000"/>
        <name val="Times New Roman"/>
        <scheme val="none"/>
      </font>
      <numFmt numFmtId="2" formatCode="0.00"/>
      <border outline="0">
        <left style="thin">
          <color indexed="64"/>
        </left>
        <right style="thin">
          <color indexed="64"/>
        </right>
      </border>
    </dxf>
  </rfmt>
  <rfmt sheetId="8" sqref="U29" start="0" length="0">
    <dxf>
      <font>
        <sz val="14"/>
        <color rgb="FFFF0000"/>
        <name val="Times New Roman"/>
        <scheme val="none"/>
      </font>
      <numFmt numFmtId="2" formatCode="0.00"/>
      <border outline="0">
        <left style="thin">
          <color indexed="64"/>
        </left>
        <right style="thin">
          <color indexed="64"/>
        </right>
      </border>
    </dxf>
  </rfmt>
  <rfmt sheetId="8" sqref="V29" start="0" length="0">
    <dxf>
      <font>
        <sz val="14"/>
        <color rgb="FFFF0000"/>
        <name val="Times New Roman"/>
        <scheme val="none"/>
      </font>
      <numFmt numFmtId="2" formatCode="0.00"/>
      <border outline="0">
        <left style="thin">
          <color indexed="64"/>
        </left>
        <right style="thin">
          <color indexed="64"/>
        </right>
      </border>
    </dxf>
  </rfmt>
  <rfmt sheetId="8" sqref="W29" start="0" length="0">
    <dxf>
      <font>
        <sz val="14"/>
        <color rgb="FFFF0000"/>
        <name val="Times New Roman"/>
        <scheme val="none"/>
      </font>
      <numFmt numFmtId="2" formatCode="0.00"/>
      <border outline="0">
        <left style="thin">
          <color indexed="64"/>
        </left>
        <right style="thin">
          <color indexed="64"/>
        </right>
      </border>
    </dxf>
  </rfmt>
  <rfmt sheetId="8" sqref="X29" start="0" length="0">
    <dxf>
      <font>
        <sz val="14"/>
        <color rgb="FFFF0000"/>
        <name val="Times New Roman"/>
        <scheme val="none"/>
      </font>
      <numFmt numFmtId="2" formatCode="0.00"/>
      <border outline="0">
        <left style="thin">
          <color indexed="64"/>
        </left>
        <right style="thin">
          <color indexed="64"/>
        </right>
      </border>
    </dxf>
  </rfmt>
  <rfmt sheetId="8" sqref="Y29" start="0" length="0">
    <dxf>
      <font>
        <sz val="14"/>
        <color rgb="FFFF0000"/>
        <name val="Times New Roman"/>
        <scheme val="none"/>
      </font>
      <numFmt numFmtId="2" formatCode="0.00"/>
      <border outline="0">
        <left style="thin">
          <color indexed="64"/>
        </left>
        <right style="thin">
          <color indexed="64"/>
        </right>
      </border>
    </dxf>
  </rfmt>
  <rfmt sheetId="8" sqref="Z29" start="0" length="0">
    <dxf>
      <font>
        <sz val="14"/>
        <color rgb="FFFF0000"/>
        <name val="Times New Roman"/>
        <scheme val="none"/>
      </font>
      <numFmt numFmtId="2" formatCode="0.00"/>
      <border outline="0">
        <left style="thin">
          <color indexed="64"/>
        </left>
        <right style="thin">
          <color indexed="64"/>
        </right>
      </border>
    </dxf>
  </rfmt>
  <rfmt sheetId="8" sqref="AA29" start="0" length="0">
    <dxf>
      <font>
        <sz val="14"/>
        <color rgb="FFFF0000"/>
        <name val="Times New Roman"/>
        <scheme val="none"/>
      </font>
      <numFmt numFmtId="2" formatCode="0.00"/>
      <border outline="0">
        <left style="thin">
          <color indexed="64"/>
        </left>
        <right style="thin">
          <color indexed="64"/>
        </right>
      </border>
    </dxf>
  </rfmt>
  <rfmt sheetId="8" sqref="AB29" start="0" length="0">
    <dxf>
      <font>
        <sz val="14"/>
        <color rgb="FFFF0000"/>
        <name val="Times New Roman"/>
        <scheme val="none"/>
      </font>
      <numFmt numFmtId="2" formatCode="0.00"/>
      <border outline="0">
        <left style="thin">
          <color indexed="64"/>
        </left>
        <right style="thin">
          <color indexed="64"/>
        </right>
      </border>
    </dxf>
  </rfmt>
  <rfmt sheetId="8" sqref="AC29" start="0" length="0">
    <dxf>
      <font>
        <sz val="14"/>
        <color rgb="FFFF0000"/>
        <name val="Times New Roman"/>
        <scheme val="none"/>
      </font>
      <numFmt numFmtId="2" formatCode="0.00"/>
      <border outline="0">
        <left style="thin">
          <color indexed="64"/>
        </left>
        <right style="thin">
          <color indexed="64"/>
        </right>
      </border>
    </dxf>
  </rfmt>
  <rfmt sheetId="8" sqref="AD29" start="0" length="0">
    <dxf>
      <font>
        <sz val="14"/>
        <color rgb="FFFF0000"/>
        <name val="Times New Roman"/>
        <scheme val="none"/>
      </font>
      <numFmt numFmtId="2" formatCode="0.00"/>
      <border outline="0">
        <left style="thin">
          <color indexed="64"/>
        </left>
        <right style="thin">
          <color indexed="64"/>
        </right>
      </border>
    </dxf>
  </rfmt>
  <rfmt sheetId="8" sqref="AE29" start="0" length="0">
    <dxf>
      <font>
        <sz val="14"/>
        <color rgb="FFFF0000"/>
        <name val="Times New Roman"/>
        <scheme val="none"/>
      </font>
      <numFmt numFmtId="2" formatCode="0.00"/>
      <border outline="0">
        <left style="thin">
          <color indexed="64"/>
        </left>
        <right style="thin">
          <color indexed="64"/>
        </right>
      </border>
    </dxf>
  </rfmt>
  <rfmt sheetId="8" sqref="AF29" start="0" length="0">
    <dxf>
      <border outline="0">
        <left style="thin">
          <color indexed="64"/>
        </left>
      </border>
    </dxf>
  </rfmt>
  <rcc rId="11169" sId="8">
    <nc r="AG29">
      <f>B29-H29-J29-L29-N29-P29-R29-T29-V29-X29-Z29-AB29-AD29</f>
    </nc>
  </rcc>
  <rcc rId="11170" sId="8" odxf="1" dxf="1">
    <nc r="A30" t="inlineStr">
      <is>
        <t>Всего</t>
      </is>
    </nc>
    <odxf>
      <font>
        <b val="0"/>
        <sz val="14"/>
        <color auto="1"/>
        <name val="Times New Roman"/>
        <scheme val="none"/>
      </font>
      <border outline="0">
        <right/>
      </border>
    </odxf>
    <ndxf>
      <font>
        <b/>
        <sz val="14"/>
        <color auto="1"/>
        <name val="Times New Roman"/>
        <scheme val="none"/>
      </font>
      <border outline="0">
        <right style="thin">
          <color indexed="64"/>
        </right>
      </border>
    </ndxf>
  </rcc>
  <rcc rId="11171" sId="8" odxf="1" dxf="1">
    <nc r="B30">
      <f>B31+B32+B33+B34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72" sId="8" odxf="1" dxf="1">
    <nc r="C30">
      <f>C31+C32+C33+C34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73" sId="8" odxf="1" dxf="1">
    <nc r="D30">
      <f>D31+D32+D33+D34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74" sId="8" odxf="1" dxf="1">
    <nc r="E30">
      <f>E31+E32+E33+E34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75" sId="8" odxf="1" dxf="1">
    <nc r="F30">
      <f>IFERROR(E30/B30*100,0)</f>
    </nc>
    <odxf>
      <font>
        <b val="0"/>
        <sz val="14"/>
        <color auto="1"/>
        <name val="Times New Roman"/>
        <scheme val="none"/>
      </font>
      <alignment horizontal="right" vertical="top" readingOrder="0"/>
      <border outline="0">
        <left/>
        <right/>
      </border>
    </odxf>
    <ndxf>
      <font>
        <b/>
        <sz val="14"/>
        <color auto="1"/>
        <name val="Times New Roman"/>
        <scheme val="none"/>
      </font>
      <alignment horizontal="general" vertical="center" readingOrder="0"/>
      <border outline="0">
        <left style="thin">
          <color indexed="64"/>
        </left>
        <right style="thin">
          <color indexed="64"/>
        </right>
      </border>
    </ndxf>
  </rcc>
  <rcc rId="11176" sId="8" odxf="1" dxf="1">
    <nc r="G30">
      <f>IFERROR(E30/C30*100,0)</f>
    </nc>
    <odxf>
      <font>
        <b val="0"/>
        <sz val="14"/>
        <color auto="1"/>
        <name val="Times New Roman"/>
        <scheme val="none"/>
      </font>
      <alignment horizontal="right" vertical="top" readingOrder="0"/>
      <border outline="0">
        <left/>
        <right/>
      </border>
    </odxf>
    <ndxf>
      <font>
        <b/>
        <sz val="14"/>
        <color auto="1"/>
        <name val="Times New Roman"/>
        <scheme val="none"/>
      </font>
      <alignment horizontal="general" vertical="center" readingOrder="0"/>
      <border outline="0">
        <left style="thin">
          <color indexed="64"/>
        </left>
        <right style="thin">
          <color indexed="64"/>
        </right>
      </border>
    </ndxf>
  </rcc>
  <rcc rId="11177" sId="8" odxf="1" dxf="1">
    <nc r="H30">
      <f>H31+H32+H33+H34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78" sId="8" odxf="1" dxf="1">
    <nc r="I30">
      <f>I31+I32+I33+I34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79" sId="8" odxf="1" dxf="1">
    <nc r="J30">
      <f>J31+J32+J33+J34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0" sId="8" odxf="1" dxf="1">
    <nc r="K30">
      <f>K31+K32+K33+K34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1" sId="8" odxf="1" dxf="1">
    <nc r="L30">
      <f>L31+L32+L33+L34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2" sId="8" odxf="1" dxf="1">
    <nc r="M30">
      <f>M31+M32+M33+M34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3" sId="8" odxf="1" dxf="1">
    <nc r="N30">
      <f>N31+N32+N33+N34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4" sId="8" odxf="1" dxf="1">
    <nc r="O30">
      <f>O31+O32+O33+O34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5" sId="8" odxf="1" dxf="1">
    <nc r="P30">
      <f>P31+P32+P33+P34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6" sId="8" odxf="1" dxf="1">
    <nc r="Q30">
      <f>Q31+Q32+Q33+Q34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7" sId="8" odxf="1" dxf="1">
    <nc r="R30">
      <f>R31+R32+R33+R34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8" sId="8" odxf="1" dxf="1">
    <nc r="S30">
      <f>S31+S32+S33+S34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89" sId="8" odxf="1" dxf="1">
    <nc r="T30">
      <f>T31+T32+T33+T34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0" sId="8" odxf="1" dxf="1">
    <nc r="U30">
      <f>U31+U32+U33+U34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1" sId="8" odxf="1" dxf="1">
    <nc r="V30">
      <f>V31+V32+V33+V34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2" sId="8" odxf="1" dxf="1">
    <nc r="W30">
      <f>W31+W32+W33+W34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3" sId="8" odxf="1" dxf="1">
    <nc r="X30">
      <f>X31+X32+X33+X34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4" sId="8" odxf="1" dxf="1">
    <nc r="Y30">
      <f>Y31+Y32+Y33+Y34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5" sId="8" odxf="1" dxf="1">
    <nc r="Z30">
      <f>Z31+Z32+Z33+Z34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6" sId="8" odxf="1" dxf="1">
    <nc r="AA30">
      <f>AA31+AA32+AA33+AA34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7" sId="8" odxf="1" dxf="1">
    <nc r="AB30">
      <f>AB31+AB32+AB33+AB34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8" sId="8" odxf="1" dxf="1">
    <nc r="AC30">
      <f>AC31+AC32+AC33+AC34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199" sId="8" odxf="1" dxf="1">
    <nc r="AD30">
      <f>AD31+AD32+AD33+AD34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11200" sId="8" odxf="1" dxf="1">
    <nc r="AE30">
      <f>AE31+AE32+AE33+AE34</f>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fmt sheetId="8" sqref="AF30" start="0" length="0">
    <dxf>
      <border outline="0">
        <left style="thin">
          <color indexed="64"/>
        </left>
      </border>
    </dxf>
  </rfmt>
  <rcc rId="11201" sId="8">
    <nc r="AG30">
      <f>B30-H30-J30-L30-N30-P30-R30-T30-V30-X30-Z30-AB30-AD30</f>
    </nc>
  </rcc>
  <rcc rId="11202" sId="8" odxf="1" dxf="1">
    <nc r="A31" t="inlineStr">
      <is>
        <t>федеральный бюджет</t>
      </is>
    </nc>
    <odxf>
      <border outline="0">
        <right/>
      </border>
    </odxf>
    <ndxf>
      <border outline="0">
        <right style="thin">
          <color indexed="64"/>
        </right>
      </border>
    </ndxf>
  </rcc>
  <rcc rId="11203" sId="8" odxf="1" dxf="1">
    <nc r="B31">
      <f>J31+L31+N31+P31+R31+T31+V31+X31+Z31+AB31+AD31+H31</f>
    </nc>
    <odxf>
      <border outline="0">
        <left/>
        <right/>
      </border>
    </odxf>
    <ndxf>
      <border outline="0">
        <left style="thin">
          <color indexed="64"/>
        </left>
        <right style="thin">
          <color indexed="64"/>
        </right>
      </border>
    </ndxf>
  </rcc>
  <rcc rId="11204" sId="8" odxf="1" dxf="1">
    <nc r="C31">
      <f>SUM(H31)</f>
    </nc>
    <odxf>
      <border outline="0">
        <left/>
        <right/>
      </border>
    </odxf>
    <ndxf>
      <border outline="0">
        <left style="thin">
          <color indexed="64"/>
        </left>
        <right style="thin">
          <color indexed="64"/>
        </right>
      </border>
    </ndxf>
  </rcc>
  <rcc rId="11205" sId="8" odxf="1" dxf="1">
    <nc r="D31">
      <f>E31</f>
    </nc>
    <odxf>
      <border outline="0">
        <left/>
        <right/>
      </border>
    </odxf>
    <ndxf>
      <border outline="0">
        <left style="thin">
          <color indexed="64"/>
        </left>
        <right style="thin">
          <color indexed="64"/>
        </right>
      </border>
    </ndxf>
  </rcc>
  <rcc rId="11206" sId="8" odxf="1" dxf="1">
    <nc r="E31">
      <f>SUM(I31,K31,M31,O31,Q31,S31,U31,W31,Y31,AA31,AC31,AE31)</f>
    </nc>
    <odxf>
      <border outline="0">
        <left/>
        <right/>
      </border>
    </odxf>
    <ndxf>
      <border outline="0">
        <left style="thin">
          <color indexed="64"/>
        </left>
        <right style="thin">
          <color indexed="64"/>
        </right>
      </border>
    </ndxf>
  </rcc>
  <rcc rId="11207" sId="8" odxf="1" dxf="1">
    <nc r="F31">
      <f>IFERROR(E31/B31*100,0)</f>
    </nc>
    <odxf>
      <border outline="0">
        <left/>
        <right/>
      </border>
    </odxf>
    <ndxf>
      <border outline="0">
        <left style="thin">
          <color indexed="64"/>
        </left>
        <right style="thin">
          <color indexed="64"/>
        </right>
      </border>
    </ndxf>
  </rcc>
  <rcc rId="11208" sId="8" odxf="1" dxf="1">
    <nc r="G31">
      <f>IFERROR(E31/C31*100,0)</f>
    </nc>
    <odxf>
      <border outline="0">
        <left/>
        <right/>
      </border>
    </odxf>
    <ndxf>
      <border outline="0">
        <left style="thin">
          <color indexed="64"/>
        </left>
        <right style="thin">
          <color indexed="64"/>
        </right>
      </border>
    </ndxf>
  </rcc>
  <rfmt sheetId="8" sqref="H31" start="0" length="0">
    <dxf>
      <border outline="0">
        <left style="thin">
          <color indexed="64"/>
        </left>
        <right style="thin">
          <color indexed="64"/>
        </right>
      </border>
    </dxf>
  </rfmt>
  <rfmt sheetId="8" sqref="I31" start="0" length="0">
    <dxf>
      <border outline="0">
        <left style="thin">
          <color indexed="64"/>
        </left>
        <right style="thin">
          <color indexed="64"/>
        </right>
      </border>
    </dxf>
  </rfmt>
  <rfmt sheetId="8" sqref="J31" start="0" length="0">
    <dxf>
      <border outline="0">
        <left style="thin">
          <color indexed="64"/>
        </left>
        <right style="thin">
          <color indexed="64"/>
        </right>
      </border>
    </dxf>
  </rfmt>
  <rfmt sheetId="8" sqref="K31" start="0" length="0">
    <dxf>
      <border outline="0">
        <left style="thin">
          <color indexed="64"/>
        </left>
        <right style="thin">
          <color indexed="64"/>
        </right>
      </border>
    </dxf>
  </rfmt>
  <rfmt sheetId="8" sqref="L31" start="0" length="0">
    <dxf>
      <border outline="0">
        <left style="thin">
          <color indexed="64"/>
        </left>
        <right style="thin">
          <color indexed="64"/>
        </right>
      </border>
    </dxf>
  </rfmt>
  <rfmt sheetId="8" sqref="M31" start="0" length="0">
    <dxf>
      <border outline="0">
        <left style="thin">
          <color indexed="64"/>
        </left>
        <right style="thin">
          <color indexed="64"/>
        </right>
      </border>
    </dxf>
  </rfmt>
  <rfmt sheetId="8" sqref="N31" start="0" length="0">
    <dxf>
      <border outline="0">
        <left style="thin">
          <color indexed="64"/>
        </left>
        <right style="thin">
          <color indexed="64"/>
        </right>
      </border>
    </dxf>
  </rfmt>
  <rfmt sheetId="8" sqref="O31" start="0" length="0">
    <dxf>
      <border outline="0">
        <left style="thin">
          <color indexed="64"/>
        </left>
        <right style="thin">
          <color indexed="64"/>
        </right>
      </border>
    </dxf>
  </rfmt>
  <rfmt sheetId="8" sqref="P31" start="0" length="0">
    <dxf>
      <border outline="0">
        <left style="thin">
          <color indexed="64"/>
        </left>
        <right style="thin">
          <color indexed="64"/>
        </right>
      </border>
    </dxf>
  </rfmt>
  <rfmt sheetId="8" sqref="Q31" start="0" length="0">
    <dxf>
      <border outline="0">
        <left style="thin">
          <color indexed="64"/>
        </left>
        <right style="thin">
          <color indexed="64"/>
        </right>
      </border>
    </dxf>
  </rfmt>
  <rfmt sheetId="8" sqref="R31" start="0" length="0">
    <dxf>
      <border outline="0">
        <left style="thin">
          <color indexed="64"/>
        </left>
        <right style="thin">
          <color indexed="64"/>
        </right>
      </border>
    </dxf>
  </rfmt>
  <rfmt sheetId="8" sqref="S31" start="0" length="0">
    <dxf>
      <border outline="0">
        <left style="thin">
          <color indexed="64"/>
        </left>
        <right style="thin">
          <color indexed="64"/>
        </right>
      </border>
    </dxf>
  </rfmt>
  <rfmt sheetId="8" sqref="T31" start="0" length="0">
    <dxf>
      <border outline="0">
        <left style="thin">
          <color indexed="64"/>
        </left>
        <right style="thin">
          <color indexed="64"/>
        </right>
      </border>
    </dxf>
  </rfmt>
  <rfmt sheetId="8" sqref="U31" start="0" length="0">
    <dxf>
      <border outline="0">
        <left style="thin">
          <color indexed="64"/>
        </left>
        <right style="thin">
          <color indexed="64"/>
        </right>
      </border>
    </dxf>
  </rfmt>
  <rfmt sheetId="8" sqref="V31" start="0" length="0">
    <dxf>
      <border outline="0">
        <left style="thin">
          <color indexed="64"/>
        </left>
        <right style="thin">
          <color indexed="64"/>
        </right>
      </border>
    </dxf>
  </rfmt>
  <rfmt sheetId="8" sqref="W31" start="0" length="0">
    <dxf>
      <border outline="0">
        <left style="thin">
          <color indexed="64"/>
        </left>
        <right style="thin">
          <color indexed="64"/>
        </right>
      </border>
    </dxf>
  </rfmt>
  <rfmt sheetId="8" sqref="X31" start="0" length="0">
    <dxf>
      <border outline="0">
        <left style="thin">
          <color indexed="64"/>
        </left>
        <right style="thin">
          <color indexed="64"/>
        </right>
      </border>
    </dxf>
  </rfmt>
  <rfmt sheetId="8" sqref="Y31" start="0" length="0">
    <dxf>
      <border outline="0">
        <left style="thin">
          <color indexed="64"/>
        </left>
        <right style="thin">
          <color indexed="64"/>
        </right>
      </border>
    </dxf>
  </rfmt>
  <rfmt sheetId="8" sqref="Z31" start="0" length="0">
    <dxf>
      <border outline="0">
        <left style="thin">
          <color indexed="64"/>
        </left>
        <right style="thin">
          <color indexed="64"/>
        </right>
      </border>
    </dxf>
  </rfmt>
  <rfmt sheetId="8" sqref="AA31" start="0" length="0">
    <dxf>
      <border outline="0">
        <left style="thin">
          <color indexed="64"/>
        </left>
        <right style="thin">
          <color indexed="64"/>
        </right>
      </border>
    </dxf>
  </rfmt>
  <rfmt sheetId="8" sqref="AB31" start="0" length="0">
    <dxf>
      <border outline="0">
        <left style="thin">
          <color indexed="64"/>
        </left>
        <right style="thin">
          <color indexed="64"/>
        </right>
      </border>
    </dxf>
  </rfmt>
  <rfmt sheetId="8" sqref="AC31" start="0" length="0">
    <dxf>
      <border outline="0">
        <left style="thin">
          <color indexed="64"/>
        </left>
        <right style="thin">
          <color indexed="64"/>
        </right>
      </border>
    </dxf>
  </rfmt>
  <rfmt sheetId="8" sqref="AD31" start="0" length="0">
    <dxf>
      <border outline="0">
        <left style="thin">
          <color indexed="64"/>
        </left>
        <right style="thin">
          <color indexed="64"/>
        </right>
      </border>
    </dxf>
  </rfmt>
  <rfmt sheetId="8" sqref="AE31" start="0" length="0">
    <dxf>
      <border outline="0">
        <left style="thin">
          <color indexed="64"/>
        </left>
        <right style="thin">
          <color indexed="64"/>
        </right>
      </border>
    </dxf>
  </rfmt>
  <rfmt sheetId="8" sqref="AF31" start="0" length="0">
    <dxf>
      <border outline="0">
        <left style="thin">
          <color indexed="64"/>
        </left>
      </border>
    </dxf>
  </rfmt>
  <rcc rId="11209" sId="8">
    <nc r="AG31">
      <f>B31-H31-J31-L31-N31-P31-R31-T31-V31-X31-Z31-AB31-AD31</f>
    </nc>
  </rcc>
  <rcc rId="11210" sId="8" odxf="1" dxf="1">
    <nc r="A32" t="inlineStr">
      <is>
        <t>бюджет автономного округа</t>
      </is>
    </nc>
    <odxf>
      <border outline="0">
        <right/>
      </border>
    </odxf>
    <ndxf>
      <border outline="0">
        <right style="thin">
          <color indexed="64"/>
        </right>
      </border>
    </ndxf>
  </rcc>
  <rcc rId="11211" sId="8" odxf="1" dxf="1">
    <nc r="B32">
      <f>J32+L32+N32+P32+R32+T32+V32+X32+Z32+AB32+AD32+H32</f>
    </nc>
    <odxf>
      <border outline="0">
        <left/>
        <right/>
      </border>
    </odxf>
    <ndxf>
      <border outline="0">
        <left style="thin">
          <color indexed="64"/>
        </left>
        <right style="thin">
          <color indexed="64"/>
        </right>
      </border>
    </ndxf>
  </rcc>
  <rcc rId="11212" sId="8" odxf="1" dxf="1">
    <nc r="C32">
      <f>SUM(H32)</f>
    </nc>
    <odxf>
      <border outline="0">
        <left/>
        <right/>
      </border>
    </odxf>
    <ndxf>
      <border outline="0">
        <left style="thin">
          <color indexed="64"/>
        </left>
        <right style="thin">
          <color indexed="64"/>
        </right>
      </border>
    </ndxf>
  </rcc>
  <rcc rId="11213" sId="8" odxf="1" dxf="1">
    <nc r="D32">
      <f>E32</f>
    </nc>
    <odxf>
      <border outline="0">
        <left/>
        <right/>
      </border>
    </odxf>
    <ndxf>
      <border outline="0">
        <left style="thin">
          <color indexed="64"/>
        </left>
        <right style="thin">
          <color indexed="64"/>
        </right>
      </border>
    </ndxf>
  </rcc>
  <rcc rId="11214" sId="8" odxf="1" dxf="1">
    <nc r="E32">
      <f>SUM(I32,K32,M32,O32,Q32,S32,U32,W32,Y32,AA32,AC32,AE32)</f>
    </nc>
    <odxf>
      <border outline="0">
        <left/>
        <right/>
      </border>
    </odxf>
    <ndxf>
      <border outline="0">
        <left style="thin">
          <color indexed="64"/>
        </left>
        <right style="thin">
          <color indexed="64"/>
        </right>
      </border>
    </ndxf>
  </rcc>
  <rcc rId="11215" sId="8" odxf="1" dxf="1">
    <nc r="F32">
      <f>IFERROR(E32/B32*100,0)</f>
    </nc>
    <odxf>
      <border outline="0">
        <left/>
        <right/>
      </border>
    </odxf>
    <ndxf>
      <border outline="0">
        <left style="thin">
          <color indexed="64"/>
        </left>
        <right style="thin">
          <color indexed="64"/>
        </right>
      </border>
    </ndxf>
  </rcc>
  <rcc rId="11216" sId="8" odxf="1" dxf="1">
    <nc r="G32">
      <f>IFERROR(E32/C32*100,0)</f>
    </nc>
    <odxf>
      <border outline="0">
        <left/>
        <right/>
      </border>
    </odxf>
    <ndxf>
      <border outline="0">
        <left style="thin">
          <color indexed="64"/>
        </left>
        <right style="thin">
          <color indexed="64"/>
        </right>
      </border>
    </ndxf>
  </rcc>
  <rfmt sheetId="8" sqref="H32" start="0" length="0">
    <dxf>
      <border outline="0">
        <left style="thin">
          <color indexed="64"/>
        </left>
        <right style="thin">
          <color indexed="64"/>
        </right>
      </border>
    </dxf>
  </rfmt>
  <rfmt sheetId="8" sqref="I32" start="0" length="0">
    <dxf>
      <border outline="0">
        <left style="thin">
          <color indexed="64"/>
        </left>
        <right style="thin">
          <color indexed="64"/>
        </right>
      </border>
    </dxf>
  </rfmt>
  <rfmt sheetId="8" sqref="J32" start="0" length="0">
    <dxf>
      <border outline="0">
        <left style="thin">
          <color indexed="64"/>
        </left>
        <right style="thin">
          <color indexed="64"/>
        </right>
      </border>
    </dxf>
  </rfmt>
  <rfmt sheetId="8" sqref="K32" start="0" length="0">
    <dxf>
      <border outline="0">
        <left style="thin">
          <color indexed="64"/>
        </left>
        <right style="thin">
          <color indexed="64"/>
        </right>
      </border>
    </dxf>
  </rfmt>
  <rfmt sheetId="8" sqref="L32" start="0" length="0">
    <dxf>
      <border outline="0">
        <left style="thin">
          <color indexed="64"/>
        </left>
        <right style="thin">
          <color indexed="64"/>
        </right>
      </border>
    </dxf>
  </rfmt>
  <rfmt sheetId="8" sqref="M32" start="0" length="0">
    <dxf>
      <border outline="0">
        <left style="thin">
          <color indexed="64"/>
        </left>
        <right style="thin">
          <color indexed="64"/>
        </right>
      </border>
    </dxf>
  </rfmt>
  <rfmt sheetId="8" sqref="N32" start="0" length="0">
    <dxf>
      <border outline="0">
        <left style="thin">
          <color indexed="64"/>
        </left>
        <right style="thin">
          <color indexed="64"/>
        </right>
      </border>
    </dxf>
  </rfmt>
  <rfmt sheetId="8" sqref="O32" start="0" length="0">
    <dxf>
      <border outline="0">
        <left style="thin">
          <color indexed="64"/>
        </left>
        <right style="thin">
          <color indexed="64"/>
        </right>
      </border>
    </dxf>
  </rfmt>
  <rfmt sheetId="8" sqref="P32" start="0" length="0">
    <dxf>
      <border outline="0">
        <left style="thin">
          <color indexed="64"/>
        </left>
        <right style="thin">
          <color indexed="64"/>
        </right>
      </border>
    </dxf>
  </rfmt>
  <rfmt sheetId="8" sqref="Q32" start="0" length="0">
    <dxf>
      <border outline="0">
        <left style="thin">
          <color indexed="64"/>
        </left>
        <right style="thin">
          <color indexed="64"/>
        </right>
      </border>
    </dxf>
  </rfmt>
  <rfmt sheetId="8" sqref="R32" start="0" length="0">
    <dxf>
      <border outline="0">
        <left style="thin">
          <color indexed="64"/>
        </left>
        <right style="thin">
          <color indexed="64"/>
        </right>
      </border>
    </dxf>
  </rfmt>
  <rfmt sheetId="8" sqref="S32" start="0" length="0">
    <dxf>
      <border outline="0">
        <left style="thin">
          <color indexed="64"/>
        </left>
        <right style="thin">
          <color indexed="64"/>
        </right>
      </border>
    </dxf>
  </rfmt>
  <rfmt sheetId="8" sqref="T32" start="0" length="0">
    <dxf>
      <border outline="0">
        <left style="thin">
          <color indexed="64"/>
        </left>
        <right style="thin">
          <color indexed="64"/>
        </right>
      </border>
    </dxf>
  </rfmt>
  <rfmt sheetId="8" sqref="U32" start="0" length="0">
    <dxf>
      <border outline="0">
        <left style="thin">
          <color indexed="64"/>
        </left>
        <right style="thin">
          <color indexed="64"/>
        </right>
      </border>
    </dxf>
  </rfmt>
  <rfmt sheetId="8" sqref="V32" start="0" length="0">
    <dxf>
      <border outline="0">
        <left style="thin">
          <color indexed="64"/>
        </left>
        <right style="thin">
          <color indexed="64"/>
        </right>
      </border>
    </dxf>
  </rfmt>
  <rfmt sheetId="8" sqref="W32" start="0" length="0">
    <dxf>
      <border outline="0">
        <left style="thin">
          <color indexed="64"/>
        </left>
        <right style="thin">
          <color indexed="64"/>
        </right>
      </border>
    </dxf>
  </rfmt>
  <rfmt sheetId="8" sqref="X32" start="0" length="0">
    <dxf>
      <border outline="0">
        <left style="thin">
          <color indexed="64"/>
        </left>
        <right style="thin">
          <color indexed="64"/>
        </right>
      </border>
    </dxf>
  </rfmt>
  <rfmt sheetId="8" sqref="Y32" start="0" length="0">
    <dxf>
      <border outline="0">
        <left style="thin">
          <color indexed="64"/>
        </left>
        <right style="thin">
          <color indexed="64"/>
        </right>
      </border>
    </dxf>
  </rfmt>
  <rfmt sheetId="8" sqref="Z32" start="0" length="0">
    <dxf>
      <border outline="0">
        <left style="thin">
          <color indexed="64"/>
        </left>
        <right style="thin">
          <color indexed="64"/>
        </right>
      </border>
    </dxf>
  </rfmt>
  <rfmt sheetId="8" sqref="AA32" start="0" length="0">
    <dxf>
      <border outline="0">
        <left style="thin">
          <color indexed="64"/>
        </left>
        <right style="thin">
          <color indexed="64"/>
        </right>
      </border>
    </dxf>
  </rfmt>
  <rfmt sheetId="8" sqref="AB32" start="0" length="0">
    <dxf>
      <border outline="0">
        <left style="thin">
          <color indexed="64"/>
        </left>
        <right style="thin">
          <color indexed="64"/>
        </right>
      </border>
    </dxf>
  </rfmt>
  <rfmt sheetId="8" sqref="AC32" start="0" length="0">
    <dxf>
      <border outline="0">
        <left style="thin">
          <color indexed="64"/>
        </left>
        <right style="thin">
          <color indexed="64"/>
        </right>
      </border>
    </dxf>
  </rfmt>
  <rfmt sheetId="8" sqref="AD32" start="0" length="0">
    <dxf>
      <border outline="0">
        <left style="thin">
          <color indexed="64"/>
        </left>
        <right style="thin">
          <color indexed="64"/>
        </right>
      </border>
    </dxf>
  </rfmt>
  <rfmt sheetId="8" sqref="AE32" start="0" length="0">
    <dxf>
      <border outline="0">
        <left style="thin">
          <color indexed="64"/>
        </left>
        <right style="thin">
          <color indexed="64"/>
        </right>
      </border>
    </dxf>
  </rfmt>
  <rfmt sheetId="8" sqref="AF32" start="0" length="0">
    <dxf>
      <border outline="0">
        <left style="thin">
          <color indexed="64"/>
        </left>
      </border>
    </dxf>
  </rfmt>
  <rcc rId="11217" sId="8">
    <nc r="AG32">
      <f>B32-H32-J32-L32-N32-P32-R32-T32-V32-X32-Z32-AB32-AD32</f>
    </nc>
  </rcc>
  <rcc rId="11218" sId="8" odxf="1" dxf="1">
    <nc r="A33" t="inlineStr">
      <is>
        <t>бюджет города Когалыма</t>
      </is>
    </nc>
    <odxf>
      <border outline="0">
        <right/>
      </border>
    </odxf>
    <ndxf>
      <border outline="0">
        <right style="thin">
          <color indexed="64"/>
        </right>
      </border>
    </ndxf>
  </rcc>
  <rcc rId="11219" sId="8" odxf="1" dxf="1">
    <nc r="B33">
      <f>J33+L33+N33+P33+R33+T33+V33+X33+Z33+AB33+AD33+H33</f>
    </nc>
    <odxf>
      <border outline="0">
        <left/>
        <right/>
      </border>
    </odxf>
    <ndxf>
      <border outline="0">
        <left style="thin">
          <color indexed="64"/>
        </left>
        <right style="thin">
          <color indexed="64"/>
        </right>
      </border>
    </ndxf>
  </rcc>
  <rcc rId="11220" sId="8" odxf="1" dxf="1">
    <nc r="C33">
      <f>SUM(H33)</f>
    </nc>
    <odxf>
      <border outline="0">
        <left/>
        <right/>
      </border>
    </odxf>
    <ndxf>
      <border outline="0">
        <left style="thin">
          <color indexed="64"/>
        </left>
        <right style="thin">
          <color indexed="64"/>
        </right>
      </border>
    </ndxf>
  </rcc>
  <rcc rId="11221" sId="8" odxf="1" dxf="1">
    <nc r="D33">
      <f>E33</f>
    </nc>
    <odxf>
      <border outline="0">
        <left/>
        <right/>
      </border>
    </odxf>
    <ndxf>
      <border outline="0">
        <left style="thin">
          <color indexed="64"/>
        </left>
        <right style="thin">
          <color indexed="64"/>
        </right>
      </border>
    </ndxf>
  </rcc>
  <rcc rId="11222" sId="8" odxf="1" dxf="1">
    <nc r="E33">
      <f>SUM(I33,K33,M33,O33,Q33,S33,U33,W33,Y33,AA33,AC33,AE33)</f>
    </nc>
    <odxf>
      <border outline="0">
        <left/>
        <right/>
      </border>
    </odxf>
    <ndxf>
      <border outline="0">
        <left style="thin">
          <color indexed="64"/>
        </left>
        <right style="thin">
          <color indexed="64"/>
        </right>
      </border>
    </ndxf>
  </rcc>
  <rcc rId="11223" sId="8" odxf="1" dxf="1">
    <nc r="F33">
      <f>IFERROR(E33/B33*100,0)</f>
    </nc>
    <odxf>
      <border outline="0">
        <left/>
        <right/>
      </border>
    </odxf>
    <ndxf>
      <border outline="0">
        <left style="thin">
          <color indexed="64"/>
        </left>
        <right style="thin">
          <color indexed="64"/>
        </right>
      </border>
    </ndxf>
  </rcc>
  <rcc rId="11224" sId="8" odxf="1" dxf="1">
    <nc r="G33">
      <f>IFERROR(E33/C33*100,0)</f>
    </nc>
    <odxf>
      <border outline="0">
        <left/>
        <right/>
      </border>
    </odxf>
    <ndxf>
      <border outline="0">
        <left style="thin">
          <color indexed="64"/>
        </left>
        <right style="thin">
          <color indexed="64"/>
        </right>
      </border>
    </ndxf>
  </rcc>
  <rfmt sheetId="8" sqref="H33" start="0" length="0">
    <dxf>
      <border outline="0">
        <left style="thin">
          <color indexed="64"/>
        </left>
        <right style="thin">
          <color indexed="64"/>
        </right>
      </border>
    </dxf>
  </rfmt>
  <rfmt sheetId="8" sqref="I33" start="0" length="0">
    <dxf>
      <border outline="0">
        <left style="thin">
          <color indexed="64"/>
        </left>
        <right style="thin">
          <color indexed="64"/>
        </right>
      </border>
    </dxf>
  </rfmt>
  <rfmt sheetId="8" sqref="J33" start="0" length="0">
    <dxf>
      <border outline="0">
        <left style="thin">
          <color indexed="64"/>
        </left>
        <right style="thin">
          <color indexed="64"/>
        </right>
      </border>
    </dxf>
  </rfmt>
  <rfmt sheetId="8" sqref="K33" start="0" length="0">
    <dxf>
      <border outline="0">
        <left style="thin">
          <color indexed="64"/>
        </left>
        <right style="thin">
          <color indexed="64"/>
        </right>
      </border>
    </dxf>
  </rfmt>
  <rfmt sheetId="8" sqref="L33" start="0" length="0">
    <dxf>
      <border outline="0">
        <left style="thin">
          <color indexed="64"/>
        </left>
        <right style="thin">
          <color indexed="64"/>
        </right>
      </border>
    </dxf>
  </rfmt>
  <rfmt sheetId="8" sqref="M33" start="0" length="0">
    <dxf>
      <border outline="0">
        <left style="thin">
          <color indexed="64"/>
        </left>
        <right style="thin">
          <color indexed="64"/>
        </right>
      </border>
    </dxf>
  </rfmt>
  <rfmt sheetId="8" sqref="N33" start="0" length="0">
    <dxf>
      <border outline="0">
        <left style="thin">
          <color indexed="64"/>
        </left>
        <right style="thin">
          <color indexed="64"/>
        </right>
      </border>
    </dxf>
  </rfmt>
  <rfmt sheetId="8" sqref="O33" start="0" length="0">
    <dxf>
      <border outline="0">
        <left style="thin">
          <color indexed="64"/>
        </left>
        <right style="thin">
          <color indexed="64"/>
        </right>
      </border>
    </dxf>
  </rfmt>
  <rfmt sheetId="8" sqref="P33" start="0" length="0">
    <dxf>
      <border outline="0">
        <left style="thin">
          <color indexed="64"/>
        </left>
        <right style="thin">
          <color indexed="64"/>
        </right>
      </border>
    </dxf>
  </rfmt>
  <rfmt sheetId="8" sqref="Q33" start="0" length="0">
    <dxf>
      <border outline="0">
        <left style="thin">
          <color indexed="64"/>
        </left>
        <right style="thin">
          <color indexed="64"/>
        </right>
      </border>
    </dxf>
  </rfmt>
  <rfmt sheetId="8" sqref="R33" start="0" length="0">
    <dxf>
      <border outline="0">
        <left style="thin">
          <color indexed="64"/>
        </left>
        <right style="thin">
          <color indexed="64"/>
        </right>
      </border>
    </dxf>
  </rfmt>
  <rfmt sheetId="8" sqref="S33" start="0" length="0">
    <dxf>
      <border outline="0">
        <left style="thin">
          <color indexed="64"/>
        </left>
        <right style="thin">
          <color indexed="64"/>
        </right>
      </border>
    </dxf>
  </rfmt>
  <rfmt sheetId="8" sqref="T33" start="0" length="0">
    <dxf>
      <border outline="0">
        <left style="thin">
          <color indexed="64"/>
        </left>
        <right style="thin">
          <color indexed="64"/>
        </right>
      </border>
    </dxf>
  </rfmt>
  <rfmt sheetId="8" sqref="U33" start="0" length="0">
    <dxf>
      <border outline="0">
        <left style="thin">
          <color indexed="64"/>
        </left>
        <right style="thin">
          <color indexed="64"/>
        </right>
      </border>
    </dxf>
  </rfmt>
  <rfmt sheetId="8" sqref="V33" start="0" length="0">
    <dxf>
      <border outline="0">
        <left style="thin">
          <color indexed="64"/>
        </left>
        <right style="thin">
          <color indexed="64"/>
        </right>
      </border>
    </dxf>
  </rfmt>
  <rfmt sheetId="8" sqref="W33" start="0" length="0">
    <dxf>
      <border outline="0">
        <left style="thin">
          <color indexed="64"/>
        </left>
        <right style="thin">
          <color indexed="64"/>
        </right>
      </border>
    </dxf>
  </rfmt>
  <rfmt sheetId="8" sqref="X33" start="0" length="0">
    <dxf>
      <border outline="0">
        <left style="thin">
          <color indexed="64"/>
        </left>
        <right style="thin">
          <color indexed="64"/>
        </right>
      </border>
    </dxf>
  </rfmt>
  <rfmt sheetId="8" sqref="Y33" start="0" length="0">
    <dxf>
      <border outline="0">
        <left style="thin">
          <color indexed="64"/>
        </left>
        <right style="thin">
          <color indexed="64"/>
        </right>
      </border>
    </dxf>
  </rfmt>
  <rfmt sheetId="8" sqref="Z33" start="0" length="0">
    <dxf>
      <border outline="0">
        <left style="thin">
          <color indexed="64"/>
        </left>
        <right style="thin">
          <color indexed="64"/>
        </right>
      </border>
    </dxf>
  </rfmt>
  <rfmt sheetId="8" sqref="AA33" start="0" length="0">
    <dxf>
      <border outline="0">
        <left style="thin">
          <color indexed="64"/>
        </left>
        <right style="thin">
          <color indexed="64"/>
        </right>
      </border>
    </dxf>
  </rfmt>
  <rfmt sheetId="8" sqref="AB33" start="0" length="0">
    <dxf>
      <border outline="0">
        <left style="thin">
          <color indexed="64"/>
        </left>
        <right style="thin">
          <color indexed="64"/>
        </right>
      </border>
    </dxf>
  </rfmt>
  <rfmt sheetId="8" sqref="AC33" start="0" length="0">
    <dxf>
      <border outline="0">
        <left style="thin">
          <color indexed="64"/>
        </left>
        <right style="thin">
          <color indexed="64"/>
        </right>
      </border>
    </dxf>
  </rfmt>
  <rfmt sheetId="8" sqref="AD33" start="0" length="0">
    <dxf>
      <border outline="0">
        <left style="thin">
          <color indexed="64"/>
        </left>
        <right style="thin">
          <color indexed="64"/>
        </right>
      </border>
    </dxf>
  </rfmt>
  <rfmt sheetId="8" sqref="AE33" start="0" length="0">
    <dxf>
      <border outline="0">
        <left style="thin">
          <color indexed="64"/>
        </left>
        <right style="thin">
          <color indexed="64"/>
        </right>
      </border>
    </dxf>
  </rfmt>
  <rfmt sheetId="8" sqref="AF33" start="0" length="0">
    <dxf>
      <border outline="0">
        <left style="thin">
          <color indexed="64"/>
        </left>
      </border>
    </dxf>
  </rfmt>
  <rcc rId="11225" sId="8">
    <nc r="AG33">
      <f>B33-H33-J33-L33-N33-P33-R33-T33-V33-X33-Z33-AB33-AD33</f>
    </nc>
  </rcc>
  <rcc rId="11226" sId="8" odxf="1" dxf="1">
    <nc r="A34" t="inlineStr">
      <is>
        <t>привлеченные средства</t>
      </is>
    </nc>
    <odxf>
      <border outline="0">
        <right/>
      </border>
    </odxf>
    <ndxf>
      <border outline="0">
        <right style="thin">
          <color indexed="64"/>
        </right>
      </border>
    </ndxf>
  </rcc>
  <rcc rId="11227" sId="8" odxf="1" dxf="1">
    <nc r="B34">
      <f>J34+L34+N34+P34+R34+T34+V34+X34+Z34+AB34+AD34+H34</f>
    </nc>
    <odxf>
      <border outline="0">
        <left/>
        <right/>
      </border>
    </odxf>
    <ndxf>
      <border outline="0">
        <left style="thin">
          <color indexed="64"/>
        </left>
        <right style="thin">
          <color indexed="64"/>
        </right>
      </border>
    </ndxf>
  </rcc>
  <rcc rId="11228" sId="8" odxf="1" dxf="1">
    <nc r="C34">
      <f>SUM(H34)</f>
    </nc>
    <odxf>
      <border outline="0">
        <left/>
        <right/>
      </border>
    </odxf>
    <ndxf>
      <border outline="0">
        <left style="thin">
          <color indexed="64"/>
        </left>
        <right style="thin">
          <color indexed="64"/>
        </right>
      </border>
    </ndxf>
  </rcc>
  <rcc rId="11229" sId="8" odxf="1" dxf="1">
    <nc r="D34">
      <f>E34</f>
    </nc>
    <odxf>
      <border outline="0">
        <left/>
        <right/>
      </border>
    </odxf>
    <ndxf>
      <border outline="0">
        <left style="thin">
          <color indexed="64"/>
        </left>
        <right style="thin">
          <color indexed="64"/>
        </right>
      </border>
    </ndxf>
  </rcc>
  <rcc rId="11230" sId="8" odxf="1" dxf="1">
    <nc r="E34">
      <f>SUM(I34,K34,M34,O34,Q34,S34,U34,W34,Y34,AA34,AC34,AE34)</f>
    </nc>
    <odxf>
      <border outline="0">
        <left/>
        <right/>
      </border>
    </odxf>
    <ndxf>
      <border outline="0">
        <left style="thin">
          <color indexed="64"/>
        </left>
        <right style="thin">
          <color indexed="64"/>
        </right>
      </border>
    </ndxf>
  </rcc>
  <rcc rId="11231" sId="8" odxf="1" dxf="1">
    <nc r="F34">
      <f>IFERROR(E34/B34*100,0)</f>
    </nc>
    <odxf>
      <border outline="0">
        <left/>
        <right/>
      </border>
    </odxf>
    <ndxf>
      <border outline="0">
        <left style="thin">
          <color indexed="64"/>
        </left>
        <right style="thin">
          <color indexed="64"/>
        </right>
      </border>
    </ndxf>
  </rcc>
  <rcc rId="11232" sId="8" odxf="1" dxf="1">
    <nc r="G34">
      <f>IFERROR(E34/C34*100,0)</f>
    </nc>
    <odxf>
      <border outline="0">
        <left/>
        <right/>
      </border>
    </odxf>
    <ndxf>
      <border outline="0">
        <left style="thin">
          <color indexed="64"/>
        </left>
        <right style="thin">
          <color indexed="64"/>
        </right>
      </border>
    </ndxf>
  </rcc>
  <rfmt sheetId="8" sqref="H34" start="0" length="0">
    <dxf>
      <border outline="0">
        <left style="thin">
          <color indexed="64"/>
        </left>
        <right style="thin">
          <color indexed="64"/>
        </right>
      </border>
    </dxf>
  </rfmt>
  <rfmt sheetId="8" sqref="I34" start="0" length="0">
    <dxf>
      <border outline="0">
        <left style="thin">
          <color indexed="64"/>
        </left>
        <right style="thin">
          <color indexed="64"/>
        </right>
      </border>
    </dxf>
  </rfmt>
  <rfmt sheetId="8" sqref="J34" start="0" length="0">
    <dxf>
      <border outline="0">
        <left style="thin">
          <color indexed="64"/>
        </left>
        <right style="thin">
          <color indexed="64"/>
        </right>
      </border>
    </dxf>
  </rfmt>
  <rfmt sheetId="8" sqref="K34" start="0" length="0">
    <dxf>
      <border outline="0">
        <left style="thin">
          <color indexed="64"/>
        </left>
        <right style="thin">
          <color indexed="64"/>
        </right>
      </border>
    </dxf>
  </rfmt>
  <rfmt sheetId="8" sqref="L34" start="0" length="0">
    <dxf>
      <border outline="0">
        <left style="thin">
          <color indexed="64"/>
        </left>
        <right style="thin">
          <color indexed="64"/>
        </right>
      </border>
    </dxf>
  </rfmt>
  <rfmt sheetId="8" sqref="M34" start="0" length="0">
    <dxf>
      <border outline="0">
        <left style="thin">
          <color indexed="64"/>
        </left>
        <right style="thin">
          <color indexed="64"/>
        </right>
      </border>
    </dxf>
  </rfmt>
  <rfmt sheetId="8" sqref="N34" start="0" length="0">
    <dxf>
      <border outline="0">
        <left style="thin">
          <color indexed="64"/>
        </left>
        <right style="thin">
          <color indexed="64"/>
        </right>
      </border>
    </dxf>
  </rfmt>
  <rfmt sheetId="8" sqref="O34" start="0" length="0">
    <dxf>
      <border outline="0">
        <left style="thin">
          <color indexed="64"/>
        </left>
        <right style="thin">
          <color indexed="64"/>
        </right>
      </border>
    </dxf>
  </rfmt>
  <rfmt sheetId="8" sqref="P34" start="0" length="0">
    <dxf>
      <border outline="0">
        <left style="thin">
          <color indexed="64"/>
        </left>
        <right style="thin">
          <color indexed="64"/>
        </right>
      </border>
    </dxf>
  </rfmt>
  <rfmt sheetId="8" sqref="Q34" start="0" length="0">
    <dxf>
      <border outline="0">
        <left style="thin">
          <color indexed="64"/>
        </left>
        <right style="thin">
          <color indexed="64"/>
        </right>
      </border>
    </dxf>
  </rfmt>
  <rfmt sheetId="8" sqref="R34" start="0" length="0">
    <dxf>
      <border outline="0">
        <left style="thin">
          <color indexed="64"/>
        </left>
        <right style="thin">
          <color indexed="64"/>
        </right>
      </border>
    </dxf>
  </rfmt>
  <rfmt sheetId="8" sqref="S34" start="0" length="0">
    <dxf>
      <border outline="0">
        <left style="thin">
          <color indexed="64"/>
        </left>
        <right style="thin">
          <color indexed="64"/>
        </right>
      </border>
    </dxf>
  </rfmt>
  <rfmt sheetId="8" sqref="T34" start="0" length="0">
    <dxf>
      <border outline="0">
        <left style="thin">
          <color indexed="64"/>
        </left>
        <right style="thin">
          <color indexed="64"/>
        </right>
      </border>
    </dxf>
  </rfmt>
  <rfmt sheetId="8" sqref="U34" start="0" length="0">
    <dxf>
      <border outline="0">
        <left style="thin">
          <color indexed="64"/>
        </left>
        <right style="thin">
          <color indexed="64"/>
        </right>
      </border>
    </dxf>
  </rfmt>
  <rfmt sheetId="8" sqref="V34" start="0" length="0">
    <dxf>
      <border outline="0">
        <left style="thin">
          <color indexed="64"/>
        </left>
        <right style="thin">
          <color indexed="64"/>
        </right>
      </border>
    </dxf>
  </rfmt>
  <rfmt sheetId="8" sqref="W34" start="0" length="0">
    <dxf>
      <border outline="0">
        <left style="thin">
          <color indexed="64"/>
        </left>
        <right style="thin">
          <color indexed="64"/>
        </right>
      </border>
    </dxf>
  </rfmt>
  <rfmt sheetId="8" sqref="X34" start="0" length="0">
    <dxf>
      <border outline="0">
        <left style="thin">
          <color indexed="64"/>
        </left>
        <right style="thin">
          <color indexed="64"/>
        </right>
      </border>
    </dxf>
  </rfmt>
  <rfmt sheetId="8" sqref="Y34" start="0" length="0">
    <dxf>
      <border outline="0">
        <left style="thin">
          <color indexed="64"/>
        </left>
        <right style="thin">
          <color indexed="64"/>
        </right>
      </border>
    </dxf>
  </rfmt>
  <rfmt sheetId="8" sqref="Z34" start="0" length="0">
    <dxf>
      <border outline="0">
        <left style="thin">
          <color indexed="64"/>
        </left>
        <right style="thin">
          <color indexed="64"/>
        </right>
      </border>
    </dxf>
  </rfmt>
  <rfmt sheetId="8" sqref="AA34" start="0" length="0">
    <dxf>
      <border outline="0">
        <left style="thin">
          <color indexed="64"/>
        </left>
        <right style="thin">
          <color indexed="64"/>
        </right>
      </border>
    </dxf>
  </rfmt>
  <rfmt sheetId="8" sqref="AB34" start="0" length="0">
    <dxf>
      <border outline="0">
        <left style="thin">
          <color indexed="64"/>
        </left>
        <right style="thin">
          <color indexed="64"/>
        </right>
      </border>
    </dxf>
  </rfmt>
  <rfmt sheetId="8" sqref="AC34" start="0" length="0">
    <dxf>
      <border outline="0">
        <left style="thin">
          <color indexed="64"/>
        </left>
        <right style="thin">
          <color indexed="64"/>
        </right>
      </border>
    </dxf>
  </rfmt>
  <rfmt sheetId="8" sqref="AD34" start="0" length="0">
    <dxf>
      <border outline="0">
        <left style="thin">
          <color indexed="64"/>
        </left>
        <right style="thin">
          <color indexed="64"/>
        </right>
      </border>
    </dxf>
  </rfmt>
  <rfmt sheetId="8" sqref="AE34" start="0" length="0">
    <dxf>
      <border outline="0">
        <left style="thin">
          <color indexed="64"/>
        </left>
        <right style="thin">
          <color indexed="64"/>
        </right>
      </border>
    </dxf>
  </rfmt>
  <rfmt sheetId="8" sqref="AF34" start="0" length="0">
    <dxf>
      <border outline="0">
        <left style="thin">
          <color indexed="64"/>
        </left>
      </border>
    </dxf>
  </rfmt>
  <rcc rId="11233" sId="8">
    <nc r="AG34">
      <f>B34-H34-J34-L34-N34-P34-R34-T34-V34-X34-Z34-AB34-AD34</f>
    </nc>
  </rcc>
  <rcc rId="11234" sId="8">
    <nc r="A23" t="inlineStr">
      <is>
        <t>ПК.1.1. Реализация инициативного проекта «Книга в движении» (II)</t>
      </is>
    </nc>
  </rcc>
  <rcc rId="11235" sId="8">
    <nc r="A29" t="inlineStr">
      <is>
        <t>П.1.2. Реализация инициативного проекта «Одуванчиковое поле» (II)</t>
      </is>
    </nc>
  </rcc>
</revisions>
</file>

<file path=xl/revisions/revisionLog4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75" sId="12">
    <oc r="C295">
      <f>SUM(H295)</f>
    </oc>
    <nc r="C295">
      <f>H295+J295+L295</f>
    </nc>
  </rcc>
</revisions>
</file>

<file path=xl/revisions/revisionLog4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291">
    <dxf>
      <fill>
        <patternFill>
          <bgColor rgb="FFFFFF00"/>
        </patternFill>
      </fill>
    </dxf>
  </rfmt>
  <rfmt sheetId="12" sqref="A297">
    <dxf>
      <fill>
        <patternFill>
          <bgColor rgb="FFFFFF00"/>
        </patternFill>
      </fill>
    </dxf>
  </rfmt>
  <rcc rId="10676" sId="12" numFmtId="4">
    <oc r="L289">
      <v>3930</v>
    </oc>
    <nc r="L289">
      <f>20.48+3930</f>
    </nc>
  </rcc>
  <rcc rId="10677" sId="12" numFmtId="4">
    <oc r="R289">
      <v>7265.0883999999996</v>
    </oc>
    <nc r="R289">
      <f>7265.0884-20.48</f>
    </nc>
  </rcc>
  <rfmt sheetId="12" sqref="A285">
    <dxf>
      <fill>
        <patternFill>
          <bgColor rgb="FFFFFF00"/>
        </patternFill>
      </fill>
    </dxf>
  </rfmt>
</revisions>
</file>

<file path=xl/revisions/revisionLog4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678" sId="12" ref="A266:XFD266" action="deleteRow">
    <rfmt sheetId="12" xfDxf="1" sqref="A266:XFD266" start="0" length="0">
      <dxf>
        <font>
          <sz val="14"/>
          <name val="Times New Roman"/>
          <scheme val="none"/>
        </font>
      </dxf>
    </rfmt>
    <rcc rId="0" sId="12" s="1" dxf="1">
      <nc r="A266" t="inlineStr">
        <is>
          <t>п.п.4.3.2. Капитальный ремонт здания МАОУ СОШ №7</t>
        </is>
      </nc>
      <ndxf>
        <font>
          <b/>
          <sz val="14"/>
          <color auto="1"/>
          <name val="Times New Roman"/>
          <scheme val="none"/>
        </font>
        <fill>
          <patternFill patternType="solid">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fmt sheetId="12" sqref="B266" start="0" length="0">
      <dxf>
        <font>
          <sz val="14"/>
          <color auto="1"/>
          <name val="Times New Roman"/>
          <scheme val="none"/>
        </font>
        <numFmt numFmtId="168" formatCode="#,##0.00\ _₽"/>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2" sqref="C266" start="0" length="0">
      <dxf>
        <font>
          <sz val="14"/>
          <color rgb="FFFF0000"/>
          <name val="Times New Roman"/>
          <scheme val="none"/>
        </font>
        <numFmt numFmtId="168" formatCode="#,##0.00\ _₽"/>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2" sqref="D266" start="0" length="0">
      <dxf>
        <font>
          <sz val="14"/>
          <color rgb="FFFF0000"/>
          <name val="Times New Roman"/>
          <scheme val="none"/>
        </font>
        <numFmt numFmtId="168" formatCode="#,##0.00\ _₽"/>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2" sqref="E266" start="0" length="0">
      <dxf>
        <font>
          <sz val="14"/>
          <color rgb="FFFF0000"/>
          <name val="Times New Roman"/>
          <scheme val="none"/>
        </font>
        <numFmt numFmtId="168" formatCode="#,##0.00\ _₽"/>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2" sqref="F266" start="0" length="0">
      <dxf>
        <font>
          <sz val="14"/>
          <color rgb="FFFF0000"/>
          <name val="Times New Roman"/>
          <scheme val="none"/>
        </font>
        <numFmt numFmtId="168" formatCode="#,##0.00\ _₽"/>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2" sqref="G266" start="0" length="0">
      <dxf>
        <font>
          <sz val="14"/>
          <color rgb="FFFF0000"/>
          <name val="Times New Roman"/>
          <scheme val="none"/>
        </font>
        <numFmt numFmtId="168" formatCode="#,##0.00\ _₽"/>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2" sqref="H266" start="0" length="0">
      <dxf>
        <numFmt numFmtId="4" formatCode="#,##0.00"/>
        <border outline="0">
          <left style="thin">
            <color indexed="64"/>
          </left>
          <right style="thin">
            <color indexed="64"/>
          </right>
          <top style="thin">
            <color indexed="64"/>
          </top>
          <bottom style="thin">
            <color indexed="64"/>
          </bottom>
        </border>
      </dxf>
    </rfmt>
    <rfmt sheetId="12" sqref="I266" start="0" length="0">
      <dxf>
        <numFmt numFmtId="4" formatCode="#,##0.00"/>
        <border outline="0">
          <left style="thin">
            <color indexed="64"/>
          </left>
          <right style="thin">
            <color indexed="64"/>
          </right>
          <top style="thin">
            <color indexed="64"/>
          </top>
          <bottom style="thin">
            <color indexed="64"/>
          </bottom>
        </border>
      </dxf>
    </rfmt>
    <rfmt sheetId="12" sqref="J266" start="0" length="0">
      <dxf>
        <numFmt numFmtId="4" formatCode="#,##0.00"/>
        <border outline="0">
          <left style="thin">
            <color indexed="64"/>
          </left>
          <right style="thin">
            <color indexed="64"/>
          </right>
          <top style="thin">
            <color indexed="64"/>
          </top>
          <bottom style="thin">
            <color indexed="64"/>
          </bottom>
        </border>
      </dxf>
    </rfmt>
    <rfmt sheetId="12" sqref="K266" start="0" length="0">
      <dxf>
        <numFmt numFmtId="4" formatCode="#,##0.00"/>
        <border outline="0">
          <left style="thin">
            <color indexed="64"/>
          </left>
          <right style="thin">
            <color indexed="64"/>
          </right>
          <top style="thin">
            <color indexed="64"/>
          </top>
          <bottom style="thin">
            <color indexed="64"/>
          </bottom>
        </border>
      </dxf>
    </rfmt>
    <rfmt sheetId="12" sqref="L266" start="0" length="0">
      <dxf>
        <numFmt numFmtId="4" formatCode="#,##0.00"/>
        <border outline="0">
          <left style="thin">
            <color indexed="64"/>
          </left>
          <right style="thin">
            <color indexed="64"/>
          </right>
          <top style="thin">
            <color indexed="64"/>
          </top>
          <bottom style="thin">
            <color indexed="64"/>
          </bottom>
        </border>
      </dxf>
    </rfmt>
    <rfmt sheetId="12" sqref="M266" start="0" length="0">
      <dxf>
        <numFmt numFmtId="4" formatCode="#,##0.00"/>
        <border outline="0">
          <left style="thin">
            <color indexed="64"/>
          </left>
          <right style="thin">
            <color indexed="64"/>
          </right>
          <top style="thin">
            <color indexed="64"/>
          </top>
          <bottom style="thin">
            <color indexed="64"/>
          </bottom>
        </border>
      </dxf>
    </rfmt>
    <rfmt sheetId="12" sqref="N266" start="0" length="0">
      <dxf>
        <numFmt numFmtId="4" formatCode="#,##0.00"/>
        <border outline="0">
          <left style="thin">
            <color indexed="64"/>
          </left>
          <right style="thin">
            <color indexed="64"/>
          </right>
          <top style="thin">
            <color indexed="64"/>
          </top>
          <bottom style="thin">
            <color indexed="64"/>
          </bottom>
        </border>
      </dxf>
    </rfmt>
    <rfmt sheetId="12" sqref="O266" start="0" length="0">
      <dxf>
        <numFmt numFmtId="4" formatCode="#,##0.00"/>
        <border outline="0">
          <left style="thin">
            <color indexed="64"/>
          </left>
          <right style="thin">
            <color indexed="64"/>
          </right>
          <top style="thin">
            <color indexed="64"/>
          </top>
          <bottom style="thin">
            <color indexed="64"/>
          </bottom>
        </border>
      </dxf>
    </rfmt>
    <rfmt sheetId="12" sqref="P266" start="0" length="0">
      <dxf>
        <numFmt numFmtId="4" formatCode="#,##0.00"/>
        <border outline="0">
          <left style="thin">
            <color indexed="64"/>
          </left>
          <right style="thin">
            <color indexed="64"/>
          </right>
          <top style="thin">
            <color indexed="64"/>
          </top>
          <bottom style="thin">
            <color indexed="64"/>
          </bottom>
        </border>
      </dxf>
    </rfmt>
    <rfmt sheetId="12" sqref="Q266" start="0" length="0">
      <dxf>
        <numFmt numFmtId="4" formatCode="#,##0.00"/>
        <border outline="0">
          <left style="thin">
            <color indexed="64"/>
          </left>
          <right style="thin">
            <color indexed="64"/>
          </right>
          <top style="thin">
            <color indexed="64"/>
          </top>
          <bottom style="thin">
            <color indexed="64"/>
          </bottom>
        </border>
      </dxf>
    </rfmt>
    <rfmt sheetId="12" sqref="R266" start="0" length="0">
      <dxf>
        <numFmt numFmtId="4" formatCode="#,##0.00"/>
        <border outline="0">
          <left style="thin">
            <color indexed="64"/>
          </left>
          <right style="thin">
            <color indexed="64"/>
          </right>
          <top style="thin">
            <color indexed="64"/>
          </top>
          <bottom style="thin">
            <color indexed="64"/>
          </bottom>
        </border>
      </dxf>
    </rfmt>
    <rfmt sheetId="12" sqref="S266" start="0" length="0">
      <dxf>
        <numFmt numFmtId="4" formatCode="#,##0.00"/>
        <border outline="0">
          <left style="thin">
            <color indexed="64"/>
          </left>
          <right style="thin">
            <color indexed="64"/>
          </right>
          <top style="thin">
            <color indexed="64"/>
          </top>
          <bottom style="thin">
            <color indexed="64"/>
          </bottom>
        </border>
      </dxf>
    </rfmt>
    <rfmt sheetId="12" sqref="T266" start="0" length="0">
      <dxf>
        <numFmt numFmtId="4" formatCode="#,##0.00"/>
        <border outline="0">
          <left style="thin">
            <color indexed="64"/>
          </left>
          <right style="thin">
            <color indexed="64"/>
          </right>
          <top style="thin">
            <color indexed="64"/>
          </top>
          <bottom style="thin">
            <color indexed="64"/>
          </bottom>
        </border>
      </dxf>
    </rfmt>
    <rfmt sheetId="12" sqref="U266" start="0" length="0">
      <dxf>
        <numFmt numFmtId="4" formatCode="#,##0.00"/>
        <border outline="0">
          <left style="thin">
            <color indexed="64"/>
          </left>
          <right style="thin">
            <color indexed="64"/>
          </right>
          <top style="thin">
            <color indexed="64"/>
          </top>
          <bottom style="thin">
            <color indexed="64"/>
          </bottom>
        </border>
      </dxf>
    </rfmt>
    <rfmt sheetId="12" sqref="V266" start="0" length="0">
      <dxf>
        <numFmt numFmtId="4" formatCode="#,##0.00"/>
        <border outline="0">
          <left style="thin">
            <color indexed="64"/>
          </left>
          <right style="thin">
            <color indexed="64"/>
          </right>
          <top style="thin">
            <color indexed="64"/>
          </top>
          <bottom style="thin">
            <color indexed="64"/>
          </bottom>
        </border>
      </dxf>
    </rfmt>
    <rfmt sheetId="12" sqref="W266" start="0" length="0">
      <dxf>
        <numFmt numFmtId="4" formatCode="#,##0.00"/>
        <border outline="0">
          <left style="thin">
            <color indexed="64"/>
          </left>
          <right style="thin">
            <color indexed="64"/>
          </right>
          <top style="thin">
            <color indexed="64"/>
          </top>
          <bottom style="thin">
            <color indexed="64"/>
          </bottom>
        </border>
      </dxf>
    </rfmt>
    <rfmt sheetId="12" sqref="X266" start="0" length="0">
      <dxf>
        <numFmt numFmtId="4" formatCode="#,##0.00"/>
        <border outline="0">
          <left style="thin">
            <color indexed="64"/>
          </left>
          <right style="thin">
            <color indexed="64"/>
          </right>
          <top style="thin">
            <color indexed="64"/>
          </top>
          <bottom style="thin">
            <color indexed="64"/>
          </bottom>
        </border>
      </dxf>
    </rfmt>
    <rfmt sheetId="12" sqref="Y266" start="0" length="0">
      <dxf>
        <numFmt numFmtId="4" formatCode="#,##0.00"/>
        <border outline="0">
          <left style="thin">
            <color indexed="64"/>
          </left>
          <right style="thin">
            <color indexed="64"/>
          </right>
          <top style="thin">
            <color indexed="64"/>
          </top>
          <bottom style="thin">
            <color indexed="64"/>
          </bottom>
        </border>
      </dxf>
    </rfmt>
    <rfmt sheetId="12" sqref="Z266" start="0" length="0">
      <dxf>
        <numFmt numFmtId="4" formatCode="#,##0.00"/>
        <border outline="0">
          <left style="thin">
            <color indexed="64"/>
          </left>
          <right style="thin">
            <color indexed="64"/>
          </right>
          <top style="thin">
            <color indexed="64"/>
          </top>
          <bottom style="thin">
            <color indexed="64"/>
          </bottom>
        </border>
      </dxf>
    </rfmt>
    <rfmt sheetId="12" sqref="AA266" start="0" length="0">
      <dxf>
        <numFmt numFmtId="4" formatCode="#,##0.00"/>
        <border outline="0">
          <left style="thin">
            <color indexed="64"/>
          </left>
          <right style="thin">
            <color indexed="64"/>
          </right>
          <top style="thin">
            <color indexed="64"/>
          </top>
          <bottom style="thin">
            <color indexed="64"/>
          </bottom>
        </border>
      </dxf>
    </rfmt>
    <rfmt sheetId="12" sqref="AB266" start="0" length="0">
      <dxf>
        <numFmt numFmtId="4" formatCode="#,##0.00"/>
        <border outline="0">
          <left style="thin">
            <color indexed="64"/>
          </left>
          <right style="thin">
            <color indexed="64"/>
          </right>
          <top style="thin">
            <color indexed="64"/>
          </top>
          <bottom style="thin">
            <color indexed="64"/>
          </bottom>
        </border>
      </dxf>
    </rfmt>
    <rfmt sheetId="12" sqref="AC266" start="0" length="0">
      <dxf>
        <numFmt numFmtId="4" formatCode="#,##0.00"/>
        <border outline="0">
          <left style="thin">
            <color indexed="64"/>
          </left>
          <right style="thin">
            <color indexed="64"/>
          </right>
          <top style="thin">
            <color indexed="64"/>
          </top>
          <bottom style="thin">
            <color indexed="64"/>
          </bottom>
        </border>
      </dxf>
    </rfmt>
    <rfmt sheetId="12" sqref="AD266" start="0" length="0">
      <dxf>
        <numFmt numFmtId="4" formatCode="#,##0.00"/>
        <border outline="0">
          <left style="thin">
            <color indexed="64"/>
          </left>
          <right style="thin">
            <color indexed="64"/>
          </right>
          <top style="thin">
            <color indexed="64"/>
          </top>
          <bottom style="thin">
            <color indexed="64"/>
          </bottom>
        </border>
      </dxf>
    </rfmt>
    <rfmt sheetId="12" sqref="AE266" start="0" length="0">
      <dxf>
        <numFmt numFmtId="4" formatCode="#,##0.00"/>
        <border outline="0">
          <left style="thin">
            <color indexed="64"/>
          </left>
          <right style="thin">
            <color indexed="64"/>
          </right>
          <top style="thin">
            <color indexed="64"/>
          </top>
          <bottom style="thin">
            <color indexed="64"/>
          </bottom>
        </border>
      </dxf>
    </rfmt>
    <rcc rId="0" sId="12" dxf="1">
      <nc r="AF266" t="inlineStr">
        <is>
          <t>Муниципальный контракт №0187300013724000024 от 26.03.2024 на выполнение работ по разработке проектно-сметной документации для выполнения капитального ремонта здания МАОУ СОШ №7 в городе Когалыме:
- цена контракта 2 345,11 тыс.рублей;
- срок выполнения работ - 15.11.2024 года.</t>
        </is>
      </nc>
      <ndxf>
        <alignment vertical="top" wrapText="1" readingOrder="0"/>
        <border outline="0">
          <left style="thin">
            <color indexed="64"/>
          </left>
          <right style="thin">
            <color indexed="64"/>
          </right>
          <top style="thin">
            <color indexed="64"/>
          </top>
          <bottom style="thin">
            <color indexed="64"/>
          </bottom>
        </border>
      </ndxf>
    </rcc>
    <rcc rId="0" sId="12" dxf="1">
      <nc r="AG266">
        <f>B266-H266-J266-L266-N266-P266-R266-T266-V266-X266-Z266-AB266-AD266</f>
      </nc>
      <ndxf>
        <numFmt numFmtId="2" formatCode="0.00"/>
      </ndxf>
    </rcc>
  </rrc>
  <rrc rId="10679" sId="12" ref="A266:XFD266" action="deleteRow">
    <rfmt sheetId="12" xfDxf="1" sqref="A266:XFD266" start="0" length="0">
      <dxf>
        <font>
          <sz val="14"/>
          <name val="Times New Roman"/>
          <scheme val="none"/>
        </font>
      </dxf>
    </rfmt>
    <rcc rId="0" sId="12" dxf="1">
      <nc r="A266" t="inlineStr">
        <is>
          <t>Всего</t>
        </is>
      </nc>
      <ndxf>
        <font>
          <b/>
          <sz val="14"/>
          <color auto="1"/>
          <name val="Times New Roman"/>
          <scheme val="none"/>
        </font>
        <numFmt numFmtId="167" formatCode="#,##0.000\ _₽"/>
        <alignment horizontal="left" vertical="top" wrapText="1" readingOrder="0"/>
        <border outline="0">
          <left style="thin">
            <color indexed="64"/>
          </left>
          <right style="thin">
            <color indexed="64"/>
          </right>
          <top style="thin">
            <color indexed="64"/>
          </top>
          <bottom style="thin">
            <color indexed="64"/>
          </bottom>
        </border>
      </ndxf>
    </rcc>
    <rcc rId="0" sId="12" dxf="1">
      <nc r="B266">
        <f>B268+B269+B267+B270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C266">
        <f>C268+C269+C267+C270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D266">
        <f>D268+D269+D267+D270</f>
      </nc>
      <ndxf>
        <font>
          <b/>
          <sz val="14"/>
          <color auto="1"/>
          <name val="Times New Roman"/>
          <scheme val="none"/>
        </font>
        <numFmt numFmtId="168" formatCode="#,##0.00\ _₽"/>
        <alignment vertical="top" wrapText="1" readingOrder="0"/>
        <border outline="0">
          <left style="thin">
            <color indexed="64"/>
          </left>
          <right style="thin">
            <color indexed="64"/>
          </right>
          <top style="thin">
            <color indexed="64"/>
          </top>
          <bottom style="thin">
            <color indexed="64"/>
          </bottom>
        </border>
      </ndxf>
    </rcc>
    <rcc rId="0" sId="12" dxf="1">
      <nc r="E266">
        <f>E268+E269+E267+E270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F266">
        <f>IFERROR(E266/B266*100,0)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G266">
        <f>IFERROR(E266/C266*100,0)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H266">
        <f>H268+H269+H267+H270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I266">
        <f>I268+I269+I267+I270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J266">
        <f>J268+J269+J267+J270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K266">
        <f>K268+K269+K267+K270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L266">
        <f>L268+L269+L267+L270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M266">
        <f>M268+M269+M267+M270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N266">
        <f>N268+N269+N267+N270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O266">
        <f>O268+O269+O267+O270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P266">
        <f>P268+P269+P267+P270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Q266">
        <f>Q268+Q269+Q267+Q270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R266">
        <f>R268+R269+R267+R270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S266">
        <f>S268+S269+S267+S270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T266">
        <f>T268+T269+T267+T270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U266">
        <f>U268+U269+U267+U270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V266">
        <f>V268+V269+V267+V270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W266">
        <f>W268+W269+W267+W270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X266">
        <f>X268+X269+X267+X270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Y266">
        <f>Y268+Y269+Y267+Y270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Z266">
        <f>Z268+Z269+Z267+Z270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AA266">
        <f>AA268+AA269+AA267+AA270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AB266">
        <f>AB268+AB269+AB267+AB270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AC266">
        <f>AC268+AC269+AC267+AC270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AD266">
        <f>AD268+AD269+AD267+AD270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AE266">
        <f>AE268+AE269+AE267+AE270</f>
      </nc>
      <ndxf>
        <font>
          <b/>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fmt sheetId="12" sqref="AF266" start="0" length="0">
      <dxf>
        <border outline="0">
          <left style="thin">
            <color indexed="64"/>
          </left>
          <right style="thin">
            <color indexed="64"/>
          </right>
          <top style="thin">
            <color indexed="64"/>
          </top>
          <bottom style="thin">
            <color indexed="64"/>
          </bottom>
        </border>
      </dxf>
    </rfmt>
    <rcc rId="0" sId="12" dxf="1">
      <nc r="AG266">
        <f>B266-H266-J266-L266-N266-P266-R266-T266-V266-X266-Z266-AB266-AD266</f>
      </nc>
      <ndxf>
        <numFmt numFmtId="2" formatCode="0.00"/>
      </ndxf>
    </rcc>
  </rrc>
  <rrc rId="10680" sId="12" ref="A266:XFD266" action="deleteRow">
    <rfmt sheetId="12" xfDxf="1" sqref="A266:XFD266" start="0" length="0">
      <dxf>
        <font>
          <sz val="14"/>
          <name val="Times New Roman"/>
          <scheme val="none"/>
        </font>
      </dxf>
    </rfmt>
    <rcc rId="0" sId="12" dxf="1">
      <nc r="A266" t="inlineStr">
        <is>
          <t>федеральный бюджет</t>
        </is>
      </nc>
      <ndxf>
        <font>
          <sz val="14"/>
          <color auto="1"/>
          <name val="Times New Roman"/>
          <scheme val="none"/>
        </font>
        <numFmt numFmtId="167" formatCode="#,##0.000\ _₽"/>
        <alignment horizontal="left" vertical="top" wrapText="1" readingOrder="0"/>
        <border outline="0">
          <left style="thin">
            <color indexed="64"/>
          </left>
          <right style="thin">
            <color indexed="64"/>
          </right>
          <top style="thin">
            <color indexed="64"/>
          </top>
          <bottom style="thin">
            <color indexed="64"/>
          </bottom>
        </border>
      </ndxf>
    </rcc>
    <rcc rId="0" sId="12" dxf="1">
      <nc r="B266">
        <f>J266+L266+N266+P266+R266+T266+V266+X266+Z266+AB266+AD266+H266</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C266">
        <f>SUM(H266)</f>
      </nc>
      <n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ndxf>
    </rcc>
    <rcc rId="0" sId="12" dxf="1">
      <nc r="D266">
        <f>E266</f>
      </nc>
      <ndxf>
        <font>
          <sz val="14"/>
          <color auto="1"/>
          <name val="Times New Roman"/>
          <scheme val="none"/>
        </font>
        <numFmt numFmtId="169" formatCode="#,##0.00_ ;[Red]\-#,##0.00\ "/>
        <border outline="0">
          <left style="thin">
            <color indexed="64"/>
          </left>
          <right style="thin">
            <color indexed="64"/>
          </right>
          <top style="thin">
            <color indexed="64"/>
          </top>
          <bottom style="thin">
            <color indexed="64"/>
          </bottom>
        </border>
      </ndxf>
    </rcc>
    <rcc rId="0" sId="12" dxf="1">
      <nc r="E266">
        <f>SUM(I266,K266,M266,O266,Q266,S266,U266,W266,Y266,AA266,AC266,AE266)</f>
      </nc>
      <n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ndxf>
    </rcc>
    <rcc rId="0" sId="12" dxf="1">
      <nc r="F266">
        <f>IFERROR(E266/B266*100,0)</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G266">
        <f>IFERROR(E266/C266*100,0)</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fmt sheetId="12" sqref="H266" start="0" length="0">
      <dxf>
        <numFmt numFmtId="4" formatCode="#,##0.00"/>
        <border outline="0">
          <left style="thin">
            <color indexed="64"/>
          </left>
          <right style="thin">
            <color indexed="64"/>
          </right>
          <top style="thin">
            <color indexed="64"/>
          </top>
          <bottom style="thin">
            <color indexed="64"/>
          </bottom>
        </border>
      </dxf>
    </rfmt>
    <rfmt sheetId="12" sqref="I266" start="0" length="0">
      <dxf>
        <numFmt numFmtId="4" formatCode="#,##0.00"/>
        <border outline="0">
          <left style="thin">
            <color indexed="64"/>
          </left>
          <right style="thin">
            <color indexed="64"/>
          </right>
          <top style="thin">
            <color indexed="64"/>
          </top>
          <bottom style="thin">
            <color indexed="64"/>
          </bottom>
        </border>
      </dxf>
    </rfmt>
    <rfmt sheetId="12" sqref="J266" start="0" length="0">
      <dxf>
        <numFmt numFmtId="4" formatCode="#,##0.00"/>
        <border outline="0">
          <left style="thin">
            <color indexed="64"/>
          </left>
          <right style="thin">
            <color indexed="64"/>
          </right>
          <top style="thin">
            <color indexed="64"/>
          </top>
          <bottom style="thin">
            <color indexed="64"/>
          </bottom>
        </border>
      </dxf>
    </rfmt>
    <rfmt sheetId="12" sqref="K266" start="0" length="0">
      <dxf>
        <numFmt numFmtId="4" formatCode="#,##0.00"/>
        <border outline="0">
          <left style="thin">
            <color indexed="64"/>
          </left>
          <right style="thin">
            <color indexed="64"/>
          </right>
          <top style="thin">
            <color indexed="64"/>
          </top>
          <bottom style="thin">
            <color indexed="64"/>
          </bottom>
        </border>
      </dxf>
    </rfmt>
    <rfmt sheetId="12" sqref="L266" start="0" length="0">
      <dxf>
        <numFmt numFmtId="4" formatCode="#,##0.00"/>
        <border outline="0">
          <left style="thin">
            <color indexed="64"/>
          </left>
          <right style="thin">
            <color indexed="64"/>
          </right>
          <top style="thin">
            <color indexed="64"/>
          </top>
          <bottom style="thin">
            <color indexed="64"/>
          </bottom>
        </border>
      </dxf>
    </rfmt>
    <rfmt sheetId="12" sqref="M266" start="0" length="0">
      <dxf>
        <numFmt numFmtId="4" formatCode="#,##0.00"/>
        <border outline="0">
          <left style="thin">
            <color indexed="64"/>
          </left>
          <right style="thin">
            <color indexed="64"/>
          </right>
          <top style="thin">
            <color indexed="64"/>
          </top>
          <bottom style="thin">
            <color indexed="64"/>
          </bottom>
        </border>
      </dxf>
    </rfmt>
    <rfmt sheetId="12" sqref="N266" start="0" length="0">
      <dxf>
        <numFmt numFmtId="4" formatCode="#,##0.00"/>
        <border outline="0">
          <left style="thin">
            <color indexed="64"/>
          </left>
          <right style="thin">
            <color indexed="64"/>
          </right>
          <top style="thin">
            <color indexed="64"/>
          </top>
          <bottom style="thin">
            <color indexed="64"/>
          </bottom>
        </border>
      </dxf>
    </rfmt>
    <rfmt sheetId="12" sqref="O266" start="0" length="0">
      <dxf>
        <numFmt numFmtId="4" formatCode="#,##0.00"/>
        <border outline="0">
          <left style="thin">
            <color indexed="64"/>
          </left>
          <right style="thin">
            <color indexed="64"/>
          </right>
          <top style="thin">
            <color indexed="64"/>
          </top>
          <bottom style="thin">
            <color indexed="64"/>
          </bottom>
        </border>
      </dxf>
    </rfmt>
    <rfmt sheetId="12" sqref="P266" start="0" length="0">
      <dxf>
        <numFmt numFmtId="4" formatCode="#,##0.00"/>
        <border outline="0">
          <left style="thin">
            <color indexed="64"/>
          </left>
          <right style="thin">
            <color indexed="64"/>
          </right>
          <top style="thin">
            <color indexed="64"/>
          </top>
          <bottom style="thin">
            <color indexed="64"/>
          </bottom>
        </border>
      </dxf>
    </rfmt>
    <rfmt sheetId="12" sqref="Q266" start="0" length="0">
      <dxf>
        <numFmt numFmtId="4" formatCode="#,##0.00"/>
        <border outline="0">
          <left style="thin">
            <color indexed="64"/>
          </left>
          <right style="thin">
            <color indexed="64"/>
          </right>
          <top style="thin">
            <color indexed="64"/>
          </top>
          <bottom style="thin">
            <color indexed="64"/>
          </bottom>
        </border>
      </dxf>
    </rfmt>
    <rfmt sheetId="12" sqref="R266" start="0" length="0">
      <dxf>
        <numFmt numFmtId="4" formatCode="#,##0.00"/>
        <border outline="0">
          <left style="thin">
            <color indexed="64"/>
          </left>
          <right style="thin">
            <color indexed="64"/>
          </right>
          <top style="thin">
            <color indexed="64"/>
          </top>
          <bottom style="thin">
            <color indexed="64"/>
          </bottom>
        </border>
      </dxf>
    </rfmt>
    <rfmt sheetId="12" sqref="S266" start="0" length="0">
      <dxf>
        <numFmt numFmtId="4" formatCode="#,##0.00"/>
        <border outline="0">
          <left style="thin">
            <color indexed="64"/>
          </left>
          <right style="thin">
            <color indexed="64"/>
          </right>
          <top style="thin">
            <color indexed="64"/>
          </top>
          <bottom style="thin">
            <color indexed="64"/>
          </bottom>
        </border>
      </dxf>
    </rfmt>
    <rfmt sheetId="12" sqref="T266" start="0" length="0">
      <dxf>
        <numFmt numFmtId="4" formatCode="#,##0.00"/>
        <border outline="0">
          <left style="thin">
            <color indexed="64"/>
          </left>
          <right style="thin">
            <color indexed="64"/>
          </right>
          <top style="thin">
            <color indexed="64"/>
          </top>
          <bottom style="thin">
            <color indexed="64"/>
          </bottom>
        </border>
      </dxf>
    </rfmt>
    <rfmt sheetId="12" sqref="U266" start="0" length="0">
      <dxf>
        <numFmt numFmtId="4" formatCode="#,##0.00"/>
        <border outline="0">
          <left style="thin">
            <color indexed="64"/>
          </left>
          <right style="thin">
            <color indexed="64"/>
          </right>
          <top style="thin">
            <color indexed="64"/>
          </top>
          <bottom style="thin">
            <color indexed="64"/>
          </bottom>
        </border>
      </dxf>
    </rfmt>
    <rfmt sheetId="12" sqref="V266" start="0" length="0">
      <dxf>
        <numFmt numFmtId="4" formatCode="#,##0.00"/>
        <border outline="0">
          <left style="thin">
            <color indexed="64"/>
          </left>
          <right style="thin">
            <color indexed="64"/>
          </right>
          <top style="thin">
            <color indexed="64"/>
          </top>
          <bottom style="thin">
            <color indexed="64"/>
          </bottom>
        </border>
      </dxf>
    </rfmt>
    <rfmt sheetId="12" sqref="W266" start="0" length="0">
      <dxf>
        <numFmt numFmtId="4" formatCode="#,##0.00"/>
        <border outline="0">
          <left style="thin">
            <color indexed="64"/>
          </left>
          <right style="thin">
            <color indexed="64"/>
          </right>
          <top style="thin">
            <color indexed="64"/>
          </top>
          <bottom style="thin">
            <color indexed="64"/>
          </bottom>
        </border>
      </dxf>
    </rfmt>
    <rfmt sheetId="12" sqref="X266" start="0" length="0">
      <dxf>
        <numFmt numFmtId="4" formatCode="#,##0.00"/>
        <border outline="0">
          <left style="thin">
            <color indexed="64"/>
          </left>
          <right style="thin">
            <color indexed="64"/>
          </right>
          <top style="thin">
            <color indexed="64"/>
          </top>
          <bottom style="thin">
            <color indexed="64"/>
          </bottom>
        </border>
      </dxf>
    </rfmt>
    <rfmt sheetId="12" sqref="Y266" start="0" length="0">
      <dxf>
        <numFmt numFmtId="4" formatCode="#,##0.00"/>
        <border outline="0">
          <left style="thin">
            <color indexed="64"/>
          </left>
          <right style="thin">
            <color indexed="64"/>
          </right>
          <top style="thin">
            <color indexed="64"/>
          </top>
          <bottom style="thin">
            <color indexed="64"/>
          </bottom>
        </border>
      </dxf>
    </rfmt>
    <rfmt sheetId="12" sqref="Z266" start="0" length="0">
      <dxf>
        <numFmt numFmtId="4" formatCode="#,##0.00"/>
        <border outline="0">
          <left style="thin">
            <color indexed="64"/>
          </left>
          <right style="thin">
            <color indexed="64"/>
          </right>
          <top style="thin">
            <color indexed="64"/>
          </top>
          <bottom style="thin">
            <color indexed="64"/>
          </bottom>
        </border>
      </dxf>
    </rfmt>
    <rfmt sheetId="12" sqref="AA266" start="0" length="0">
      <dxf>
        <numFmt numFmtId="4" formatCode="#,##0.00"/>
        <border outline="0">
          <left style="thin">
            <color indexed="64"/>
          </left>
          <right style="thin">
            <color indexed="64"/>
          </right>
          <top style="thin">
            <color indexed="64"/>
          </top>
          <bottom style="thin">
            <color indexed="64"/>
          </bottom>
        </border>
      </dxf>
    </rfmt>
    <rfmt sheetId="12" sqref="AB266" start="0" length="0">
      <dxf>
        <numFmt numFmtId="4" formatCode="#,##0.00"/>
        <border outline="0">
          <left style="thin">
            <color indexed="64"/>
          </left>
          <right style="thin">
            <color indexed="64"/>
          </right>
          <top style="thin">
            <color indexed="64"/>
          </top>
          <bottom style="thin">
            <color indexed="64"/>
          </bottom>
        </border>
      </dxf>
    </rfmt>
    <rfmt sheetId="12" sqref="AC266" start="0" length="0">
      <dxf>
        <numFmt numFmtId="4" formatCode="#,##0.00"/>
        <border outline="0">
          <left style="thin">
            <color indexed="64"/>
          </left>
          <right style="thin">
            <color indexed="64"/>
          </right>
          <top style="thin">
            <color indexed="64"/>
          </top>
          <bottom style="thin">
            <color indexed="64"/>
          </bottom>
        </border>
      </dxf>
    </rfmt>
    <rfmt sheetId="12" sqref="AD266" start="0" length="0">
      <dxf>
        <numFmt numFmtId="4" formatCode="#,##0.00"/>
        <border outline="0">
          <left style="thin">
            <color indexed="64"/>
          </left>
          <right style="thin">
            <color indexed="64"/>
          </right>
          <top style="thin">
            <color indexed="64"/>
          </top>
          <bottom style="thin">
            <color indexed="64"/>
          </bottom>
        </border>
      </dxf>
    </rfmt>
    <rfmt sheetId="12" sqref="AE266" start="0" length="0">
      <dxf>
        <numFmt numFmtId="4" formatCode="#,##0.00"/>
        <border outline="0">
          <left style="thin">
            <color indexed="64"/>
          </left>
          <right style="thin">
            <color indexed="64"/>
          </right>
          <top style="thin">
            <color indexed="64"/>
          </top>
          <bottom style="thin">
            <color indexed="64"/>
          </bottom>
        </border>
      </dxf>
    </rfmt>
    <rfmt sheetId="12" sqref="AF266" start="0" length="0">
      <dxf>
        <border outline="0">
          <left style="thin">
            <color indexed="64"/>
          </left>
          <right style="thin">
            <color indexed="64"/>
          </right>
          <top style="thin">
            <color indexed="64"/>
          </top>
          <bottom style="thin">
            <color indexed="64"/>
          </bottom>
        </border>
      </dxf>
    </rfmt>
    <rcc rId="0" sId="12" dxf="1">
      <nc r="AG266">
        <f>B266-H266-J266-L266-N266-P266-R266-T266-V266-X266-Z266-AB266-AD266</f>
      </nc>
      <ndxf>
        <numFmt numFmtId="2" formatCode="0.00"/>
      </ndxf>
    </rcc>
  </rrc>
  <rrc rId="10681" sId="12" ref="A266:XFD266" action="deleteRow">
    <rfmt sheetId="12" xfDxf="1" sqref="A266:XFD266" start="0" length="0">
      <dxf>
        <font>
          <sz val="14"/>
          <name val="Times New Roman"/>
          <scheme val="none"/>
        </font>
      </dxf>
    </rfmt>
    <rcc rId="0" sId="12" dxf="1">
      <nc r="A266" t="inlineStr">
        <is>
          <t>бюджет автономного округа</t>
        </is>
      </nc>
      <ndxf>
        <font>
          <sz val="14"/>
          <color auto="1"/>
          <name val="Times New Roman"/>
          <scheme val="none"/>
        </font>
        <numFmt numFmtId="167" formatCode="#,##0.000\ _₽"/>
        <alignment horizontal="left" vertical="top" wrapText="1" readingOrder="0"/>
        <border outline="0">
          <left style="thin">
            <color indexed="64"/>
          </left>
          <right style="thin">
            <color indexed="64"/>
          </right>
          <top style="thin">
            <color indexed="64"/>
          </top>
          <bottom style="thin">
            <color indexed="64"/>
          </bottom>
        </border>
      </ndxf>
    </rcc>
    <rcc rId="0" sId="12" dxf="1">
      <nc r="B266">
        <f>J266+L266+N266+P266+R266+T266+V266+X266+Z266+AB266+AD266+H266</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C266">
        <f>SUM(H266)</f>
      </nc>
      <n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ndxf>
    </rcc>
    <rcc rId="0" sId="12" dxf="1">
      <nc r="D266">
        <f>E266</f>
      </nc>
      <ndxf>
        <font>
          <sz val="14"/>
          <color auto="1"/>
          <name val="Times New Roman"/>
          <scheme val="none"/>
        </font>
        <numFmt numFmtId="169" formatCode="#,##0.00_ ;[Red]\-#,##0.00\ "/>
        <border outline="0">
          <left style="thin">
            <color indexed="64"/>
          </left>
          <right style="thin">
            <color indexed="64"/>
          </right>
          <top style="thin">
            <color indexed="64"/>
          </top>
          <bottom style="thin">
            <color indexed="64"/>
          </bottom>
        </border>
      </ndxf>
    </rcc>
    <rcc rId="0" sId="12" dxf="1">
      <nc r="E266">
        <f>SUM(I266,K266,M266,O266,Q266,S266,U266,W266,Y266,AA266,AC266,AE266)</f>
      </nc>
      <n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ndxf>
    </rcc>
    <rcc rId="0" sId="12" dxf="1">
      <nc r="F266">
        <f>IFERROR(E266/B266*100,0)</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G266">
        <f>IFERROR(E266/C266*100,0)</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fmt sheetId="12" sqref="H266" start="0" length="0">
      <dxf>
        <numFmt numFmtId="4" formatCode="#,##0.00"/>
        <border outline="0">
          <left style="thin">
            <color indexed="64"/>
          </left>
          <right style="thin">
            <color indexed="64"/>
          </right>
          <top style="thin">
            <color indexed="64"/>
          </top>
          <bottom style="thin">
            <color indexed="64"/>
          </bottom>
        </border>
      </dxf>
    </rfmt>
    <rfmt sheetId="12" sqref="I266" start="0" length="0">
      <dxf>
        <numFmt numFmtId="4" formatCode="#,##0.00"/>
        <border outline="0">
          <left style="thin">
            <color indexed="64"/>
          </left>
          <right style="thin">
            <color indexed="64"/>
          </right>
          <top style="thin">
            <color indexed="64"/>
          </top>
          <bottom style="thin">
            <color indexed="64"/>
          </bottom>
        </border>
      </dxf>
    </rfmt>
    <rfmt sheetId="12" sqref="J266" start="0" length="0">
      <dxf>
        <numFmt numFmtId="4" formatCode="#,##0.00"/>
        <border outline="0">
          <left style="thin">
            <color indexed="64"/>
          </left>
          <right style="thin">
            <color indexed="64"/>
          </right>
          <top style="thin">
            <color indexed="64"/>
          </top>
          <bottom style="thin">
            <color indexed="64"/>
          </bottom>
        </border>
      </dxf>
    </rfmt>
    <rfmt sheetId="12" sqref="K266" start="0" length="0">
      <dxf>
        <numFmt numFmtId="4" formatCode="#,##0.00"/>
        <border outline="0">
          <left style="thin">
            <color indexed="64"/>
          </left>
          <right style="thin">
            <color indexed="64"/>
          </right>
          <top style="thin">
            <color indexed="64"/>
          </top>
          <bottom style="thin">
            <color indexed="64"/>
          </bottom>
        </border>
      </dxf>
    </rfmt>
    <rfmt sheetId="12" sqref="L266" start="0" length="0">
      <dxf>
        <numFmt numFmtId="4" formatCode="#,##0.00"/>
        <border outline="0">
          <left style="thin">
            <color indexed="64"/>
          </left>
          <right style="thin">
            <color indexed="64"/>
          </right>
          <top style="thin">
            <color indexed="64"/>
          </top>
          <bottom style="thin">
            <color indexed="64"/>
          </bottom>
        </border>
      </dxf>
    </rfmt>
    <rfmt sheetId="12" sqref="M266" start="0" length="0">
      <dxf>
        <numFmt numFmtId="4" formatCode="#,##0.00"/>
        <border outline="0">
          <left style="thin">
            <color indexed="64"/>
          </left>
          <right style="thin">
            <color indexed="64"/>
          </right>
          <top style="thin">
            <color indexed="64"/>
          </top>
          <bottom style="thin">
            <color indexed="64"/>
          </bottom>
        </border>
      </dxf>
    </rfmt>
    <rfmt sheetId="12" sqref="N266" start="0" length="0">
      <dxf>
        <numFmt numFmtId="4" formatCode="#,##0.00"/>
        <border outline="0">
          <left style="thin">
            <color indexed="64"/>
          </left>
          <right style="thin">
            <color indexed="64"/>
          </right>
          <top style="thin">
            <color indexed="64"/>
          </top>
          <bottom style="thin">
            <color indexed="64"/>
          </bottom>
        </border>
      </dxf>
    </rfmt>
    <rfmt sheetId="12" sqref="O266" start="0" length="0">
      <dxf>
        <numFmt numFmtId="4" formatCode="#,##0.00"/>
        <border outline="0">
          <left style="thin">
            <color indexed="64"/>
          </left>
          <right style="thin">
            <color indexed="64"/>
          </right>
          <top style="thin">
            <color indexed="64"/>
          </top>
          <bottom style="thin">
            <color indexed="64"/>
          </bottom>
        </border>
      </dxf>
    </rfmt>
    <rfmt sheetId="12" sqref="P266" start="0" length="0">
      <dxf>
        <numFmt numFmtId="4" formatCode="#,##0.00"/>
        <border outline="0">
          <left style="thin">
            <color indexed="64"/>
          </left>
          <right style="thin">
            <color indexed="64"/>
          </right>
          <top style="thin">
            <color indexed="64"/>
          </top>
          <bottom style="thin">
            <color indexed="64"/>
          </bottom>
        </border>
      </dxf>
    </rfmt>
    <rfmt sheetId="12" sqref="Q266" start="0" length="0">
      <dxf>
        <numFmt numFmtId="4" formatCode="#,##0.00"/>
        <border outline="0">
          <left style="thin">
            <color indexed="64"/>
          </left>
          <right style="thin">
            <color indexed="64"/>
          </right>
          <top style="thin">
            <color indexed="64"/>
          </top>
          <bottom style="thin">
            <color indexed="64"/>
          </bottom>
        </border>
      </dxf>
    </rfmt>
    <rfmt sheetId="12" sqref="R266" start="0" length="0">
      <dxf>
        <numFmt numFmtId="4" formatCode="#,##0.00"/>
        <border outline="0">
          <left style="thin">
            <color indexed="64"/>
          </left>
          <right style="thin">
            <color indexed="64"/>
          </right>
          <top style="thin">
            <color indexed="64"/>
          </top>
          <bottom style="thin">
            <color indexed="64"/>
          </bottom>
        </border>
      </dxf>
    </rfmt>
    <rfmt sheetId="12" sqref="S266" start="0" length="0">
      <dxf>
        <numFmt numFmtId="4" formatCode="#,##0.00"/>
        <border outline="0">
          <left style="thin">
            <color indexed="64"/>
          </left>
          <right style="thin">
            <color indexed="64"/>
          </right>
          <top style="thin">
            <color indexed="64"/>
          </top>
          <bottom style="thin">
            <color indexed="64"/>
          </bottom>
        </border>
      </dxf>
    </rfmt>
    <rfmt sheetId="12" sqref="T266" start="0" length="0">
      <dxf>
        <numFmt numFmtId="4" formatCode="#,##0.00"/>
        <border outline="0">
          <left style="thin">
            <color indexed="64"/>
          </left>
          <right style="thin">
            <color indexed="64"/>
          </right>
          <top style="thin">
            <color indexed="64"/>
          </top>
          <bottom style="thin">
            <color indexed="64"/>
          </bottom>
        </border>
      </dxf>
    </rfmt>
    <rfmt sheetId="12" sqref="U266" start="0" length="0">
      <dxf>
        <numFmt numFmtId="4" formatCode="#,##0.00"/>
        <border outline="0">
          <left style="thin">
            <color indexed="64"/>
          </left>
          <right style="thin">
            <color indexed="64"/>
          </right>
          <top style="thin">
            <color indexed="64"/>
          </top>
          <bottom style="thin">
            <color indexed="64"/>
          </bottom>
        </border>
      </dxf>
    </rfmt>
    <rfmt sheetId="12" sqref="V266" start="0" length="0">
      <dxf>
        <numFmt numFmtId="4" formatCode="#,##0.00"/>
        <border outline="0">
          <left style="thin">
            <color indexed="64"/>
          </left>
          <right style="thin">
            <color indexed="64"/>
          </right>
          <top style="thin">
            <color indexed="64"/>
          </top>
          <bottom style="thin">
            <color indexed="64"/>
          </bottom>
        </border>
      </dxf>
    </rfmt>
    <rfmt sheetId="12" sqref="W266" start="0" length="0">
      <dxf>
        <numFmt numFmtId="4" formatCode="#,##0.00"/>
        <border outline="0">
          <left style="thin">
            <color indexed="64"/>
          </left>
          <right style="thin">
            <color indexed="64"/>
          </right>
          <top style="thin">
            <color indexed="64"/>
          </top>
          <bottom style="thin">
            <color indexed="64"/>
          </bottom>
        </border>
      </dxf>
    </rfmt>
    <rfmt sheetId="12" sqref="X266" start="0" length="0">
      <dxf>
        <numFmt numFmtId="4" formatCode="#,##0.00"/>
        <border outline="0">
          <left style="thin">
            <color indexed="64"/>
          </left>
          <right style="thin">
            <color indexed="64"/>
          </right>
          <top style="thin">
            <color indexed="64"/>
          </top>
          <bottom style="thin">
            <color indexed="64"/>
          </bottom>
        </border>
      </dxf>
    </rfmt>
    <rfmt sheetId="12" sqref="Y266" start="0" length="0">
      <dxf>
        <numFmt numFmtId="4" formatCode="#,##0.00"/>
        <border outline="0">
          <left style="thin">
            <color indexed="64"/>
          </left>
          <right style="thin">
            <color indexed="64"/>
          </right>
          <top style="thin">
            <color indexed="64"/>
          </top>
          <bottom style="thin">
            <color indexed="64"/>
          </bottom>
        </border>
      </dxf>
    </rfmt>
    <rfmt sheetId="12" sqref="Z266" start="0" length="0">
      <dxf>
        <numFmt numFmtId="4" formatCode="#,##0.00"/>
        <border outline="0">
          <left style="thin">
            <color indexed="64"/>
          </left>
          <right style="thin">
            <color indexed="64"/>
          </right>
          <top style="thin">
            <color indexed="64"/>
          </top>
          <bottom style="thin">
            <color indexed="64"/>
          </bottom>
        </border>
      </dxf>
    </rfmt>
    <rfmt sheetId="12" sqref="AA266" start="0" length="0">
      <dxf>
        <numFmt numFmtId="4" formatCode="#,##0.00"/>
        <border outline="0">
          <left style="thin">
            <color indexed="64"/>
          </left>
          <right style="thin">
            <color indexed="64"/>
          </right>
          <top style="thin">
            <color indexed="64"/>
          </top>
          <bottom style="thin">
            <color indexed="64"/>
          </bottom>
        </border>
      </dxf>
    </rfmt>
    <rfmt sheetId="12" sqref="AB266" start="0" length="0">
      <dxf>
        <numFmt numFmtId="4" formatCode="#,##0.00"/>
        <border outline="0">
          <left style="thin">
            <color indexed="64"/>
          </left>
          <right style="thin">
            <color indexed="64"/>
          </right>
          <top style="thin">
            <color indexed="64"/>
          </top>
          <bottom style="thin">
            <color indexed="64"/>
          </bottom>
        </border>
      </dxf>
    </rfmt>
    <rfmt sheetId="12" sqref="AC266" start="0" length="0">
      <dxf>
        <numFmt numFmtId="4" formatCode="#,##0.00"/>
        <border outline="0">
          <left style="thin">
            <color indexed="64"/>
          </left>
          <right style="thin">
            <color indexed="64"/>
          </right>
          <top style="thin">
            <color indexed="64"/>
          </top>
          <bottom style="thin">
            <color indexed="64"/>
          </bottom>
        </border>
      </dxf>
    </rfmt>
    <rfmt sheetId="12" sqref="AD266" start="0" length="0">
      <dxf>
        <numFmt numFmtId="4" formatCode="#,##0.00"/>
        <border outline="0">
          <left style="thin">
            <color indexed="64"/>
          </left>
          <right style="thin">
            <color indexed="64"/>
          </right>
          <top style="thin">
            <color indexed="64"/>
          </top>
          <bottom style="thin">
            <color indexed="64"/>
          </bottom>
        </border>
      </dxf>
    </rfmt>
    <rfmt sheetId="12" sqref="AE266" start="0" length="0">
      <dxf>
        <numFmt numFmtId="4" formatCode="#,##0.00"/>
        <border outline="0">
          <left style="thin">
            <color indexed="64"/>
          </left>
          <right style="thin">
            <color indexed="64"/>
          </right>
          <top style="thin">
            <color indexed="64"/>
          </top>
          <bottom style="thin">
            <color indexed="64"/>
          </bottom>
        </border>
      </dxf>
    </rfmt>
    <rfmt sheetId="12" sqref="AF266" start="0" length="0">
      <dxf>
        <border outline="0">
          <left style="thin">
            <color indexed="64"/>
          </left>
          <right style="thin">
            <color indexed="64"/>
          </right>
          <top style="thin">
            <color indexed="64"/>
          </top>
          <bottom style="thin">
            <color indexed="64"/>
          </bottom>
        </border>
      </dxf>
    </rfmt>
    <rcc rId="0" sId="12" dxf="1">
      <nc r="AG266">
        <f>B266-H266-J266-L266-N266-P266-R266-T266-V266-X266-Z266-AB266-AD266</f>
      </nc>
      <ndxf>
        <numFmt numFmtId="2" formatCode="0.00"/>
      </ndxf>
    </rcc>
  </rrc>
  <rrc rId="10682" sId="12" ref="A266:XFD266" action="deleteRow">
    <undo index="1" exp="ref" v="1" dr="AD266" r="AD258" sId="12"/>
    <rfmt sheetId="12" xfDxf="1" sqref="A266:XFD266" start="0" length="0">
      <dxf>
        <font>
          <sz val="14"/>
          <name val="Times New Roman"/>
          <scheme val="none"/>
        </font>
      </dxf>
    </rfmt>
    <rcc rId="0" sId="12" dxf="1">
      <nc r="A266" t="inlineStr">
        <is>
          <t>бюджет города Когалыма</t>
        </is>
      </nc>
      <ndxf>
        <font>
          <sz val="14"/>
          <color auto="1"/>
          <name val="Times New Roman"/>
          <scheme val="none"/>
        </font>
        <numFmt numFmtId="167" formatCode="#,##0.000\ _₽"/>
        <alignment horizontal="left" vertical="top" wrapText="1" readingOrder="0"/>
        <border outline="0">
          <left style="thin">
            <color indexed="64"/>
          </left>
          <right style="thin">
            <color indexed="64"/>
          </right>
          <top style="thin">
            <color indexed="64"/>
          </top>
          <bottom style="thin">
            <color indexed="64"/>
          </bottom>
        </border>
      </ndxf>
    </rcc>
    <rcc rId="0" sId="12" dxf="1">
      <nc r="B266">
        <f>J266+L266+N266+P266+R266+T266+V266+X266+Z266+AB266+AD266+H266</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C266">
        <f>SUM(H266)</f>
      </nc>
      <n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ndxf>
    </rcc>
    <rcc rId="0" sId="12" dxf="1">
      <nc r="D266">
        <f>E266</f>
      </nc>
      <ndxf>
        <font>
          <sz val="14"/>
          <color auto="1"/>
          <name val="Times New Roman"/>
          <scheme val="none"/>
        </font>
        <numFmt numFmtId="169" formatCode="#,##0.00_ ;[Red]\-#,##0.00\ "/>
        <border outline="0">
          <left style="thin">
            <color indexed="64"/>
          </left>
          <right style="thin">
            <color indexed="64"/>
          </right>
          <top style="thin">
            <color indexed="64"/>
          </top>
          <bottom style="thin">
            <color indexed="64"/>
          </bottom>
        </border>
      </ndxf>
    </rcc>
    <rcc rId="0" sId="12" dxf="1">
      <nc r="E266">
        <f>SUM(I266,K266,M266,O266,Q266,S266,U266,W266,Y266,AA266,AC266,AE266)</f>
      </nc>
      <n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ndxf>
    </rcc>
    <rcc rId="0" sId="12" dxf="1">
      <nc r="F266">
        <f>IFERROR(E266/B266*100,0)</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cc rId="0" sId="12" dxf="1">
      <nc r="G266">
        <f>IFERROR(E266/C266*100,0)</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fmt sheetId="12" sqref="H266" start="0" length="0">
      <dxf>
        <numFmt numFmtId="4" formatCode="#,##0.00"/>
        <border outline="0">
          <left style="thin">
            <color indexed="64"/>
          </left>
          <right style="thin">
            <color indexed="64"/>
          </right>
          <top style="thin">
            <color indexed="64"/>
          </top>
          <bottom style="thin">
            <color indexed="64"/>
          </bottom>
        </border>
      </dxf>
    </rfmt>
    <rfmt sheetId="12" sqref="I266" start="0" length="0">
      <dxf>
        <numFmt numFmtId="4" formatCode="#,##0.00"/>
        <border outline="0">
          <left style="thin">
            <color indexed="64"/>
          </left>
          <right style="thin">
            <color indexed="64"/>
          </right>
          <top style="thin">
            <color indexed="64"/>
          </top>
          <bottom style="thin">
            <color indexed="64"/>
          </bottom>
        </border>
      </dxf>
    </rfmt>
    <rfmt sheetId="12" sqref="J266" start="0" length="0">
      <dxf>
        <numFmt numFmtId="4" formatCode="#,##0.00"/>
        <border outline="0">
          <left style="thin">
            <color indexed="64"/>
          </left>
          <right style="thin">
            <color indexed="64"/>
          </right>
          <top style="thin">
            <color indexed="64"/>
          </top>
          <bottom style="thin">
            <color indexed="64"/>
          </bottom>
        </border>
      </dxf>
    </rfmt>
    <rfmt sheetId="12" sqref="K266" start="0" length="0">
      <dxf>
        <numFmt numFmtId="4" formatCode="#,##0.00"/>
        <border outline="0">
          <left style="thin">
            <color indexed="64"/>
          </left>
          <right style="thin">
            <color indexed="64"/>
          </right>
          <top style="thin">
            <color indexed="64"/>
          </top>
          <bottom style="thin">
            <color indexed="64"/>
          </bottom>
        </border>
      </dxf>
    </rfmt>
    <rfmt sheetId="12" sqref="L266" start="0" length="0">
      <dxf>
        <numFmt numFmtId="4" formatCode="#,##0.00"/>
        <border outline="0">
          <left style="thin">
            <color indexed="64"/>
          </left>
          <right style="thin">
            <color indexed="64"/>
          </right>
          <top style="thin">
            <color indexed="64"/>
          </top>
          <bottom style="thin">
            <color indexed="64"/>
          </bottom>
        </border>
      </dxf>
    </rfmt>
    <rfmt sheetId="12" sqref="M266" start="0" length="0">
      <dxf>
        <numFmt numFmtId="4" formatCode="#,##0.00"/>
        <border outline="0">
          <left style="thin">
            <color indexed="64"/>
          </left>
          <right style="thin">
            <color indexed="64"/>
          </right>
          <top style="thin">
            <color indexed="64"/>
          </top>
          <bottom style="thin">
            <color indexed="64"/>
          </bottom>
        </border>
      </dxf>
    </rfmt>
    <rfmt sheetId="12" sqref="N266" start="0" length="0">
      <dxf>
        <numFmt numFmtId="4" formatCode="#,##0.00"/>
        <border outline="0">
          <left style="thin">
            <color indexed="64"/>
          </left>
          <right style="thin">
            <color indexed="64"/>
          </right>
          <top style="thin">
            <color indexed="64"/>
          </top>
          <bottom style="thin">
            <color indexed="64"/>
          </bottom>
        </border>
      </dxf>
    </rfmt>
    <rfmt sheetId="12" sqref="O266" start="0" length="0">
      <dxf>
        <numFmt numFmtId="4" formatCode="#,##0.00"/>
        <border outline="0">
          <left style="thin">
            <color indexed="64"/>
          </left>
          <right style="thin">
            <color indexed="64"/>
          </right>
          <top style="thin">
            <color indexed="64"/>
          </top>
          <bottom style="thin">
            <color indexed="64"/>
          </bottom>
        </border>
      </dxf>
    </rfmt>
    <rfmt sheetId="12" sqref="P266" start="0" length="0">
      <dxf>
        <numFmt numFmtId="4" formatCode="#,##0.00"/>
        <border outline="0">
          <left style="thin">
            <color indexed="64"/>
          </left>
          <right style="thin">
            <color indexed="64"/>
          </right>
          <top style="thin">
            <color indexed="64"/>
          </top>
          <bottom style="thin">
            <color indexed="64"/>
          </bottom>
        </border>
      </dxf>
    </rfmt>
    <rfmt sheetId="12" sqref="Q266" start="0" length="0">
      <dxf>
        <numFmt numFmtId="4" formatCode="#,##0.00"/>
        <border outline="0">
          <left style="thin">
            <color indexed="64"/>
          </left>
          <right style="thin">
            <color indexed="64"/>
          </right>
          <top style="thin">
            <color indexed="64"/>
          </top>
          <bottom style="thin">
            <color indexed="64"/>
          </bottom>
        </border>
      </dxf>
    </rfmt>
    <rfmt sheetId="12" sqref="R266" start="0" length="0">
      <dxf>
        <numFmt numFmtId="4" formatCode="#,##0.00"/>
        <border outline="0">
          <left style="thin">
            <color indexed="64"/>
          </left>
          <right style="thin">
            <color indexed="64"/>
          </right>
          <top style="thin">
            <color indexed="64"/>
          </top>
          <bottom style="thin">
            <color indexed="64"/>
          </bottom>
        </border>
      </dxf>
    </rfmt>
    <rfmt sheetId="12" sqref="S266" start="0" length="0">
      <dxf>
        <numFmt numFmtId="4" formatCode="#,##0.00"/>
        <border outline="0">
          <left style="thin">
            <color indexed="64"/>
          </left>
          <right style="thin">
            <color indexed="64"/>
          </right>
          <top style="thin">
            <color indexed="64"/>
          </top>
          <bottom style="thin">
            <color indexed="64"/>
          </bottom>
        </border>
      </dxf>
    </rfmt>
    <rfmt sheetId="12" sqref="T266" start="0" length="0">
      <dxf>
        <numFmt numFmtId="4" formatCode="#,##0.00"/>
        <border outline="0">
          <left style="thin">
            <color indexed="64"/>
          </left>
          <right style="thin">
            <color indexed="64"/>
          </right>
          <top style="thin">
            <color indexed="64"/>
          </top>
          <bottom style="thin">
            <color indexed="64"/>
          </bottom>
        </border>
      </dxf>
    </rfmt>
    <rfmt sheetId="12" sqref="U266" start="0" length="0">
      <dxf>
        <numFmt numFmtId="4" formatCode="#,##0.00"/>
        <border outline="0">
          <left style="thin">
            <color indexed="64"/>
          </left>
          <right style="thin">
            <color indexed="64"/>
          </right>
          <top style="thin">
            <color indexed="64"/>
          </top>
          <bottom style="thin">
            <color indexed="64"/>
          </bottom>
        </border>
      </dxf>
    </rfmt>
    <rfmt sheetId="12" sqref="V266" start="0" length="0">
      <dxf>
        <numFmt numFmtId="4" formatCode="#,##0.00"/>
        <border outline="0">
          <left style="thin">
            <color indexed="64"/>
          </left>
          <right style="thin">
            <color indexed="64"/>
          </right>
          <top style="thin">
            <color indexed="64"/>
          </top>
          <bottom style="thin">
            <color indexed="64"/>
          </bottom>
        </border>
      </dxf>
    </rfmt>
    <rfmt sheetId="12" sqref="W266" start="0" length="0">
      <dxf>
        <numFmt numFmtId="4" formatCode="#,##0.00"/>
        <border outline="0">
          <left style="thin">
            <color indexed="64"/>
          </left>
          <right style="thin">
            <color indexed="64"/>
          </right>
          <top style="thin">
            <color indexed="64"/>
          </top>
          <bottom style="thin">
            <color indexed="64"/>
          </bottom>
        </border>
      </dxf>
    </rfmt>
    <rfmt sheetId="12" sqref="X266" start="0" length="0">
      <dxf>
        <numFmt numFmtId="4" formatCode="#,##0.00"/>
        <border outline="0">
          <left style="thin">
            <color indexed="64"/>
          </left>
          <right style="thin">
            <color indexed="64"/>
          </right>
          <top style="thin">
            <color indexed="64"/>
          </top>
          <bottom style="thin">
            <color indexed="64"/>
          </bottom>
        </border>
      </dxf>
    </rfmt>
    <rfmt sheetId="12" sqref="Y266" start="0" length="0">
      <dxf>
        <numFmt numFmtId="4" formatCode="#,##0.00"/>
        <border outline="0">
          <left style="thin">
            <color indexed="64"/>
          </left>
          <right style="thin">
            <color indexed="64"/>
          </right>
          <top style="thin">
            <color indexed="64"/>
          </top>
          <bottom style="thin">
            <color indexed="64"/>
          </bottom>
        </border>
      </dxf>
    </rfmt>
    <rfmt sheetId="12" sqref="Z266" start="0" length="0">
      <dxf>
        <numFmt numFmtId="4" formatCode="#,##0.00"/>
        <border outline="0">
          <left style="thin">
            <color indexed="64"/>
          </left>
          <right style="thin">
            <color indexed="64"/>
          </right>
          <top style="thin">
            <color indexed="64"/>
          </top>
          <bottom style="thin">
            <color indexed="64"/>
          </bottom>
        </border>
      </dxf>
    </rfmt>
    <rfmt sheetId="12" sqref="AA266" start="0" length="0">
      <dxf>
        <numFmt numFmtId="4" formatCode="#,##0.00"/>
        <border outline="0">
          <left style="thin">
            <color indexed="64"/>
          </left>
          <right style="thin">
            <color indexed="64"/>
          </right>
          <top style="thin">
            <color indexed="64"/>
          </top>
          <bottom style="thin">
            <color indexed="64"/>
          </bottom>
        </border>
      </dxf>
    </rfmt>
    <rfmt sheetId="12" sqref="AB266" start="0" length="0">
      <dxf>
        <numFmt numFmtId="4" formatCode="#,##0.00"/>
        <border outline="0">
          <left style="thin">
            <color indexed="64"/>
          </left>
          <right style="thin">
            <color indexed="64"/>
          </right>
          <top style="thin">
            <color indexed="64"/>
          </top>
          <bottom style="thin">
            <color indexed="64"/>
          </bottom>
        </border>
      </dxf>
    </rfmt>
    <rfmt sheetId="12" sqref="AC266" start="0" length="0">
      <dxf>
        <numFmt numFmtId="4" formatCode="#,##0.00"/>
        <border outline="0">
          <left style="thin">
            <color indexed="64"/>
          </left>
          <right style="thin">
            <color indexed="64"/>
          </right>
          <top style="thin">
            <color indexed="64"/>
          </top>
          <bottom style="thin">
            <color indexed="64"/>
          </bottom>
        </border>
      </dxf>
    </rfmt>
    <rcc rId="0" sId="12" dxf="1" numFmtId="4">
      <nc r="AD266">
        <v>4386.1000000000004</v>
      </nc>
      <ndxf>
        <numFmt numFmtId="4" formatCode="#,##0.00"/>
        <border outline="0">
          <left style="thin">
            <color indexed="64"/>
          </left>
          <right style="thin">
            <color indexed="64"/>
          </right>
          <top style="thin">
            <color indexed="64"/>
          </top>
          <bottom style="thin">
            <color indexed="64"/>
          </bottom>
        </border>
      </ndxf>
    </rcc>
    <rfmt sheetId="12" sqref="AE266" start="0" length="0">
      <dxf>
        <numFmt numFmtId="4" formatCode="#,##0.00"/>
        <border outline="0">
          <left style="thin">
            <color indexed="64"/>
          </left>
          <right style="thin">
            <color indexed="64"/>
          </right>
          <top style="thin">
            <color indexed="64"/>
          </top>
          <bottom style="thin">
            <color indexed="64"/>
          </bottom>
        </border>
      </dxf>
    </rfmt>
    <rfmt sheetId="12" sqref="AF266" start="0" length="0">
      <dxf>
        <border outline="0">
          <left style="thin">
            <color indexed="64"/>
          </left>
          <right style="thin">
            <color indexed="64"/>
          </right>
          <top style="thin">
            <color indexed="64"/>
          </top>
          <bottom style="thin">
            <color indexed="64"/>
          </bottom>
        </border>
      </dxf>
    </rfmt>
    <rcc rId="0" sId="12" dxf="1">
      <nc r="AG266">
        <f>B266-H266-J266-L266-N266-P266-R266-T266-V266-X266-Z266-AB266-AD266</f>
      </nc>
      <ndxf>
        <numFmt numFmtId="2" formatCode="0.00"/>
      </ndxf>
    </rcc>
  </rrc>
  <rrc rId="10683" sId="12" ref="A266:XFD266" action="deleteRow">
    <rfmt sheetId="12" xfDxf="1" sqref="A266:XFD266" start="0" length="0">
      <dxf>
        <font>
          <sz val="14"/>
          <name val="Times New Roman"/>
          <scheme val="none"/>
        </font>
      </dxf>
    </rfmt>
    <rcc rId="0" sId="12" dxf="1">
      <nc r="A266" t="inlineStr">
        <is>
          <t>привлеченные средства</t>
        </is>
      </nc>
      <ndxf>
        <font>
          <sz val="14"/>
          <color auto="1"/>
          <name val="Times New Roman"/>
          <scheme val="none"/>
        </font>
        <numFmt numFmtId="167" formatCode="#,##0.000\ _₽"/>
        <alignment horizontal="left" vertical="top" wrapText="1" readingOrder="0"/>
        <border outline="0">
          <left style="thin">
            <color indexed="64"/>
          </left>
          <right style="thin">
            <color indexed="64"/>
          </right>
          <top style="thin">
            <color indexed="64"/>
          </top>
          <bottom style="thin">
            <color indexed="64"/>
          </bottom>
        </border>
      </ndxf>
    </rcc>
    <rcc rId="0" sId="12" dxf="1">
      <nc r="B266">
        <f>J266+L266+N266+P266+R266+T266+V266+X266+Z266+AB266+AD266+H266</f>
      </nc>
      <n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ndxf>
    </rcc>
    <rfmt sheetId="12" sqref="C266" start="0" length="0">
      <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dxf>
    </rfmt>
    <rfmt sheetId="12" sqref="D266" start="0" length="0">
      <dxf>
        <font>
          <sz val="14"/>
          <color auto="1"/>
          <name val="Times New Roman"/>
          <scheme val="none"/>
        </font>
        <numFmt numFmtId="169" formatCode="#,##0.00_ ;[Red]\-#,##0.00\ "/>
        <border outline="0">
          <left style="thin">
            <color indexed="64"/>
          </left>
          <right style="thin">
            <color indexed="64"/>
          </right>
          <top style="thin">
            <color indexed="64"/>
          </top>
          <bottom style="thin">
            <color indexed="64"/>
          </bottom>
        </border>
      </dxf>
    </rfmt>
    <rfmt sheetId="12" sqref="E266" start="0" length="0">
      <dxf>
        <font>
          <sz val="14"/>
          <color auto="1"/>
          <name val="Times New Roman"/>
          <scheme val="none"/>
        </font>
        <numFmt numFmtId="169" formatCode="#,##0.00_ ;[Red]\-#,##0.00\ "/>
        <alignment horizontal="right" vertical="top" readingOrder="0"/>
        <border outline="0">
          <left style="thin">
            <color indexed="64"/>
          </left>
          <right style="thin">
            <color indexed="64"/>
          </right>
          <top style="thin">
            <color indexed="64"/>
          </top>
          <bottom style="thin">
            <color indexed="64"/>
          </bottom>
        </border>
      </dxf>
    </rfmt>
    <rfmt sheetId="12" sqref="F266" start="0" length="0">
      <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dxf>
    </rfmt>
    <rfmt sheetId="12" sqref="G266" start="0" length="0">
      <dxf>
        <font>
          <sz val="14"/>
          <color auto="1"/>
          <name val="Times New Roman"/>
          <scheme val="none"/>
        </font>
        <numFmt numFmtId="168" formatCode="#,##0.00\ _₽"/>
        <alignment horizontal="right" vertical="top" wrapText="1" readingOrder="0"/>
        <border outline="0">
          <left style="thin">
            <color indexed="64"/>
          </left>
          <right style="thin">
            <color indexed="64"/>
          </right>
          <top style="thin">
            <color indexed="64"/>
          </top>
          <bottom style="thin">
            <color indexed="64"/>
          </bottom>
        </border>
      </dxf>
    </rfmt>
    <rfmt sheetId="12" sqref="H266" start="0" length="0">
      <dxf>
        <numFmt numFmtId="4" formatCode="#,##0.00"/>
        <border outline="0">
          <left style="thin">
            <color indexed="64"/>
          </left>
          <right style="thin">
            <color indexed="64"/>
          </right>
          <top style="thin">
            <color indexed="64"/>
          </top>
          <bottom style="thin">
            <color indexed="64"/>
          </bottom>
        </border>
      </dxf>
    </rfmt>
    <rfmt sheetId="12" sqref="I266" start="0" length="0">
      <dxf>
        <numFmt numFmtId="4" formatCode="#,##0.00"/>
        <border outline="0">
          <left style="thin">
            <color indexed="64"/>
          </left>
          <right style="thin">
            <color indexed="64"/>
          </right>
          <top style="thin">
            <color indexed="64"/>
          </top>
          <bottom style="thin">
            <color indexed="64"/>
          </bottom>
        </border>
      </dxf>
    </rfmt>
    <rfmt sheetId="12" sqref="J266" start="0" length="0">
      <dxf>
        <numFmt numFmtId="4" formatCode="#,##0.00"/>
        <border outline="0">
          <left style="thin">
            <color indexed="64"/>
          </left>
          <right style="thin">
            <color indexed="64"/>
          </right>
          <top style="thin">
            <color indexed="64"/>
          </top>
          <bottom style="thin">
            <color indexed="64"/>
          </bottom>
        </border>
      </dxf>
    </rfmt>
    <rfmt sheetId="12" sqref="K266" start="0" length="0">
      <dxf>
        <numFmt numFmtId="4" formatCode="#,##0.00"/>
        <border outline="0">
          <left style="thin">
            <color indexed="64"/>
          </left>
          <right style="thin">
            <color indexed="64"/>
          </right>
          <top style="thin">
            <color indexed="64"/>
          </top>
          <bottom style="thin">
            <color indexed="64"/>
          </bottom>
        </border>
      </dxf>
    </rfmt>
    <rfmt sheetId="12" sqref="L266" start="0" length="0">
      <dxf>
        <numFmt numFmtId="4" formatCode="#,##0.00"/>
        <border outline="0">
          <left style="thin">
            <color indexed="64"/>
          </left>
          <right style="thin">
            <color indexed="64"/>
          </right>
          <top style="thin">
            <color indexed="64"/>
          </top>
          <bottom style="thin">
            <color indexed="64"/>
          </bottom>
        </border>
      </dxf>
    </rfmt>
    <rfmt sheetId="12" sqref="M266" start="0" length="0">
      <dxf>
        <numFmt numFmtId="4" formatCode="#,##0.00"/>
        <border outline="0">
          <left style="thin">
            <color indexed="64"/>
          </left>
          <right style="thin">
            <color indexed="64"/>
          </right>
          <top style="thin">
            <color indexed="64"/>
          </top>
          <bottom style="thin">
            <color indexed="64"/>
          </bottom>
        </border>
      </dxf>
    </rfmt>
    <rfmt sheetId="12" sqref="N266" start="0" length="0">
      <dxf>
        <numFmt numFmtId="4" formatCode="#,##0.00"/>
        <border outline="0">
          <left style="thin">
            <color indexed="64"/>
          </left>
          <right style="thin">
            <color indexed="64"/>
          </right>
          <top style="thin">
            <color indexed="64"/>
          </top>
          <bottom style="thin">
            <color indexed="64"/>
          </bottom>
        </border>
      </dxf>
    </rfmt>
    <rfmt sheetId="12" sqref="O266" start="0" length="0">
      <dxf>
        <numFmt numFmtId="4" formatCode="#,##0.00"/>
        <border outline="0">
          <left style="thin">
            <color indexed="64"/>
          </left>
          <right style="thin">
            <color indexed="64"/>
          </right>
          <top style="thin">
            <color indexed="64"/>
          </top>
          <bottom style="thin">
            <color indexed="64"/>
          </bottom>
        </border>
      </dxf>
    </rfmt>
    <rfmt sheetId="12" sqref="P266" start="0" length="0">
      <dxf>
        <numFmt numFmtId="4" formatCode="#,##0.00"/>
        <border outline="0">
          <left style="thin">
            <color indexed="64"/>
          </left>
          <right style="thin">
            <color indexed="64"/>
          </right>
          <top style="thin">
            <color indexed="64"/>
          </top>
          <bottom style="thin">
            <color indexed="64"/>
          </bottom>
        </border>
      </dxf>
    </rfmt>
    <rfmt sheetId="12" sqref="Q266" start="0" length="0">
      <dxf>
        <numFmt numFmtId="4" formatCode="#,##0.00"/>
        <border outline="0">
          <left style="thin">
            <color indexed="64"/>
          </left>
          <right style="thin">
            <color indexed="64"/>
          </right>
          <top style="thin">
            <color indexed="64"/>
          </top>
          <bottom style="thin">
            <color indexed="64"/>
          </bottom>
        </border>
      </dxf>
    </rfmt>
    <rfmt sheetId="12" sqref="R266" start="0" length="0">
      <dxf>
        <numFmt numFmtId="4" formatCode="#,##0.00"/>
        <border outline="0">
          <left style="thin">
            <color indexed="64"/>
          </left>
          <right style="thin">
            <color indexed="64"/>
          </right>
          <top style="thin">
            <color indexed="64"/>
          </top>
          <bottom style="thin">
            <color indexed="64"/>
          </bottom>
        </border>
      </dxf>
    </rfmt>
    <rfmt sheetId="12" sqref="S266" start="0" length="0">
      <dxf>
        <numFmt numFmtId="4" formatCode="#,##0.00"/>
        <border outline="0">
          <left style="thin">
            <color indexed="64"/>
          </left>
          <right style="thin">
            <color indexed="64"/>
          </right>
          <top style="thin">
            <color indexed="64"/>
          </top>
          <bottom style="thin">
            <color indexed="64"/>
          </bottom>
        </border>
      </dxf>
    </rfmt>
    <rfmt sheetId="12" sqref="T266" start="0" length="0">
      <dxf>
        <numFmt numFmtId="4" formatCode="#,##0.00"/>
        <border outline="0">
          <left style="thin">
            <color indexed="64"/>
          </left>
          <right style="thin">
            <color indexed="64"/>
          </right>
          <top style="thin">
            <color indexed="64"/>
          </top>
          <bottom style="thin">
            <color indexed="64"/>
          </bottom>
        </border>
      </dxf>
    </rfmt>
    <rfmt sheetId="12" sqref="U266" start="0" length="0">
      <dxf>
        <numFmt numFmtId="4" formatCode="#,##0.00"/>
        <border outline="0">
          <left style="thin">
            <color indexed="64"/>
          </left>
          <right style="thin">
            <color indexed="64"/>
          </right>
          <top style="thin">
            <color indexed="64"/>
          </top>
          <bottom style="thin">
            <color indexed="64"/>
          </bottom>
        </border>
      </dxf>
    </rfmt>
    <rfmt sheetId="12" sqref="V266" start="0" length="0">
      <dxf>
        <numFmt numFmtId="4" formatCode="#,##0.00"/>
        <border outline="0">
          <left style="thin">
            <color indexed="64"/>
          </left>
          <right style="thin">
            <color indexed="64"/>
          </right>
          <top style="thin">
            <color indexed="64"/>
          </top>
          <bottom style="thin">
            <color indexed="64"/>
          </bottom>
        </border>
      </dxf>
    </rfmt>
    <rfmt sheetId="12" sqref="W266" start="0" length="0">
      <dxf>
        <numFmt numFmtId="4" formatCode="#,##0.00"/>
        <border outline="0">
          <left style="thin">
            <color indexed="64"/>
          </left>
          <right style="thin">
            <color indexed="64"/>
          </right>
          <top style="thin">
            <color indexed="64"/>
          </top>
          <bottom style="thin">
            <color indexed="64"/>
          </bottom>
        </border>
      </dxf>
    </rfmt>
    <rfmt sheetId="12" sqref="X266" start="0" length="0">
      <dxf>
        <numFmt numFmtId="4" formatCode="#,##0.00"/>
        <border outline="0">
          <left style="thin">
            <color indexed="64"/>
          </left>
          <right style="thin">
            <color indexed="64"/>
          </right>
          <top style="thin">
            <color indexed="64"/>
          </top>
          <bottom style="thin">
            <color indexed="64"/>
          </bottom>
        </border>
      </dxf>
    </rfmt>
    <rfmt sheetId="12" sqref="Y266" start="0" length="0">
      <dxf>
        <numFmt numFmtId="4" formatCode="#,##0.00"/>
        <border outline="0">
          <left style="thin">
            <color indexed="64"/>
          </left>
          <right style="thin">
            <color indexed="64"/>
          </right>
          <top style="thin">
            <color indexed="64"/>
          </top>
          <bottom style="thin">
            <color indexed="64"/>
          </bottom>
        </border>
      </dxf>
    </rfmt>
    <rfmt sheetId="12" sqref="Z266" start="0" length="0">
      <dxf>
        <numFmt numFmtId="4" formatCode="#,##0.00"/>
        <border outline="0">
          <left style="thin">
            <color indexed="64"/>
          </left>
          <right style="thin">
            <color indexed="64"/>
          </right>
          <top style="thin">
            <color indexed="64"/>
          </top>
          <bottom style="thin">
            <color indexed="64"/>
          </bottom>
        </border>
      </dxf>
    </rfmt>
    <rfmt sheetId="12" sqref="AA266" start="0" length="0">
      <dxf>
        <numFmt numFmtId="4" formatCode="#,##0.00"/>
        <border outline="0">
          <left style="thin">
            <color indexed="64"/>
          </left>
          <right style="thin">
            <color indexed="64"/>
          </right>
          <top style="thin">
            <color indexed="64"/>
          </top>
          <bottom style="thin">
            <color indexed="64"/>
          </bottom>
        </border>
      </dxf>
    </rfmt>
    <rfmt sheetId="12" sqref="AB266" start="0" length="0">
      <dxf>
        <numFmt numFmtId="4" formatCode="#,##0.00"/>
        <border outline="0">
          <left style="thin">
            <color indexed="64"/>
          </left>
          <right style="thin">
            <color indexed="64"/>
          </right>
          <top style="thin">
            <color indexed="64"/>
          </top>
          <bottom style="thin">
            <color indexed="64"/>
          </bottom>
        </border>
      </dxf>
    </rfmt>
    <rfmt sheetId="12" sqref="AC266" start="0" length="0">
      <dxf>
        <numFmt numFmtId="4" formatCode="#,##0.00"/>
        <border outline="0">
          <left style="thin">
            <color indexed="64"/>
          </left>
          <right style="thin">
            <color indexed="64"/>
          </right>
          <top style="thin">
            <color indexed="64"/>
          </top>
          <bottom style="thin">
            <color indexed="64"/>
          </bottom>
        </border>
      </dxf>
    </rfmt>
    <rfmt sheetId="12" sqref="AD266" start="0" length="0">
      <dxf>
        <numFmt numFmtId="4" formatCode="#,##0.00"/>
        <border outline="0">
          <left style="thin">
            <color indexed="64"/>
          </left>
          <right style="thin">
            <color indexed="64"/>
          </right>
          <top style="thin">
            <color indexed="64"/>
          </top>
          <bottom style="thin">
            <color indexed="64"/>
          </bottom>
        </border>
      </dxf>
    </rfmt>
    <rfmt sheetId="12" sqref="AE266" start="0" length="0">
      <dxf>
        <numFmt numFmtId="4" formatCode="#,##0.00"/>
        <border outline="0">
          <left style="thin">
            <color indexed="64"/>
          </left>
          <right style="thin">
            <color indexed="64"/>
          </right>
          <top style="thin">
            <color indexed="64"/>
          </top>
          <bottom style="thin">
            <color indexed="64"/>
          </bottom>
        </border>
      </dxf>
    </rfmt>
    <rfmt sheetId="12" sqref="AF266" start="0" length="0">
      <dxf>
        <border outline="0">
          <left style="thin">
            <color indexed="64"/>
          </left>
          <right style="thin">
            <color indexed="64"/>
          </right>
          <top style="thin">
            <color indexed="64"/>
          </top>
          <bottom style="thin">
            <color indexed="64"/>
          </bottom>
        </border>
      </dxf>
    </rfmt>
    <rcc rId="0" sId="12" dxf="1">
      <nc r="AG266">
        <f>B266-H266-J266-L266-N266-P266-R266-T266-V266-X266-Z266-AB266-AD266</f>
      </nc>
      <ndxf>
        <numFmt numFmtId="2" formatCode="0.00"/>
      </ndxf>
    </rcc>
  </rrc>
</revisions>
</file>

<file path=xl/revisions/revisionLog4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B352">
    <dxf>
      <fill>
        <patternFill>
          <bgColor rgb="FFFFFF00"/>
        </patternFill>
      </fill>
    </dxf>
  </rfmt>
</revisions>
</file>

<file path=xl/revisions/revisionLog4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84" sId="12">
    <oc r="L76">
      <f>3602.3345+4892.2</f>
    </oc>
    <nc r="L76">
      <f>3602.3345+4892.2-0.06</f>
    </nc>
  </rcc>
  <rcc rId="10685" sId="12" numFmtId="4">
    <oc r="R76">
      <v>59.162889999999997</v>
    </oc>
    <nc r="R76">
      <f>0.06+59.16289</f>
    </nc>
  </rcc>
  <rfmt sheetId="12" sqref="A72">
    <dxf>
      <fill>
        <patternFill>
          <bgColor rgb="FFFFFF00"/>
        </patternFill>
      </fill>
    </dxf>
  </rfmt>
  <rcc rId="10686" sId="12" numFmtId="4">
    <oc r="H70">
      <v>946.57493999999997</v>
    </oc>
    <nc r="H70">
      <f>946.57494-0.03</f>
    </nc>
  </rcc>
  <rcc rId="10687" sId="12" numFmtId="4">
    <oc r="R70">
      <v>1650.94589</v>
    </oc>
    <nc r="R70">
      <f>0.03+1650.94589</f>
    </nc>
  </rcc>
</revisions>
</file>

<file path=xl/revisions/revisionLog4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66">
    <dxf>
      <fill>
        <patternFill>
          <bgColor rgb="FFFFFF00"/>
        </patternFill>
      </fill>
    </dxf>
  </rfmt>
  <rcc rId="10688" sId="12" numFmtId="4">
    <nc r="N123">
      <v>325.39999999999998</v>
    </nc>
  </rcc>
  <rfmt sheetId="12" sqref="A120">
    <dxf>
      <fill>
        <patternFill>
          <bgColor rgb="FFFFFF00"/>
        </patternFill>
      </fill>
    </dxf>
  </rfmt>
</revisions>
</file>

<file path=xl/revisions/revisionLog4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89" sId="12" numFmtId="4">
    <oc r="M117">
      <v>632</v>
    </oc>
    <nc r="M117">
      <v>652</v>
    </nc>
  </rcc>
</revisions>
</file>

<file path=xl/revisions/revisionLog4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114">
    <dxf>
      <fill>
        <patternFill>
          <bgColor rgb="FFFFFF00"/>
        </patternFill>
      </fill>
    </dxf>
  </rfmt>
  <rcc rId="10690" sId="12" numFmtId="4">
    <oc r="M111">
      <v>4778.6000000000004</v>
    </oc>
    <nc r="M111">
      <v>4656.92</v>
    </nc>
  </rcc>
</revisions>
</file>

<file path=xl/revisions/revisionLog4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108">
    <dxf>
      <fill>
        <patternFill>
          <bgColor rgb="FFFFFF00"/>
        </patternFill>
      </fill>
    </dxf>
  </rfmt>
  <rcc rId="10691" sId="12">
    <oc r="A108" t="inlineStr">
      <is>
        <t xml:space="preserve">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t>
      </is>
    </oc>
    <nc r="A108" t="inlineStr">
      <is>
        <t>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(сады и уо)</t>
      </is>
    </nc>
  </rcc>
  <rcc rId="10692" sId="12">
    <oc r="B87">
      <f>B93+B99+B105+B111</f>
    </oc>
    <nc r="B87">
      <f>B93+B99+B105+B111</f>
    </nc>
  </rcc>
  <rcc rId="10693" sId="12">
    <oc r="A90" t="inlineStr">
      <is>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is>
    </oc>
    <nc r="A90" t="inlineStr">
      <is>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(03 01 59)
</t>
      </is>
    </nc>
  </rcc>
  <rcc rId="10694" sId="12">
    <oc r="A102" t="inlineStr">
      <is>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t>
      </is>
    </oc>
    <nc r="A102" t="inlineStr">
      <is>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 (53,54,55)</t>
      </is>
    </nc>
  </rc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05" sId="12">
    <oc r="A84" t="inlineStr">
      <is>
        <t>1.3.1.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is>
    </oc>
    <nc r="A84" t="inlineStr">
      <is>
        <t>1.3.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is>
    </nc>
  </rcc>
</revisions>
</file>

<file path=xl/revisions/revisionLog4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06" sId="12">
    <oc r="B87">
      <f>B93+B99+B105+B111</f>
    </oc>
    <nc r="B87">
      <f>B93+B99+B105+B111+B117+B123</f>
    </nc>
  </rcc>
</revisions>
</file>

<file path=xl/revisions/revisionLog4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07" sId="12" numFmtId="4">
    <oc r="AD101">
      <v>2477.5</v>
    </oc>
    <nc r="AD101">
      <f>179+2477.5</f>
    </nc>
  </rcc>
  <rcc rId="10708" sId="12">
    <oc r="B81">
      <f>J81+L81+N81+P81+R81+T81+V81+X81+Z81+AB81+AD81+H81</f>
    </oc>
    <nc r="B81">
      <f>J81+L81+N81+P81+R81+T81+V81+X81+Z81+AB81+AD81+H81</f>
    </nc>
  </rcc>
  <rfmt sheetId="12" sqref="A90">
    <dxf>
      <fill>
        <patternFill>
          <bgColor rgb="FFFFFF00"/>
        </patternFill>
      </fill>
    </dxf>
  </rfmt>
  <rfmt sheetId="12" sqref="A96">
    <dxf>
      <fill>
        <patternFill>
          <bgColor rgb="FFFFFF00"/>
        </patternFill>
      </fill>
    </dxf>
  </rfmt>
  <rfmt sheetId="12" sqref="A102">
    <dxf>
      <fill>
        <patternFill>
          <bgColor rgb="FFFFFF00"/>
        </patternFill>
      </fill>
    </dxf>
  </rfmt>
</revisions>
</file>

<file path=xl/revisions/revisionLog4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135">
    <dxf>
      <fill>
        <patternFill patternType="solid">
          <bgColor rgb="FFFFFF00"/>
        </patternFill>
      </fill>
    </dxf>
  </rfmt>
  <rcc rId="10709" sId="12">
    <oc r="V136">
      <f>422.8+611.2</f>
    </oc>
    <nc r="V136">
      <f>422.8+611.2-238.3</f>
    </nc>
  </rcc>
</revisions>
</file>

<file path=xl/revisions/revisionLog4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132:A137">
    <dxf>
      <fill>
        <patternFill>
          <bgColor rgb="FFFFFF00"/>
        </patternFill>
      </fill>
    </dxf>
  </rfmt>
</revisions>
</file>

<file path=xl/revisions/revisionLog4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10" sId="12" numFmtId="4">
    <nc r="X143">
      <v>194</v>
    </nc>
  </rcc>
</revisions>
</file>

<file path=xl/revisions/revisionLog4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11" sId="12" numFmtId="4">
    <nc r="P138">
      <v>5388.65</v>
    </nc>
  </rcc>
  <rcc rId="10712" sId="12">
    <nc r="B138">
      <f>J138+L138+N138+P138+R138+T138+V138+X138+Z138+AB138+AD138+H138</f>
    </nc>
  </rcc>
  <rcc rId="10713" sId="12">
    <nc r="C138">
      <f>SUM(H138+J138+L138)</f>
    </nc>
  </rcc>
  <rcc rId="10714" sId="12">
    <nc r="D138">
      <f>E138</f>
    </nc>
  </rcc>
  <rcc rId="10715" sId="12">
    <nc r="E138">
      <f>SUM(I138,K138,M138,O138,Q138,S138,U138,W138,Y138,AA138,AC138,AE138)</f>
    </nc>
  </rcc>
  <rcc rId="10716" sId="12">
    <nc r="F138">
      <f>IFERROR(E138/B138*100,0)</f>
    </nc>
  </rcc>
  <rcc rId="10717" sId="12">
    <nc r="G138">
      <f>IFERROR(E138/C138*100,0)</f>
    </nc>
  </rcc>
</revisions>
</file>

<file path=xl/revisions/revisionLog4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18" sId="12">
    <oc r="B355">
      <f>B16+B28+B35+B65+B83+B131+B152+B166+B178+B191+B209+B239+B259+B271+B278+B302+B338</f>
    </oc>
    <nc r="B355">
      <f>H355+J355+L355+N355+P355+R355+T355+V355+X355+AB355+AD355</f>
    </nc>
  </rcc>
</revisions>
</file>

<file path=xl/revisions/revisionLog4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19" sId="12">
    <oc r="L355">
      <f>L16+L28+L35+L65+L83+L131+L152+L166+L178+L191+L209+L239+L259+L271+L278+L302+L338</f>
    </oc>
    <nc r="L355">
      <f>L16+L28+L35+L65+L83+L131+L152+L166+L178+L191+L209+L239+L259+L271+L278+L302+L338</f>
    </nc>
  </rcc>
  <rcc rId="10720" sId="12" numFmtId="4">
    <oc r="L101">
      <v>3051</v>
    </oc>
    <nc r="L101">
      <v>3230</v>
    </nc>
  </rcc>
  <rcc rId="10721" sId="12" numFmtId="4">
    <oc r="M101">
      <v>3051</v>
    </oc>
    <nc r="M101">
      <v>3230</v>
    </nc>
  </rcc>
  <rcc rId="10722" sId="12" numFmtId="4">
    <oc r="P138">
      <v>5388.65</v>
    </oc>
    <nc r="P138">
      <v>5700</v>
    </nc>
  </rcc>
  <rcc rId="10723" sId="12">
    <oc r="AD101">
      <f>179+2477.5</f>
    </oc>
    <nc r="AD101">
      <f>2477.5</f>
    </nc>
  </rcc>
</revisions>
</file>

<file path=xl/revisions/revisionLog4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B355">
    <dxf>
      <fill>
        <patternFill>
          <bgColor rgb="FFFFFF00"/>
        </patternFill>
      </fill>
    </dxf>
  </rfmt>
  <rfmt sheetId="12" sqref="A139">
    <dxf>
      <fill>
        <patternFill>
          <bgColor rgb="FFFFFF00"/>
        </patternFill>
      </fill>
    </dxf>
  </rfmt>
  <rcc rId="10724" sId="12" numFmtId="4">
    <nc r="J196">
      <v>383.5</v>
    </nc>
  </rcc>
  <rcc rId="10725" sId="12">
    <oc r="B196">
      <f>J196+L196+N196+P196+R196+T196+V196+X196+Z196+AB196+AD196+H196</f>
    </oc>
    <nc r="B196">
      <f>J196+L196+N196+P196+R196+T196+V196+X196+Z196+AB196+AD196+H196</f>
    </nc>
  </rcc>
  <rcc rId="10726" sId="12" numFmtId="4">
    <nc r="N196">
      <v>108.2</v>
    </nc>
  </rcc>
  <rcc rId="10727" sId="12" numFmtId="4">
    <nc r="P196">
      <v>100.2</v>
    </nc>
  </rcc>
  <rcc rId="10728" sId="12" numFmtId="4">
    <nc r="R196">
      <v>111.6</v>
    </nc>
  </rcc>
  <rcc rId="10729" sId="12" numFmtId="4">
    <nc r="V196">
      <v>13.6</v>
    </nc>
  </rcc>
  <rcc rId="10730" sId="12" numFmtId="4">
    <nc r="X196">
      <v>19.399999999999999</v>
    </nc>
  </rcc>
</revisions>
</file>

<file path=xl/revisions/revisionLog4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192">
    <dxf>
      <fill>
        <patternFill>
          <bgColor rgb="FFFFFF00"/>
        </patternFill>
      </fill>
    </dxf>
  </rfmt>
  <rfmt sheetId="12" sqref="A198">
    <dxf>
      <fill>
        <patternFill>
          <bgColor rgb="FFFFFF00"/>
        </patternFill>
      </fill>
    </dxf>
  </rfmt>
  <rcc rId="10731" sId="12" numFmtId="4">
    <oc r="J214">
      <v>740.5</v>
    </oc>
    <nc r="J214">
      <v>743.9</v>
    </nc>
  </rcc>
  <rcc rId="10732" sId="12" numFmtId="4">
    <nc r="L214">
      <v>212.7</v>
    </nc>
  </rcc>
  <rcc rId="10733" sId="12" numFmtId="4">
    <nc r="N214">
      <v>397.8</v>
    </nc>
  </rcc>
  <rcc rId="10734" sId="12" numFmtId="4">
    <oc r="V214">
      <v>103</v>
    </oc>
    <nc r="V214">
      <v>18</v>
    </nc>
  </rcc>
  <rcc rId="10735" sId="12" numFmtId="4">
    <oc r="X214">
      <v>312.8</v>
    </oc>
    <nc r="X214"/>
  </rcc>
  <rfmt sheetId="12" sqref="A210">
    <dxf>
      <fill>
        <patternFill>
          <bgColor rgb="FFFFFF00"/>
        </patternFill>
      </fill>
    </dxf>
  </rfmt>
  <rcc rId="10736" sId="12" numFmtId="4">
    <oc r="P214">
      <v>600</v>
    </oc>
    <nc r="P214">
      <f>600-216.1</f>
    </nc>
  </rcc>
  <rcc rId="10737" sId="12">
    <oc r="B208">
      <f>B214+B220+B226+B232</f>
    </oc>
    <nc r="B208">
      <f>B214+B220+B226+B232</f>
    </nc>
  </rcc>
  <rfmt sheetId="12" sqref="G228 A216 A222 A228">
    <dxf>
      <fill>
        <patternFill>
          <bgColor rgb="FFFFFF00"/>
        </patternFill>
      </fill>
    </dxf>
  </rfmt>
  <rfmt sheetId="12" sqref="A303">
    <dxf>
      <fill>
        <patternFill>
          <bgColor rgb="FFFFFF00"/>
        </patternFill>
      </fill>
    </dxf>
  </rfmt>
  <rfmt sheetId="12" sqref="A315 A321 A327">
    <dxf>
      <fill>
        <patternFill>
          <bgColor rgb="FFFFFF00"/>
        </patternFill>
      </fill>
    </dxf>
  </rfmt>
  <rcc rId="10738" sId="12">
    <oc r="B353">
      <f>B14+B26+B33+B63+B81+B129+B150+B164+B176+B189+B207+B237+B257+B269+B276+B300+B336</f>
    </oc>
    <nc r="B353">
      <f>B14+B26+B33+B63+B81+B129+B150+B164+B176+B189+B207+B237+B257+B269+B276+B300+B336</f>
    </nc>
  </rcc>
  <rcc rId="10739" sId="12">
    <oc r="B352">
      <f>B13+B25+B32+B62+B80+B128+B149+B163+B175+B188+B206+B236+B256+B268+B275+B299+B335</f>
    </oc>
    <nc r="B352">
      <f>B13+B25+B32+B62+B80+B128+B149+B163+B175+B188+B206+B236+B256+B268+B275+B299+B335</f>
    </nc>
  </rcc>
  <rfmt sheetId="12" sqref="A135 E117 M117 C182 E182 H182 J182 L182 N182 N182 M182">
    <dxf>
      <fill>
        <patternFill patternType="none">
          <bgColor auto="1"/>
        </patternFill>
      </fill>
    </dxf>
  </rfmt>
  <rfmt sheetId="12" sqref="B111">
    <dxf>
      <fill>
        <patternFill patternType="solid">
          <bgColor rgb="FFFFFF00"/>
        </patternFill>
      </fill>
    </dxf>
  </rfmt>
  <rfmt sheetId="12" sqref="B182">
    <dxf>
      <fill>
        <patternFill patternType="solid">
          <bgColor rgb="FFFFFF00"/>
        </patternFill>
      </fill>
    </dxf>
  </rfmt>
  <rcc rId="10740" sId="12">
    <oc r="B341">
      <f>J341+L341+N341+P341+R341+T341+V341+X341+Z341+AB341+AD341+H341</f>
    </oc>
    <nc r="B341">
      <f>J341+L341+N341+P341+R341+T341+V341+X341+Z341+AB341+AD341+H341</f>
    </nc>
  </rcc>
  <rcc rId="10741" sId="12" numFmtId="4">
    <nc r="L342">
      <v>1829</v>
    </nc>
  </rcc>
  <rcc rId="10742" sId="12" numFmtId="4">
    <nc r="M342">
      <v>824</v>
    </nc>
  </rcc>
  <rcc rId="10743" sId="12" numFmtId="4">
    <nc r="V342">
      <v>360</v>
    </nc>
  </rc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2" customView="1" name="Z_09C3E205_981E_4A4E_BE89_8B7044192060_.wvu.FilterData" hidden="1" oldHidden="1">
    <formula>'11.МП РО'!$A$4:$A$380</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B353">
    <dxf>
      <fill>
        <patternFill>
          <bgColor rgb="FFFFFF00"/>
        </patternFill>
      </fill>
    </dxf>
  </rfmt>
  <rfmt sheetId="12" sqref="B165 B171 B177 B183">
    <dxf>
      <fill>
        <patternFill>
          <bgColor rgb="FFFFFF00"/>
        </patternFill>
      </fill>
    </dxf>
  </rfmt>
  <rfmt sheetId="12" sqref="B202">
    <dxf>
      <fill>
        <patternFill patternType="solid">
          <bgColor rgb="FFFFFF00"/>
        </patternFill>
      </fill>
    </dxf>
  </rfmt>
  <rfmt sheetId="12" sqref="B349">
    <dxf>
      <fill>
        <patternFill patternType="solid">
          <bgColor rgb="FFFFFF00"/>
        </patternFill>
      </fill>
    </dxf>
  </rfmt>
  <rfmt sheetId="12" sqref="B58">
    <dxf>
      <fill>
        <patternFill>
          <bgColor rgb="FFFFFF00"/>
        </patternFill>
      </fill>
    </dxf>
  </rfmt>
  <rfmt sheetId="12" sqref="B21">
    <dxf>
      <fill>
        <patternFill patternType="solid">
          <bgColor rgb="FFFFFF00"/>
        </patternFill>
      </fill>
    </dxf>
  </rfmt>
  <rfmt sheetId="12" sqref="B46">
    <dxf>
      <fill>
        <patternFill>
          <bgColor rgb="FFFFFF00"/>
        </patternFill>
      </fill>
    </dxf>
  </rfmt>
  <rfmt sheetId="12" sqref="B34 B40 B46 B52 B58">
    <dxf>
      <fill>
        <patternFill>
          <bgColor rgb="FFFFFF00"/>
        </patternFill>
      </fill>
    </dxf>
  </rfmt>
  <rfmt sheetId="12" sqref="B250">
    <dxf>
      <fill>
        <patternFill patternType="solid">
          <bgColor rgb="FFFFFF00"/>
        </patternFill>
      </fill>
    </dxf>
  </rfmt>
  <rfmt sheetId="12" sqref="B76">
    <dxf>
      <fill>
        <patternFill patternType="solid">
          <bgColor rgb="FFFFFF00"/>
        </patternFill>
      </fill>
    </dxf>
  </rfmt>
  <rfmt sheetId="12" sqref="B70">
    <dxf>
      <fill>
        <patternFill patternType="solid">
          <bgColor rgb="FFFFFF00"/>
        </patternFill>
      </fill>
    </dxf>
  </rfmt>
  <rfmt sheetId="12" sqref="B319">
    <dxf>
      <fill>
        <patternFill patternType="solid">
          <bgColor rgb="FFFFFF00"/>
        </patternFill>
      </fill>
    </dxf>
  </rfmt>
  <rfmt sheetId="12" sqref="B301 B307 B313 B319 B325 B331">
    <dxf>
      <fill>
        <patternFill>
          <bgColor rgb="FFFFFF00"/>
        </patternFill>
      </fill>
    </dxf>
  </rfmt>
  <rfmt sheetId="12" sqref="B283">
    <dxf>
      <fill>
        <patternFill patternType="solid">
          <bgColor rgb="FFFFFF00"/>
        </patternFill>
      </fill>
    </dxf>
  </rfmt>
  <rfmt sheetId="12" sqref="B295">
    <dxf>
      <fill>
        <patternFill patternType="solid">
          <bgColor rgb="FFFFFF00"/>
        </patternFill>
      </fill>
    </dxf>
  </rfmt>
  <rfmt sheetId="12" sqref="B226">
    <dxf>
      <fill>
        <patternFill patternType="solid">
          <bgColor rgb="FFFFFF00"/>
        </patternFill>
      </fill>
    </dxf>
  </rfmt>
  <rfmt sheetId="12" sqref="B132:B142">
    <dxf>
      <fill>
        <patternFill>
          <bgColor rgb="FFFFFF00"/>
        </patternFill>
      </fill>
    </dxf>
  </rfmt>
  <rcc rId="10755" sId="12" numFmtId="4">
    <oc r="R143">
      <v>565</v>
    </oc>
    <nc r="R143">
      <v>565.6</v>
    </nc>
  </rc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2" customView="1" name="Z_09C3E205_981E_4A4E_BE89_8B7044192060_.wvu.FilterData" hidden="1" oldHidden="1">
    <formula>'11.МП РО'!$A$4:$A$380</formula>
    <oldFormula>'11.МП РО'!$A$4:$A$380</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B352:B355">
    <dxf>
      <fill>
        <patternFill>
          <bgColor rgb="FFFFC000"/>
        </patternFill>
      </fill>
    </dxf>
  </rfmt>
  <rcc rId="10767" sId="12">
    <oc r="AD258">
      <f>AD264+#REF!</f>
    </oc>
    <nc r="AD258">
      <f>AD264</f>
    </nc>
  </rcc>
  <rcc rId="10768" sId="12" numFmtId="4">
    <oc r="AD264">
      <v>117570.07756999999</v>
    </oc>
    <nc r="AD264">
      <v>117570.076</v>
    </nc>
  </rcc>
  <rfmt sheetId="12" sqref="B264">
    <dxf>
      <fill>
        <patternFill patternType="solid">
          <bgColor rgb="FFFFFF00"/>
        </patternFill>
      </fill>
    </dxf>
  </rfmt>
  <rfmt sheetId="12" sqref="B220">
    <dxf>
      <fill>
        <patternFill patternType="solid">
          <bgColor rgb="FFFFFF00"/>
        </patternFill>
      </fill>
    </dxf>
  </rfmt>
  <rfmt sheetId="12" sqref="B232">
    <dxf>
      <fill>
        <patternFill patternType="solid">
          <bgColor rgb="FFFFFF00"/>
        </patternFill>
      </fill>
    </dxf>
  </rfmt>
  <rfmt sheetId="12" sqref="B210:B214 B217:B219">
    <dxf>
      <fill>
        <patternFill>
          <bgColor rgb="FFFFFF00"/>
        </patternFill>
      </fill>
    </dxf>
  </rfmt>
  <rfmt sheetId="12" sqref="B192:B196 B199:B201">
    <dxf>
      <fill>
        <patternFill>
          <bgColor rgb="FFFFFF00"/>
        </patternFill>
      </fill>
    </dxf>
  </rfmt>
  <rfmt sheetId="12" sqref="B100">
    <dxf>
      <fill>
        <patternFill patternType="solid">
          <bgColor rgb="FFFFFF00"/>
        </patternFill>
      </fill>
    </dxf>
  </rfmt>
  <rfmt sheetId="12" sqref="B285:B289 B292:B293">
    <dxf>
      <fill>
        <patternFill>
          <bgColor rgb="FFFFFF00"/>
        </patternFill>
      </fill>
    </dxf>
  </rfmt>
  <rfmt sheetId="12" sqref="A279:C296">
    <dxf>
      <fill>
        <patternFill patternType="none">
          <bgColor auto="1"/>
        </patternFill>
      </fill>
    </dxf>
  </rfmt>
  <rfmt sheetId="12" sqref="A303:B319">
    <dxf>
      <fill>
        <patternFill patternType="none">
          <bgColor auto="1"/>
        </patternFill>
      </fill>
    </dxf>
  </rfmt>
  <rfmt sheetId="12" sqref="A321:AP330">
    <dxf>
      <fill>
        <patternFill patternType="none">
          <bgColor auto="1"/>
        </patternFill>
      </fill>
    </dxf>
  </rfmt>
  <rfmt sheetId="12" sqref="B331">
    <dxf>
      <fill>
        <patternFill patternType="none">
          <bgColor auto="1"/>
        </patternFill>
      </fill>
    </dxf>
  </rfmt>
  <rfmt sheetId="12" sqref="B349">
    <dxf>
      <fill>
        <patternFill patternType="none">
          <bgColor auto="1"/>
        </patternFill>
      </fill>
    </dxf>
  </rfmt>
  <rcc rId="10769" sId="12" numFmtId="4">
    <oc r="C365">
      <v>3051</v>
    </oc>
    <nc r="C365">
      <v>3230</v>
    </nc>
  </rcc>
  <rcc rId="10770" sId="12">
    <oc r="E352">
      <f>E13+E25+E32+E62+E80+E128+E149+E163+E175+E188+E206+E236+E256+E268+E275+E299+E335</f>
    </oc>
    <nc r="E352">
      <f>E13+E25+E32+E62+E80+E128+E149+E163+E175+E188+E206+E236+E256+E268+E275+E299+E335</f>
    </nc>
  </rcc>
  <rfmt sheetId="12" sqref="B194 B200 B212 B218 A134:B134 A141:B141">
    <dxf>
      <fill>
        <patternFill patternType="none">
          <bgColor auto="1"/>
        </patternFill>
      </fill>
    </dxf>
  </rfmt>
  <rcc rId="10771" sId="12" numFmtId="4">
    <oc r="M181">
      <v>37.11</v>
    </oc>
    <nc r="M181">
      <v>65.86</v>
    </nc>
  </rcc>
</revisions>
</file>

<file path=xl/revisions/revisionLog4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72" sId="12">
    <oc r="E353">
      <f>E14+E26+E33+E63+E81+E129+E150+E164+E176+E189+E207+E237+E257+E269+E276+E300+E336</f>
    </oc>
    <nc r="E353">
      <f>E14+E26+E33+E63+E81+E129+E150+E164+E176+E189+E207+E237+E257+E269+E276+E300+E336</f>
    </nc>
  </rcc>
  <rfmt sheetId="12" sqref="A226:I232 A240 A246">
    <dxf>
      <fill>
        <patternFill patternType="none">
          <bgColor auto="1"/>
        </patternFill>
      </fill>
    </dxf>
  </rfmt>
  <rfmt sheetId="12" sqref="C228 B250 A260">
    <dxf>
      <fill>
        <patternFill patternType="none">
          <bgColor auto="1"/>
        </patternFill>
      </fill>
    </dxf>
  </rfmt>
  <rfmt sheetId="12" sqref="H244:J250">
    <dxf>
      <fill>
        <patternFill patternType="none">
          <bgColor auto="1"/>
        </patternFill>
      </fill>
    </dxf>
  </rfmt>
  <rcmt sheetId="12" cell="H244" guid="{00000000-0000-0000-0000-000000000000}" action="delete" author="Шишкина Юлия Андреева"/>
  <rcmt sheetId="12" cell="I244" guid="{00000000-0000-0000-0000-000000000000}" action="delete" author="Шишкина Юлия Андреева"/>
  <rfmt sheetId="12" sqref="H244:J250" start="0" length="2147483647">
    <dxf>
      <font>
        <color theme="1"/>
      </font>
    </dxf>
  </rfmt>
  <rcc rId="10773" sId="12">
    <oc r="E354">
      <f>E15+E27+E34+E64+E82+E130+E151+E165+E177+E190+E208+E238+E258+E270+E277+E301+E337</f>
    </oc>
    <nc r="E354">
      <f>E15+E27+E34+E64+E82+E130+E151+E165+E177+E190+E208+E238+E258+E270+E277+E301+E337</f>
    </nc>
  </rcc>
  <rfmt sheetId="12" sqref="A211:B224">
    <dxf>
      <fill>
        <patternFill patternType="none">
          <bgColor auto="1"/>
        </patternFill>
      </fill>
    </dxf>
  </rfmt>
  <rfmt sheetId="12" sqref="A196:B202">
    <dxf>
      <fill>
        <patternFill patternType="none">
          <bgColor auto="1"/>
        </patternFill>
      </fill>
    </dxf>
  </rfmt>
  <rfmt sheetId="12" sqref="A210:B210">
    <dxf>
      <fill>
        <patternFill patternType="none">
          <bgColor auto="1"/>
        </patternFill>
      </fill>
    </dxf>
  </rfmt>
  <rfmt sheetId="12" sqref="A192:B195">
    <dxf>
      <fill>
        <patternFill patternType="none">
          <bgColor auto="1"/>
        </patternFill>
      </fill>
    </dxf>
  </rfmt>
  <rfmt sheetId="12" sqref="B181:T183">
    <dxf>
      <fill>
        <patternFill patternType="none">
          <bgColor auto="1"/>
        </patternFill>
      </fill>
    </dxf>
  </rfmt>
  <rfmt sheetId="12" sqref="B181:T183" start="0" length="2147483647">
    <dxf>
      <font>
        <color theme="1"/>
      </font>
    </dxf>
  </rfmt>
  <rcmt sheetId="12" cell="E181" guid="{00000000-0000-0000-0000-000000000000}" action="delete" author="Степаненко Наталья Алексеевна"/>
  <rcmt sheetId="12" cell="C182" guid="{00000000-0000-0000-0000-000000000000}" action="delete" author="Степаненко Наталья Алексеевна"/>
  <rcmt sheetId="12" cell="E182" guid="{00000000-0000-0000-0000-000000000000}" action="delete" author="Степаненко Наталья Алексеевна"/>
  <rcmt sheetId="12" cell="H182" guid="{00000000-0000-0000-0000-000000000000}" action="delete" author="Степаненко Наталья Алексеевна"/>
  <rcmt sheetId="12" cell="J182" guid="{00000000-0000-0000-0000-000000000000}" action="delete" author="Степаненко Наталья Алексеевна"/>
  <rcmt sheetId="12" cell="L182" guid="{00000000-0000-0000-0000-000000000000}" action="delete" author="Степаненко Наталья Алексеевна"/>
  <rcmt sheetId="12" cell="M182" guid="{00000000-0000-0000-0000-000000000000}" action="delete" author="Степаненко Наталья Алексеевна"/>
  <rcmt sheetId="12" cell="N182" guid="{00000000-0000-0000-0000-000000000000}" action="delete" author="Степаненко Наталья Алексеевна"/>
  <rcmt sheetId="12" cell="T182" guid="{00000000-0000-0000-0000-000000000000}" action="delete" author="Степаненко Наталья Алексеевна"/>
  <rfmt sheetId="12" sqref="B171">
    <dxf>
      <fill>
        <patternFill patternType="none">
          <bgColor auto="1"/>
        </patternFill>
      </fill>
    </dxf>
  </rfmt>
  <rfmt sheetId="12" sqref="A132:B142">
    <dxf>
      <fill>
        <patternFill patternType="none">
          <bgColor auto="1"/>
        </patternFill>
      </fill>
    </dxf>
  </rfmt>
  <rcmt sheetId="12" cell="A136" guid="{00000000-0000-0000-0000-000000000000}" action="delete" author="Степаненко Наталья Алексеевна"/>
  <rcc rId="10774" sId="12">
    <oc r="M280">
      <f>M282+M283+M281+M284</f>
    </oc>
    <nc r="M280">
      <f>M282+M283+M281+M284</f>
    </nc>
  </rcc>
  <rcc rId="10775" sId="12" numFmtId="4">
    <oc r="M283">
      <v>3250.6</v>
    </oc>
    <nc r="M283">
      <v>3250.62</v>
    </nc>
  </rc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2" customView="1" name="Z_09C3E205_981E_4A4E_BE89_8B7044192060_.wvu.FilterData" hidden="1" oldHidden="1">
    <formula>'11.МП РО'!$A$4:$A$380</formula>
    <oldFormula>'11.МП РО'!$A$4:$A$380</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90:B102">
    <dxf>
      <fill>
        <patternFill patternType="none">
          <bgColor auto="1"/>
        </patternFill>
      </fill>
    </dxf>
  </rfmt>
  <rcc rId="10787" sId="12" numFmtId="4">
    <oc r="M76">
      <v>5558</v>
    </oc>
    <nc r="M76">
      <v>5557.98</v>
    </nc>
  </rc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2" customView="1" name="Z_09C3E205_981E_4A4E_BE89_8B7044192060_.wvu.FilterData" hidden="1" oldHidden="1">
    <formula>'11.МП РО'!$A$4:$A$380</formula>
    <oldFormula>'11.МП РО'!$A$4:$A$380</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72:B76">
    <dxf>
      <fill>
        <patternFill patternType="none">
          <bgColor auto="1"/>
        </patternFill>
      </fill>
    </dxf>
  </rfmt>
  <rfmt sheetId="12" sqref="H76">
    <dxf>
      <fill>
        <patternFill>
          <bgColor auto="1"/>
        </patternFill>
      </fill>
    </dxf>
  </rfmt>
  <rfmt sheetId="12" sqref="H76" start="0" length="2147483647">
    <dxf>
      <font>
        <color theme="1"/>
      </font>
    </dxf>
  </rfmt>
  <rfmt sheetId="12" sqref="A66:B70">
    <dxf>
      <fill>
        <patternFill patternType="none">
          <bgColor auto="1"/>
        </patternFill>
      </fill>
    </dxf>
  </rfmt>
  <rfmt sheetId="12" sqref="H100" start="0" length="2147483647">
    <dxf>
      <font>
        <color theme="1"/>
      </font>
    </dxf>
  </rfmt>
  <rfmt sheetId="12" sqref="A114:P120">
    <dxf>
      <fill>
        <patternFill patternType="none">
          <bgColor auto="1"/>
        </patternFill>
      </fill>
    </dxf>
  </rfmt>
  <rcmt sheetId="12" cell="E117" guid="{00000000-0000-0000-0000-000000000000}" action="delete" author="Степаненко Наталья Алексеевна"/>
  <rcmt sheetId="12" cell="M117" guid="{00000000-0000-0000-0000-000000000000}" action="delete" author="Степаненко Наталья Алексеевна"/>
  <rfmt sheetId="12" sqref="B264">
    <dxf>
      <fill>
        <patternFill patternType="none">
          <bgColor auto="1"/>
        </patternFill>
      </fill>
    </dxf>
  </rfmt>
  <rcc rId="10799" sId="12" numFmtId="4">
    <nc r="M325">
      <v>2875</v>
    </nc>
  </rc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2" customView="1" name="Z_09C3E205_981E_4A4E_BE89_8B7044192060_.wvu.FilterData" hidden="1" oldHidden="1">
    <formula>'11.МП РО'!$A$4:$A$380</formula>
    <oldFormula>'11.МП РО'!$A$4:$A$380</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11" sId="12" numFmtId="4">
    <oc r="M319">
      <v>731.6</v>
    </oc>
    <nc r="M319">
      <v>731.56</v>
    </nc>
  </rcc>
  <rcc rId="10812" sId="12" numFmtId="4">
    <oc r="L319">
      <v>731.6</v>
    </oc>
    <nc r="L319">
      <v>731.56</v>
    </nc>
  </rcc>
  <rcc rId="10813" sId="12" numFmtId="4">
    <oc r="R319">
      <v>248.09460000000001</v>
    </oc>
    <nc r="R319">
      <v>248.14</v>
    </nc>
  </rcc>
</revisions>
</file>

<file path=xl/revisions/revisionLog4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14" sId="12" numFmtId="4">
    <oc r="I70">
      <v>946.57</v>
    </oc>
    <nc r="I70">
      <v>946.54</v>
    </nc>
  </rcc>
  <rfmt sheetId="12" sqref="A17:B21">
    <dxf>
      <fill>
        <patternFill patternType="none">
          <bgColor auto="1"/>
        </patternFill>
      </fill>
    </dxf>
  </rfmt>
  <rfmt sheetId="12" sqref="A36:E42">
    <dxf>
      <fill>
        <patternFill patternType="none">
          <bgColor auto="1"/>
        </patternFill>
      </fill>
    </dxf>
  </rfmt>
  <rfmt sheetId="12" sqref="A43:E59">
    <dxf>
      <fill>
        <patternFill patternType="none">
          <bgColor auto="1"/>
        </patternFill>
      </fill>
    </dxf>
  </rfmt>
  <rfmt sheetId="12" sqref="A108:B111">
    <dxf>
      <fill>
        <patternFill patternType="none">
          <bgColor auto="1"/>
        </patternFill>
      </fill>
    </dxf>
  </rfmt>
  <rcc rId="10815" sId="12" numFmtId="4">
    <nc r="K250">
      <v>1016.98</v>
    </nc>
  </rcc>
  <rcc rId="10816" sId="12">
    <oc r="C250">
      <f>SUM(H250)</f>
    </oc>
    <nc r="C250">
      <f>H250+J250+L250</f>
    </nc>
  </rcc>
  <rcc rId="10817" sId="12" numFmtId="4">
    <nc r="M250">
      <f>2.31+1016.98</f>
    </nc>
  </rcc>
</revisions>
</file>

<file path=xl/revisions/revisionLog4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18" sId="12">
    <oc r="C244">
      <f>SUM(H244)</f>
    </oc>
    <nc r="C244">
      <f>H244+J244+L244</f>
    </nc>
  </rcc>
  <rcc rId="10819" sId="12" numFmtId="4">
    <nc r="K244">
      <v>3827.1</v>
    </nc>
  </rcc>
  <rcc rId="10820" sId="12" numFmtId="4">
    <nc r="M244">
      <v>7698.22</v>
    </nc>
  </rcc>
  <rcc rId="10821" sId="12" numFmtId="4">
    <oc r="L244">
      <v>3173.2</v>
    </oc>
    <nc r="L244">
      <v>7698.22</v>
    </nc>
  </rcc>
  <rcc rId="10822" sId="12" numFmtId="4">
    <oc r="AD244">
      <v>4348</v>
    </oc>
    <nc r="AD244"/>
  </rcc>
  <rcc rId="10823" sId="12" numFmtId="4">
    <oc r="AB244">
      <v>3619.9</v>
    </oc>
    <nc r="AB244">
      <f>3619.9-176.92</f>
    </nc>
  </rcc>
</revisions>
</file>

<file path=xl/revisions/revisionLog4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H18">
    <dxf>
      <fill>
        <patternFill patternType="solid">
          <bgColor rgb="FF6CF8CD"/>
        </patternFill>
      </fill>
    </dxf>
  </rfmt>
  <rfmt sheetId="12" sqref="J18">
    <dxf>
      <fill>
        <patternFill patternType="solid">
          <bgColor rgb="FF6CF8CD"/>
        </patternFill>
      </fill>
    </dxf>
  </rfmt>
  <rfmt sheetId="12" sqref="L18">
    <dxf>
      <fill>
        <patternFill patternType="solid">
          <bgColor rgb="FF6CF8CD"/>
        </patternFill>
      </fill>
    </dxf>
  </rfmt>
  <rfmt sheetId="12" sqref="N18">
    <dxf>
      <fill>
        <patternFill patternType="solid">
          <bgColor rgb="FF6CF8CD"/>
        </patternFill>
      </fill>
    </dxf>
  </rfmt>
  <rfmt sheetId="12" sqref="P18">
    <dxf>
      <fill>
        <patternFill patternType="solid">
          <bgColor rgb="FF6CF8CD"/>
        </patternFill>
      </fill>
    </dxf>
  </rfmt>
  <rfmt sheetId="12" sqref="R18">
    <dxf>
      <fill>
        <patternFill patternType="solid">
          <bgColor rgb="FF6CF8CD"/>
        </patternFill>
      </fill>
    </dxf>
  </rfmt>
  <rfmt sheetId="12" sqref="T18">
    <dxf>
      <fill>
        <patternFill patternType="solid">
          <bgColor rgb="FF6CF8CD"/>
        </patternFill>
      </fill>
    </dxf>
  </rfmt>
  <rfmt sheetId="12" sqref="V18" start="0" length="2147483647">
    <dxf>
      <font>
        <color rgb="FFFF0000"/>
      </font>
    </dxf>
  </rfmt>
  <rfmt sheetId="12" sqref="X18">
    <dxf>
      <fill>
        <patternFill patternType="solid">
          <bgColor rgb="FF6CF8CD"/>
        </patternFill>
      </fill>
    </dxf>
  </rfmt>
  <rfmt sheetId="12" sqref="Z21" start="0" length="2147483647">
    <dxf>
      <font>
        <color rgb="FFFF0000"/>
      </font>
    </dxf>
  </rfmt>
  <rfmt sheetId="12" sqref="Z18" start="0" length="2147483647">
    <dxf>
      <font>
        <color rgb="FFFF0000"/>
      </font>
    </dxf>
  </rfmt>
  <rfmt sheetId="12" sqref="AB18">
    <dxf>
      <fill>
        <patternFill patternType="solid">
          <bgColor rgb="FF6CF8CD"/>
        </patternFill>
      </fill>
    </dxf>
  </rfmt>
  <rfmt sheetId="12" sqref="AD18">
    <dxf>
      <fill>
        <patternFill patternType="solid">
          <bgColor rgb="FF6CF8CD"/>
        </patternFill>
      </fill>
    </dxf>
  </rfmt>
  <rfmt sheetId="12" sqref="B18:B21">
    <dxf>
      <fill>
        <patternFill patternType="solid">
          <bgColor rgb="FF6CF8CD"/>
        </patternFill>
      </fill>
    </dxf>
  </rfmt>
  <rfmt sheetId="12" sqref="C18:C21">
    <dxf>
      <fill>
        <patternFill patternType="solid">
          <bgColor rgb="FF6CF8CD"/>
        </patternFill>
      </fill>
    </dxf>
  </rfmt>
  <rfmt sheetId="12" sqref="D18:D21">
    <dxf>
      <fill>
        <patternFill patternType="solid">
          <bgColor rgb="FF6CF8CD"/>
        </patternFill>
      </fill>
    </dxf>
  </rfmt>
  <rfmt sheetId="12" sqref="I18">
    <dxf>
      <fill>
        <patternFill patternType="solid">
          <bgColor rgb="FF6CF8CD"/>
        </patternFill>
      </fill>
    </dxf>
  </rfmt>
  <rfmt sheetId="12" sqref="K18">
    <dxf>
      <fill>
        <patternFill patternType="solid">
          <bgColor rgb="FF6CF8CD"/>
        </patternFill>
      </fill>
    </dxf>
  </rfmt>
  <rfmt sheetId="12" sqref="M18">
    <dxf>
      <fill>
        <patternFill patternType="solid">
          <bgColor rgb="FF6CF8CD"/>
        </patternFill>
      </fill>
    </dxf>
  </rfmt>
  <rfmt sheetId="12" sqref="E18:E21">
    <dxf>
      <fill>
        <patternFill patternType="solid">
          <bgColor rgb="FF6CF8CD"/>
        </patternFill>
      </fill>
    </dxf>
  </rfmt>
  <rfmt sheetId="12" sqref="A21">
    <dxf>
      <fill>
        <patternFill patternType="solid">
          <bgColor rgb="FFFF0000"/>
        </patternFill>
      </fill>
    </dxf>
  </rfmt>
</revisions>
</file>

<file path=xl/revisions/revisionLog4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B37">
    <dxf>
      <fill>
        <patternFill patternType="solid">
          <bgColor rgb="FFFFFF00"/>
        </patternFill>
      </fill>
    </dxf>
  </rfmt>
  <rfmt sheetId="12" sqref="B37">
    <dxf>
      <fill>
        <patternFill>
          <bgColor rgb="FF6CF8CD"/>
        </patternFill>
      </fill>
    </dxf>
  </rfmt>
  <rfmt sheetId="12" sqref="H37" start="0" length="2147483647">
    <dxf>
      <font>
        <color rgb="FFFF0000"/>
      </font>
    </dxf>
  </rfmt>
  <rfmt sheetId="12" sqref="H40" start="0" length="2147483647">
    <dxf>
      <font>
        <color rgb="FFFF0000"/>
      </font>
    </dxf>
  </rfmt>
  <rfmt sheetId="12" sqref="J37" start="0" length="2147483647">
    <dxf>
      <font>
        <color rgb="FFFF0000"/>
      </font>
    </dxf>
  </rfmt>
  <rfmt sheetId="12" sqref="J40" start="0" length="2147483647">
    <dxf>
      <font>
        <color rgb="FFFF0000"/>
      </font>
    </dxf>
  </rfmt>
  <rfmt sheetId="12" sqref="L37" start="0" length="2147483647">
    <dxf>
      <font>
        <color rgb="FFFF0000"/>
      </font>
    </dxf>
  </rfmt>
  <rfmt sheetId="12" sqref="L40" start="0" length="2147483647">
    <dxf>
      <font>
        <color rgb="FFFF0000"/>
      </font>
    </dxf>
  </rfmt>
  <rfmt sheetId="12" sqref="N37" start="0" length="2147483647">
    <dxf>
      <font>
        <color rgb="FFFF0000"/>
      </font>
    </dxf>
  </rfmt>
  <rfmt sheetId="12" sqref="N40" start="0" length="2147483647">
    <dxf>
      <font>
        <color rgb="FFFF0000"/>
      </font>
    </dxf>
  </rfmt>
  <rfmt sheetId="12" sqref="P37">
    <dxf>
      <fill>
        <patternFill patternType="solid">
          <bgColor rgb="FF6CF8CD"/>
        </patternFill>
      </fill>
    </dxf>
  </rfmt>
  <rfmt sheetId="12" sqref="R37">
    <dxf>
      <fill>
        <patternFill patternType="solid">
          <bgColor rgb="FF6CF8CD"/>
        </patternFill>
      </fill>
    </dxf>
  </rfmt>
  <rfmt sheetId="12" sqref="T37">
    <dxf>
      <fill>
        <patternFill patternType="solid">
          <bgColor rgb="FF6CF8CD"/>
        </patternFill>
      </fill>
    </dxf>
  </rfmt>
  <rfmt sheetId="12" sqref="V37">
    <dxf>
      <fill>
        <patternFill patternType="solid">
          <bgColor rgb="FF6CF8CD"/>
        </patternFill>
      </fill>
    </dxf>
  </rfmt>
  <rfmt sheetId="12" sqref="X37">
    <dxf>
      <fill>
        <patternFill patternType="solid">
          <bgColor rgb="FF6CF8CD"/>
        </patternFill>
      </fill>
    </dxf>
  </rfmt>
  <rfmt sheetId="12" sqref="Z37">
    <dxf>
      <fill>
        <patternFill patternType="solid">
          <bgColor rgb="FF6CF8CD"/>
        </patternFill>
      </fill>
    </dxf>
  </rfmt>
  <rfmt sheetId="12" sqref="AB37">
    <dxf>
      <fill>
        <patternFill patternType="solid">
          <bgColor rgb="FF6CF8CD"/>
        </patternFill>
      </fill>
    </dxf>
  </rfmt>
  <rfmt sheetId="12" sqref="AD37" start="0" length="2147483647">
    <dxf>
      <font>
        <color rgb="FFFF0000"/>
      </font>
    </dxf>
  </rfmt>
  <rfmt sheetId="12" sqref="A40">
    <dxf>
      <fill>
        <patternFill patternType="solid">
          <bgColor rgb="FFFF0000"/>
        </patternFill>
      </fill>
    </dxf>
  </rfmt>
  <rfmt sheetId="12" sqref="AD40" start="0" length="2147483647">
    <dxf>
      <font>
        <color rgb="FFFF0000"/>
      </font>
    </dxf>
  </rfmt>
  <rfmt sheetId="12" sqref="R37" start="0" length="2147483647">
    <dxf>
      <font>
        <color rgb="FFFF0000"/>
      </font>
    </dxf>
  </rfmt>
  <rfmt sheetId="12" sqref="R37">
    <dxf>
      <fill>
        <patternFill patternType="none">
          <bgColor auto="1"/>
        </patternFill>
      </fill>
    </dxf>
  </rfmt>
  <rfmt sheetId="12" sqref="R40" start="0" length="2147483647">
    <dxf>
      <font>
        <color rgb="FFFF0000"/>
      </font>
    </dxf>
  </rfmt>
  <rfmt sheetId="12" sqref="C37">
    <dxf>
      <fill>
        <patternFill patternType="solid">
          <bgColor rgb="FF6CF8CD"/>
        </patternFill>
      </fill>
    </dxf>
  </rfmt>
  <rfmt sheetId="12" sqref="B38:C40">
    <dxf>
      <fill>
        <patternFill patternType="solid">
          <bgColor rgb="FF6CF8CD"/>
        </patternFill>
      </fill>
    </dxf>
  </rfmt>
  <rfmt sheetId="12" sqref="M37" start="0" length="2147483647">
    <dxf>
      <font>
        <color rgb="FFFF0000"/>
      </font>
    </dxf>
  </rfmt>
  <rfmt sheetId="12" sqref="K37" start="0" length="2147483647">
    <dxf>
      <font>
        <color rgb="FFFF0000"/>
      </font>
    </dxf>
  </rfmt>
  <rfmt sheetId="12" sqref="D37:E40">
    <dxf>
      <fill>
        <patternFill patternType="solid">
          <bgColor rgb="FF6CF8CD"/>
        </patternFill>
      </fill>
    </dxf>
  </rfmt>
  <rfmt sheetId="12" sqref="C43">
    <dxf>
      <fill>
        <patternFill patternType="solid">
          <bgColor rgb="FF6CF8CD"/>
        </patternFill>
      </fill>
    </dxf>
  </rfmt>
  <rfmt sheetId="12" sqref="C46">
    <dxf>
      <fill>
        <patternFill patternType="solid">
          <bgColor rgb="FF6CF8CD"/>
        </patternFill>
      </fill>
    </dxf>
  </rfmt>
  <rfmt sheetId="12" sqref="H43">
    <dxf>
      <fill>
        <patternFill patternType="solid">
          <bgColor rgb="FF6CF8CD"/>
        </patternFill>
      </fill>
    </dxf>
  </rfmt>
  <rfmt sheetId="12" sqref="J43">
    <dxf>
      <fill>
        <patternFill patternType="solid">
          <bgColor rgb="FF6CF8CD"/>
        </patternFill>
      </fill>
    </dxf>
  </rfmt>
  <rfmt sheetId="12" sqref="L43">
    <dxf>
      <fill>
        <patternFill patternType="solid">
          <bgColor rgb="FF6CF8CD"/>
        </patternFill>
      </fill>
    </dxf>
  </rfmt>
  <rfmt sheetId="12" sqref="N43" start="0" length="2147483647">
    <dxf>
      <font>
        <color rgb="FFFF0000"/>
      </font>
    </dxf>
  </rfmt>
  <rfmt sheetId="12" sqref="P43">
    <dxf>
      <fill>
        <patternFill patternType="solid">
          <bgColor rgb="FF6CF8CD"/>
        </patternFill>
      </fill>
    </dxf>
  </rfmt>
  <rfmt sheetId="12" sqref="R43">
    <dxf>
      <fill>
        <patternFill patternType="solid">
          <bgColor rgb="FF6CF8CD"/>
        </patternFill>
      </fill>
    </dxf>
  </rfmt>
  <rfmt sheetId="12" sqref="T43">
    <dxf>
      <fill>
        <patternFill patternType="solid">
          <bgColor rgb="FF6CF8CD"/>
        </patternFill>
      </fill>
    </dxf>
  </rfmt>
  <rfmt sheetId="12" sqref="V43">
    <dxf>
      <fill>
        <patternFill patternType="solid">
          <bgColor rgb="FF6CF8CD"/>
        </patternFill>
      </fill>
    </dxf>
  </rfmt>
  <rfmt sheetId="12" sqref="X43">
    <dxf>
      <fill>
        <patternFill patternType="solid">
          <bgColor rgb="FF6CF8CD"/>
        </patternFill>
      </fill>
    </dxf>
  </rfmt>
  <rfmt sheetId="12" sqref="Z43">
    <dxf>
      <fill>
        <patternFill patternType="solid">
          <bgColor rgb="FF6CF8CD"/>
        </patternFill>
      </fill>
    </dxf>
  </rfmt>
  <rfmt sheetId="12" sqref="AB43">
    <dxf>
      <fill>
        <patternFill patternType="solid">
          <bgColor rgb="FF6CF8CD"/>
        </patternFill>
      </fill>
    </dxf>
  </rfmt>
  <rfmt sheetId="12" sqref="AD43" start="0" length="2147483647">
    <dxf>
      <font>
        <color rgb="FFFF0000"/>
      </font>
    </dxf>
  </rfmt>
  <rfmt sheetId="12" sqref="B43">
    <dxf>
      <fill>
        <patternFill patternType="solid">
          <bgColor rgb="FF6CF8CD"/>
        </patternFill>
      </fill>
    </dxf>
  </rfmt>
  <rfmt sheetId="12" sqref="B46">
    <dxf>
      <fill>
        <patternFill patternType="solid">
          <bgColor rgb="FF6CF8CD"/>
        </patternFill>
      </fill>
    </dxf>
  </rfmt>
  <rfmt sheetId="12" sqref="D43:E43">
    <dxf>
      <fill>
        <patternFill patternType="solid">
          <bgColor rgb="FF6CF8CD"/>
        </patternFill>
      </fill>
    </dxf>
  </rfmt>
  <rfmt sheetId="12" sqref="D46:E46">
    <dxf>
      <fill>
        <patternFill patternType="solid">
          <bgColor rgb="FF6CF8CD"/>
        </patternFill>
      </fill>
    </dxf>
  </rfmt>
  <rfmt sheetId="12" sqref="B44:E45">
    <dxf>
      <fill>
        <patternFill patternType="solid">
          <bgColor rgb="FF6CF8CD"/>
        </patternFill>
      </fill>
    </dxf>
  </rfmt>
  <rcc rId="10824" sId="12">
    <nc r="B44">
      <f>J44+L44+N44+P44+R44+T44+V44+X44+Z44+AB44+AD44+H44</f>
    </nc>
  </rcc>
  <rcc rId="10825" sId="12">
    <nc r="C44">
      <f>SUM(H44)</f>
    </nc>
  </rcc>
  <rcc rId="10826" sId="12">
    <nc r="D44">
      <f>E44</f>
    </nc>
  </rcc>
  <rcc rId="10827" sId="12">
    <nc r="E44">
      <f>SUM(I44,K44,M44,O44,Q44,S44,U44,W44,Y44,AA44,AC44,AE44)</f>
    </nc>
  </rcc>
  <rcc rId="10828" sId="12">
    <nc r="B45">
      <f>J45+L45+N45+P45+R45+T45+V45+X45+Z45+AB45+AD45+H45</f>
    </nc>
  </rcc>
  <rcc rId="10829" sId="12">
    <nc r="C45">
      <f>SUM(H45)</f>
    </nc>
  </rcc>
  <rcc rId="10830" sId="12">
    <nc r="D45">
      <f>E45</f>
    </nc>
  </rcc>
  <rcc rId="10831" sId="12">
    <nc r="E45">
      <f>SUM(I45,K45,M45,O45,Q45,S45,U45,W45,Y45,AA45,AC45,AE45)</f>
    </nc>
  </rcc>
  <rfmt sheetId="12" sqref="A46">
    <dxf>
      <fill>
        <patternFill patternType="solid">
          <bgColor rgb="FFFF0000"/>
        </patternFill>
      </fill>
    </dxf>
  </rfmt>
  <rcmt sheetId="12" cell="K37" guid="{00000000-0000-0000-0000-000000000000}" action="delete" author="Цёвка Елена Александровна"/>
  <rfmt sheetId="12" sqref="K37" start="0" length="2147483647">
    <dxf>
      <font>
        <color auto="1"/>
      </font>
    </dxf>
  </rfmt>
  <rcmt sheetId="12" cell="M37" guid="{00000000-0000-0000-0000-000000000000}" action="delete" author="Цёвка Елена Александровна"/>
  <rfmt sheetId="12" sqref="M37" start="0" length="2147483647">
    <dxf>
      <font>
        <color auto="1"/>
      </font>
    </dxf>
  </rfmt>
  <rfmt sheetId="12" sqref="B49:E52">
    <dxf>
      <fill>
        <patternFill patternType="solid">
          <bgColor rgb="FF6CF8CD"/>
        </patternFill>
      </fill>
    </dxf>
  </rfmt>
  <rcc rId="10832" sId="12">
    <nc r="B50">
      <f>J50+L50+N50+P50+R50+T50+V50+X50+Z50+AB50+AD50+H50</f>
    </nc>
  </rcc>
  <rcc rId="10833" sId="12">
    <nc r="C50">
      <f>SUM(H50)</f>
    </nc>
  </rcc>
  <rcc rId="10834" sId="12">
    <nc r="D50">
      <f>E50</f>
    </nc>
  </rcc>
  <rcc rId="10835" sId="12">
    <nc r="E50">
      <f>SUM(I50,K50,M50,O50,Q50,S50,U50,W50,Y50,AA50,AC50,AE50)</f>
    </nc>
  </rcc>
  <rcc rId="10836" sId="12">
    <nc r="B51">
      <f>J51+L51+N51+P51+R51+T51+V51+X51+Z51+AB51+AD51+H51</f>
    </nc>
  </rcc>
  <rcc rId="10837" sId="12">
    <nc r="C51">
      <f>SUM(H51)</f>
    </nc>
  </rcc>
  <rcc rId="10838" sId="12">
    <nc r="D51">
      <f>E51</f>
    </nc>
  </rcc>
  <rcc rId="10839" sId="12">
    <nc r="E51">
      <f>SUM(I51,K51,M51,O51,Q51,S51,U51,W51,Y51,AA51,AC51,AE51)</f>
    </nc>
  </rcc>
  <rfmt sheetId="12" sqref="C55:C58">
    <dxf>
      <fill>
        <patternFill patternType="solid">
          <bgColor rgb="FF6CF8CD"/>
        </patternFill>
      </fill>
    </dxf>
  </rfmt>
  <rcc rId="10840" sId="12">
    <nc r="B56">
      <f>J56+L56+N56+P56+R56+T56+V56+X56+Z56+AB56+AD56+H56</f>
    </nc>
  </rcc>
  <rcc rId="10841" sId="12">
    <nc r="C56">
      <f>SUM(H56)</f>
    </nc>
  </rcc>
  <rcc rId="10842" sId="12">
    <nc r="D56">
      <f>E56</f>
    </nc>
  </rcc>
  <rcc rId="10843" sId="12">
    <nc r="E56">
      <f>SUM(I56,K56,M56,O56,Q56,S56,U56,W56,Y56,AA56,AC56,AE56)</f>
    </nc>
  </rcc>
  <rcc rId="10844" sId="12">
    <nc r="B57">
      <f>J57+L57+N57+P57+R57+T57+V57+X57+Z57+AB57+AD57+H57</f>
    </nc>
  </rcc>
  <rcc rId="10845" sId="12">
    <nc r="C57">
      <f>SUM(H57)</f>
    </nc>
  </rcc>
  <rcc rId="10846" sId="12">
    <nc r="D57">
      <f>E57</f>
    </nc>
  </rcc>
  <rcc rId="10847" sId="12">
    <nc r="E57">
      <f>SUM(I57,K57,M57,O57,Q57,S57,U57,W57,Y57,AA57,AC57,AE57)</f>
    </nc>
  </rcc>
  <rfmt sheetId="12" sqref="H55">
    <dxf>
      <fill>
        <patternFill patternType="solid">
          <bgColor rgb="FF6CF8CD"/>
        </patternFill>
      </fill>
    </dxf>
  </rfmt>
  <rfmt sheetId="12" sqref="J55">
    <dxf>
      <fill>
        <patternFill patternType="solid">
          <bgColor rgb="FF6CF8CD"/>
        </patternFill>
      </fill>
    </dxf>
  </rfmt>
  <rfmt sheetId="12" sqref="L55">
    <dxf>
      <fill>
        <patternFill patternType="solid">
          <bgColor rgb="FF6CF8CD"/>
        </patternFill>
      </fill>
    </dxf>
  </rfmt>
  <rfmt sheetId="12" sqref="N55">
    <dxf>
      <fill>
        <patternFill patternType="solid">
          <bgColor rgb="FF6CF8CD"/>
        </patternFill>
      </fill>
    </dxf>
  </rfmt>
  <rfmt sheetId="12" sqref="P55">
    <dxf>
      <fill>
        <patternFill patternType="solid">
          <bgColor rgb="FF6CF8CD"/>
        </patternFill>
      </fill>
    </dxf>
  </rfmt>
  <rfmt sheetId="12" sqref="R55">
    <dxf>
      <fill>
        <patternFill patternType="solid">
          <bgColor rgb="FF6CF8CD"/>
        </patternFill>
      </fill>
    </dxf>
  </rfmt>
  <rfmt sheetId="12" sqref="T55">
    <dxf>
      <fill>
        <patternFill patternType="solid">
          <bgColor rgb="FF6CF8CD"/>
        </patternFill>
      </fill>
    </dxf>
  </rfmt>
  <rfmt sheetId="12" sqref="V55">
    <dxf>
      <fill>
        <patternFill patternType="solid">
          <bgColor rgb="FF6CF8CD"/>
        </patternFill>
      </fill>
    </dxf>
  </rfmt>
  <rfmt sheetId="12" sqref="X55">
    <dxf>
      <fill>
        <patternFill patternType="solid">
          <bgColor rgb="FF6CF8CD"/>
        </patternFill>
      </fill>
    </dxf>
  </rfmt>
  <rfmt sheetId="12" sqref="Z55">
    <dxf>
      <fill>
        <patternFill patternType="solid">
          <bgColor rgb="FF6CF8CD"/>
        </patternFill>
      </fill>
    </dxf>
  </rfmt>
  <rfmt sheetId="12" sqref="AB55">
    <dxf>
      <fill>
        <patternFill patternType="solid">
          <bgColor rgb="FF6CF8CD"/>
        </patternFill>
      </fill>
    </dxf>
  </rfmt>
  <rfmt sheetId="12" sqref="AD55">
    <dxf>
      <fill>
        <patternFill patternType="solid">
          <bgColor rgb="FF6CF8CD"/>
        </patternFill>
      </fill>
    </dxf>
  </rfmt>
  <rfmt sheetId="12" sqref="B55:E58">
    <dxf>
      <fill>
        <patternFill>
          <bgColor rgb="FF6CF8CD"/>
        </patternFill>
      </fill>
    </dxf>
  </rfmt>
  <rfmt sheetId="12" sqref="B67">
    <dxf>
      <fill>
        <patternFill patternType="solid">
          <bgColor rgb="FF6CF8CD"/>
        </patternFill>
      </fill>
    </dxf>
  </rfmt>
  <rfmt sheetId="12" sqref="B70">
    <dxf>
      <fill>
        <patternFill patternType="solid">
          <bgColor rgb="FF6CF8CD"/>
        </patternFill>
      </fill>
    </dxf>
  </rfmt>
  <rfmt sheetId="12" sqref="H67" start="0" length="2147483647">
    <dxf>
      <font>
        <color rgb="FFFF0000"/>
      </font>
    </dxf>
  </rfmt>
  <rfmt sheetId="12" sqref="AD49">
    <dxf>
      <fill>
        <patternFill patternType="solid">
          <bgColor rgb="FF6CF8CD"/>
        </patternFill>
      </fill>
    </dxf>
  </rfmt>
  <rfmt sheetId="12" sqref="AB49">
    <dxf>
      <fill>
        <patternFill patternType="solid">
          <bgColor rgb="FF6CF8CD"/>
        </patternFill>
      </fill>
    </dxf>
  </rfmt>
  <rfmt sheetId="12" sqref="Z49">
    <dxf>
      <fill>
        <patternFill patternType="solid">
          <bgColor rgb="FF6CF8CD"/>
        </patternFill>
      </fill>
    </dxf>
  </rfmt>
  <rfmt sheetId="12" sqref="X49">
    <dxf>
      <fill>
        <patternFill patternType="solid">
          <bgColor rgb="FF6CF8CD"/>
        </patternFill>
      </fill>
    </dxf>
  </rfmt>
  <rfmt sheetId="12" sqref="V49">
    <dxf>
      <fill>
        <patternFill patternType="solid">
          <bgColor rgb="FF6CF8CD"/>
        </patternFill>
      </fill>
    </dxf>
  </rfmt>
  <rfmt sheetId="12" sqref="T49">
    <dxf>
      <fill>
        <patternFill patternType="solid">
          <bgColor rgb="FF6CF8CD"/>
        </patternFill>
      </fill>
    </dxf>
  </rfmt>
  <rfmt sheetId="12" sqref="R49">
    <dxf>
      <fill>
        <patternFill patternType="solid">
          <bgColor rgb="FF6CF8CD"/>
        </patternFill>
      </fill>
    </dxf>
  </rfmt>
  <rfmt sheetId="12" sqref="P49">
    <dxf>
      <fill>
        <patternFill patternType="solid">
          <bgColor rgb="FF6CF8CD"/>
        </patternFill>
      </fill>
    </dxf>
  </rfmt>
  <rfmt sheetId="12" sqref="N49">
    <dxf>
      <fill>
        <patternFill patternType="solid">
          <bgColor rgb="FF6CF8CD"/>
        </patternFill>
      </fill>
    </dxf>
  </rfmt>
  <rfmt sheetId="12" sqref="L49">
    <dxf>
      <fill>
        <patternFill patternType="solid">
          <bgColor rgb="FF6CF8CD"/>
        </patternFill>
      </fill>
    </dxf>
  </rfmt>
  <rfmt sheetId="12" sqref="J49">
    <dxf>
      <fill>
        <patternFill patternType="solid">
          <bgColor rgb="FF6CF8CD"/>
        </patternFill>
      </fill>
    </dxf>
  </rfmt>
  <rfmt sheetId="12" sqref="H49">
    <dxf>
      <fill>
        <patternFill patternType="solid">
          <bgColor rgb="FF6CF8CD"/>
        </patternFill>
      </fill>
    </dxf>
  </rfmt>
  <rfmt sheetId="12" sqref="J67" start="0" length="2147483647">
    <dxf>
      <font>
        <color rgb="FFFF0000"/>
      </font>
    </dxf>
  </rfmt>
  <rfmt sheetId="12" sqref="L67">
    <dxf>
      <fill>
        <patternFill patternType="solid">
          <bgColor rgb="FF6CF8CD"/>
        </patternFill>
      </fill>
    </dxf>
  </rfmt>
  <rfmt sheetId="12" sqref="N67">
    <dxf>
      <fill>
        <patternFill patternType="solid">
          <bgColor rgb="FF6CF8CD"/>
        </patternFill>
      </fill>
    </dxf>
  </rfmt>
  <rfmt sheetId="12" sqref="P67">
    <dxf>
      <fill>
        <patternFill patternType="solid">
          <bgColor rgb="FF6CF8CD"/>
        </patternFill>
      </fill>
    </dxf>
  </rfmt>
  <rfmt sheetId="12" sqref="R67" start="0" length="2147483647">
    <dxf>
      <font>
        <color rgb="FFFF0000"/>
      </font>
    </dxf>
  </rfmt>
  <rfmt sheetId="12" sqref="T67">
    <dxf>
      <fill>
        <patternFill patternType="solid">
          <bgColor rgb="FF6CF8CD"/>
        </patternFill>
      </fill>
    </dxf>
  </rfmt>
  <rfmt sheetId="12" sqref="V67">
    <dxf>
      <fill>
        <patternFill patternType="solid">
          <bgColor rgb="FF6CF8CD"/>
        </patternFill>
      </fill>
    </dxf>
  </rfmt>
  <rfmt sheetId="12" sqref="X67">
    <dxf>
      <fill>
        <patternFill patternType="solid">
          <bgColor rgb="FF6CF8CD"/>
        </patternFill>
      </fill>
    </dxf>
  </rfmt>
  <rfmt sheetId="12" sqref="Z67">
    <dxf>
      <fill>
        <patternFill patternType="solid">
          <bgColor rgb="FF6CF8CD"/>
        </patternFill>
      </fill>
    </dxf>
  </rfmt>
  <rfmt sheetId="12" sqref="AB67">
    <dxf>
      <fill>
        <patternFill patternType="solid">
          <bgColor rgb="FF6CF8CD"/>
        </patternFill>
      </fill>
    </dxf>
  </rfmt>
  <rfmt sheetId="12" sqref="AD67" start="0" length="2147483647">
    <dxf>
      <font>
        <color rgb="FFFF0000"/>
      </font>
    </dxf>
  </rfmt>
  <rfmt sheetId="12" sqref="C67" start="0" length="2147483647">
    <dxf>
      <font>
        <color rgb="FFFF0000"/>
      </font>
    </dxf>
  </rfmt>
  <rfmt sheetId="12" sqref="I67" start="0" length="2147483647">
    <dxf>
      <font>
        <color rgb="FFFF0000"/>
      </font>
    </dxf>
  </rfmt>
  <rfmt sheetId="12" sqref="K67" start="0" length="2147483647">
    <dxf>
      <font>
        <color rgb="FFFF0000"/>
      </font>
    </dxf>
  </rfmt>
  <rfmt sheetId="12" sqref="M67">
    <dxf>
      <fill>
        <patternFill patternType="solid">
          <bgColor rgb="FF6CF8CD"/>
        </patternFill>
      </fill>
    </dxf>
  </rfmt>
  <rfmt sheetId="12" sqref="A70">
    <dxf>
      <fill>
        <patternFill patternType="solid">
          <bgColor rgb="FFFF0000"/>
        </patternFill>
      </fill>
    </dxf>
  </rfmt>
  <rfmt sheetId="12" sqref="C73" start="0" length="2147483647">
    <dxf>
      <font>
        <color rgb="FFFF0000"/>
      </font>
    </dxf>
  </rfmt>
  <rfmt sheetId="12" sqref="B73">
    <dxf>
      <fill>
        <patternFill patternType="solid">
          <bgColor rgb="FF6CF8CD"/>
        </patternFill>
      </fill>
    </dxf>
  </rfmt>
  <rfmt sheetId="12" sqref="B76">
    <dxf>
      <fill>
        <patternFill patternType="solid">
          <bgColor rgb="FF6CF8CD"/>
        </patternFill>
      </fill>
    </dxf>
  </rfmt>
  <rcc rId="10848" sId="12">
    <nc r="B68">
      <f>J68+L68+N68+P68+R68+T68+V68+X68+Z68+AB68+AD68+H68</f>
    </nc>
  </rcc>
  <rcc rId="10849" sId="12">
    <nc r="C68">
      <f>SUM(H68)</f>
    </nc>
  </rcc>
  <rcc rId="10850" sId="12">
    <nc r="D68">
      <f>E68</f>
    </nc>
  </rcc>
  <rcc rId="10851" sId="12">
    <nc r="E68">
      <f>SUM(I68,K68,M68,O68,Q68,S68,U68,W68,Y68,AA68,AC68,AE68)</f>
    </nc>
  </rcc>
  <rcc rId="10852" sId="12">
    <nc r="B69">
      <f>J69+L69+N69+P69+R69+T69+V69+X69+Z69+AB69+AD69+H69</f>
    </nc>
  </rcc>
  <rcc rId="10853" sId="12">
    <nc r="C69">
      <f>SUM(H69)</f>
    </nc>
  </rcc>
  <rcc rId="10854" sId="12">
    <nc r="D69">
      <f>E69</f>
    </nc>
  </rcc>
  <rcc rId="10855" sId="12">
    <nc r="E69">
      <f>SUM(I69,K69,M69,O69,Q69,S69,U69,W69,Y69,AA69,AC69,AE69)</f>
    </nc>
  </rcc>
  <rcc rId="10856" sId="12">
    <nc r="B74">
      <f>J74+L74+N74+P74+R74+T74+V74+X74+Z74+AB74+AD74+H74</f>
    </nc>
  </rcc>
  <rcc rId="10857" sId="12">
    <nc r="C74">
      <f>SUM(H74)</f>
    </nc>
  </rcc>
  <rcc rId="10858" sId="12">
    <nc r="D74">
      <f>E74</f>
    </nc>
  </rcc>
  <rcc rId="10859" sId="12">
    <nc r="E74">
      <f>SUM(I74,K74,M74,O74,Q74,S74,U74,W74,Y74,AA74,AC74,AE74)</f>
    </nc>
  </rcc>
  <rcc rId="10860" sId="12">
    <nc r="B75">
      <f>J75+L75+N75+P75+R75+T75+V75+X75+Z75+AB75+AD75+H75</f>
    </nc>
  </rcc>
  <rcc rId="10861" sId="12">
    <nc r="C75">
      <f>SUM(H75)</f>
    </nc>
  </rcc>
  <rcc rId="10862" sId="12">
    <nc r="D75">
      <f>E75</f>
    </nc>
  </rcc>
  <rcc rId="10863" sId="12">
    <nc r="E75">
      <f>SUM(I75,K75,M75,O75,Q75,S75,U75,W75,Y75,AA75,AC75,AE75)</f>
    </nc>
  </rcc>
  <rfmt sheetId="12" sqref="H73">
    <dxf>
      <fill>
        <patternFill patternType="solid">
          <bgColor rgb="FF6CF8CD"/>
        </patternFill>
      </fill>
    </dxf>
  </rfmt>
  <rfmt sheetId="12" sqref="J73" start="0" length="2147483647">
    <dxf>
      <font>
        <color rgb="FFFF0000"/>
      </font>
    </dxf>
  </rfmt>
  <rfmt sheetId="12" sqref="L73" start="0" length="2147483647">
    <dxf>
      <font>
        <color rgb="FFFF0000"/>
      </font>
    </dxf>
  </rfmt>
  <rcmt sheetId="12" cell="M73" guid="{00000000-0000-0000-0000-000000000000}" action="delete" author="Цёвка Елена Александровна"/>
  <rfmt sheetId="12" sqref="N73">
    <dxf>
      <fill>
        <patternFill patternType="solid">
          <bgColor rgb="FF6CF8CD"/>
        </patternFill>
      </fill>
    </dxf>
  </rfmt>
  <rfmt sheetId="12" sqref="P73">
    <dxf>
      <fill>
        <patternFill patternType="solid">
          <bgColor rgb="FF6CF8CD"/>
        </patternFill>
      </fill>
    </dxf>
  </rfmt>
  <rfmt sheetId="12" sqref="R73" start="0" length="2147483647">
    <dxf>
      <font>
        <color rgb="FFFF0000"/>
      </font>
    </dxf>
  </rfmt>
  <rfmt sheetId="12" sqref="T73" start="0" length="2147483647">
    <dxf>
      <font>
        <color rgb="FFFF0000"/>
      </font>
    </dxf>
  </rfmt>
  <rfmt sheetId="12" sqref="V73">
    <dxf>
      <fill>
        <patternFill patternType="solid">
          <bgColor rgb="FF6CF8CD"/>
        </patternFill>
      </fill>
    </dxf>
  </rfmt>
  <rfmt sheetId="12" sqref="X73">
    <dxf>
      <fill>
        <patternFill patternType="solid">
          <bgColor rgb="FF6CF8CD"/>
        </patternFill>
      </fill>
    </dxf>
  </rfmt>
  <rfmt sheetId="12" sqref="Z73">
    <dxf>
      <fill>
        <patternFill patternType="solid">
          <bgColor rgb="FF6CF8CD"/>
        </patternFill>
      </fill>
    </dxf>
  </rfmt>
  <rfmt sheetId="12" sqref="AB73">
    <dxf>
      <fill>
        <patternFill patternType="solid">
          <bgColor rgb="FF6CF8CD"/>
        </patternFill>
      </fill>
    </dxf>
  </rfmt>
  <rfmt sheetId="12" sqref="AD73" start="0" length="2147483647">
    <dxf>
      <font>
        <color rgb="FFFF0000"/>
      </font>
    </dxf>
  </rfmt>
  <rfmt sheetId="12" sqref="A76">
    <dxf>
      <fill>
        <patternFill patternType="solid">
          <bgColor rgb="FFFF0000"/>
        </patternFill>
      </fill>
    </dxf>
  </rfmt>
  <rfmt sheetId="12" sqref="C70">
    <dxf>
      <fill>
        <patternFill patternType="solid">
          <bgColor rgb="FFFF0000"/>
        </patternFill>
      </fill>
    </dxf>
  </rfmt>
  <rfmt sheetId="12" sqref="K73" start="0" length="2147483647">
    <dxf>
      <font>
        <color rgb="FFFF0000"/>
      </font>
    </dxf>
  </rfmt>
  <rfmt sheetId="12" sqref="K73">
    <dxf>
      <fill>
        <patternFill>
          <bgColor auto="1"/>
        </patternFill>
      </fill>
    </dxf>
  </rfmt>
  <rfmt sheetId="12" sqref="K73" start="0" length="2147483647">
    <dxf>
      <font>
        <color auto="1"/>
      </font>
    </dxf>
  </rfmt>
  <rfmt sheetId="12" sqref="C64" start="0" length="2147483647">
    <dxf>
      <font>
        <color rgb="FFFF0000"/>
      </font>
    </dxf>
  </rfmt>
  <rcmt sheetId="12" cell="C64" guid="{00000000-0000-0000-0000-000000000000}" action="delete" author="Цёвка Елена Александровна"/>
  <rfmt sheetId="12" sqref="C64" start="0" length="2147483647">
    <dxf>
      <font>
        <color auto="1"/>
      </font>
    </dxf>
  </rfmt>
  <rfmt sheetId="12" sqref="C79" start="0" length="2147483647">
    <dxf>
      <font>
        <color rgb="FFFF0000"/>
      </font>
    </dxf>
  </rfmt>
  <rfmt sheetId="12" sqref="B97">
    <dxf>
      <fill>
        <patternFill patternType="solid">
          <bgColor rgb="FF6CF8CD"/>
        </patternFill>
      </fill>
    </dxf>
  </rfmt>
  <rfmt sheetId="12" sqref="B100">
    <dxf>
      <fill>
        <patternFill patternType="solid">
          <bgColor rgb="FF6CF8CD"/>
        </patternFill>
      </fill>
    </dxf>
  </rfmt>
  <rfmt sheetId="12" sqref="B101">
    <dxf>
      <fill>
        <patternFill patternType="solid">
          <bgColor rgb="FF6CF8CD"/>
        </patternFill>
      </fill>
    </dxf>
  </rfmt>
  <rfmt sheetId="12" sqref="C101">
    <dxf>
      <fill>
        <patternFill patternType="solid">
          <bgColor rgb="FF6CF8CD"/>
        </patternFill>
      </fill>
    </dxf>
  </rfmt>
  <rfmt sheetId="12" sqref="C97" start="0" length="2147483647">
    <dxf>
      <font>
        <color rgb="FFFF0000"/>
      </font>
    </dxf>
  </rfmt>
  <rfmt sheetId="12" sqref="C100" start="0" length="2147483647">
    <dxf>
      <font>
        <color rgb="FFFF0000"/>
      </font>
    </dxf>
  </rfmt>
  <rfmt sheetId="12" sqref="E101">
    <dxf>
      <fill>
        <patternFill patternType="solid">
          <bgColor rgb="FF6CF8CD"/>
        </patternFill>
      </fill>
    </dxf>
  </rfmt>
  <rfmt sheetId="12" sqref="E100" start="0" length="2147483647">
    <dxf>
      <font>
        <color rgb="FFFF0000"/>
      </font>
    </dxf>
  </rfmt>
  <rfmt sheetId="12" sqref="E97" start="0" length="2147483647">
    <dxf>
      <font>
        <color rgb="FFFF0000"/>
      </font>
    </dxf>
  </rfmt>
  <rcmt sheetId="12" cell="E97" guid="{00000000-0000-0000-0000-000000000000}" action="delete" author="Цёвка Елена Александровна"/>
  <rcmt sheetId="12" cell="E97" guid="{00000000-0000-0000-0000-000000000000}" action="delete" author="Цёвка Елена Александровна"/>
  <rfmt sheetId="12" sqref="H97" start="0" length="2147483647">
    <dxf>
      <font>
        <color rgb="FFFF0000"/>
      </font>
    </dxf>
  </rfmt>
  <rfmt sheetId="12" sqref="J97" start="0" length="2147483647">
    <dxf>
      <font>
        <color rgb="FFFF0000"/>
      </font>
    </dxf>
  </rfmt>
  <rfmt sheetId="12" sqref="L97" start="0" length="2147483647">
    <dxf>
      <font>
        <color rgb="FFFF0000"/>
      </font>
    </dxf>
  </rfmt>
  <rcmt sheetId="12" cell="H97" guid="{781DBFBB-6C92-4C49-AAAE-EC1B75596591}" author="Цёвка Елена Александровна" newLength="62"/>
  <rcmt sheetId="12" cell="J97" guid="{B44D45A2-99F5-4832-920F-00DE3A21DB27}" author="Цёвка Елена Александровна" newLength="61"/>
  <rcmt sheetId="12" cell="L97" guid="{84C539B6-BF5F-45D0-BB20-2D04F88B6D24}" author="Цёвка Елена Александровна" newLength="63"/>
</revisions>
</file>

<file path=xl/revisions/revisionLog4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N97" start="0" length="2147483647">
    <dxf>
      <font>
        <color rgb="FFFF0000"/>
      </font>
    </dxf>
  </rfmt>
  <rfmt sheetId="12" sqref="P97" start="0" length="2147483647">
    <dxf>
      <font>
        <color rgb="FFFF0000"/>
      </font>
    </dxf>
  </rfmt>
  <rfmt sheetId="12" sqref="R97" start="0" length="2147483647">
    <dxf>
      <font>
        <color rgb="FFFF0000"/>
      </font>
    </dxf>
  </rfmt>
  <rfmt sheetId="12" sqref="T97" start="0" length="2147483647">
    <dxf>
      <font>
        <color rgb="FFFF0000"/>
      </font>
    </dxf>
  </rfmt>
  <rfmt sheetId="12" sqref="V97" start="0" length="2147483647">
    <dxf>
      <font>
        <color rgb="FFFF0000"/>
      </font>
    </dxf>
  </rfmt>
  <rfmt sheetId="12" sqref="X97" start="0" length="2147483647">
    <dxf>
      <font>
        <color rgb="FFFF0000"/>
      </font>
    </dxf>
  </rfmt>
  <rfmt sheetId="12" sqref="Z97" start="0" length="2147483647">
    <dxf>
      <font>
        <color rgb="FFFF0000"/>
      </font>
    </dxf>
  </rfmt>
  <rfmt sheetId="12" sqref="AB97" start="0" length="2147483647">
    <dxf>
      <font>
        <color rgb="FFFF0000"/>
      </font>
    </dxf>
  </rfmt>
  <rfmt sheetId="12" sqref="AD97" start="0" length="2147483647">
    <dxf>
      <font>
        <color rgb="FFFF0000"/>
      </font>
    </dxf>
  </rfmt>
  <rcc rId="10864" sId="12" numFmtId="4">
    <nc r="H101">
      <v>0</v>
    </nc>
  </rcc>
  <rcc rId="10865" sId="12" numFmtId="4">
    <nc r="J101">
      <v>0</v>
    </nc>
  </rcc>
  <rfmt sheetId="12" sqref="H101">
    <dxf>
      <fill>
        <patternFill patternType="solid">
          <bgColor rgb="FF6CF8CD"/>
        </patternFill>
      </fill>
    </dxf>
  </rfmt>
  <rfmt sheetId="12" sqref="J101">
    <dxf>
      <fill>
        <patternFill patternType="solid">
          <bgColor rgb="FF6CF8CD"/>
        </patternFill>
      </fill>
    </dxf>
  </rfmt>
  <rfmt sheetId="12" sqref="L101">
    <dxf>
      <fill>
        <patternFill patternType="solid">
          <bgColor rgb="FF6CF8CD"/>
        </patternFill>
      </fill>
    </dxf>
  </rfmt>
  <rfmt sheetId="12" sqref="N101">
    <dxf>
      <fill>
        <patternFill patternType="solid">
          <bgColor rgb="FF6CF8CD"/>
        </patternFill>
      </fill>
    </dxf>
  </rfmt>
  <rcc rId="10866" sId="12" numFmtId="4">
    <nc r="P101">
      <v>0</v>
    </nc>
  </rcc>
  <rfmt sheetId="12" sqref="P101">
    <dxf>
      <fill>
        <patternFill patternType="solid">
          <bgColor rgb="FF6CF8CD"/>
        </patternFill>
      </fill>
    </dxf>
  </rfmt>
  <rcc rId="10867" sId="12" numFmtId="4">
    <nc r="R101">
      <v>0</v>
    </nc>
  </rcc>
  <rfmt sheetId="12" sqref="R101">
    <dxf>
      <fill>
        <patternFill patternType="solid">
          <bgColor rgb="FF6CF8CD"/>
        </patternFill>
      </fill>
    </dxf>
  </rfmt>
  <rcc rId="10868" sId="12" numFmtId="4">
    <nc r="T101">
      <v>0</v>
    </nc>
  </rcc>
  <rfmt sheetId="12" sqref="T101">
    <dxf>
      <fill>
        <patternFill patternType="solid">
          <bgColor rgb="FF6CF8CD"/>
        </patternFill>
      </fill>
    </dxf>
  </rfmt>
  <rcc rId="10869" sId="12" numFmtId="4">
    <nc r="V101">
      <v>0</v>
    </nc>
  </rcc>
  <rfmt sheetId="12" sqref="V101">
    <dxf>
      <fill>
        <patternFill patternType="solid">
          <bgColor rgb="FF6CF8CD"/>
        </patternFill>
      </fill>
    </dxf>
  </rfmt>
  <rcc rId="10870" sId="12" numFmtId="4">
    <nc r="X101">
      <v>0</v>
    </nc>
  </rcc>
  <rfmt sheetId="12" sqref="X101">
    <dxf>
      <fill>
        <patternFill patternType="solid">
          <bgColor rgb="FF6CF8CD"/>
        </patternFill>
      </fill>
    </dxf>
  </rfmt>
  <rcc rId="10871" sId="12" numFmtId="4">
    <nc r="Z101">
      <v>0</v>
    </nc>
  </rcc>
  <rfmt sheetId="12" sqref="Z101">
    <dxf>
      <fill>
        <patternFill patternType="solid">
          <bgColor rgb="FF6CF8CD"/>
        </patternFill>
      </fill>
    </dxf>
  </rfmt>
  <rcc rId="10872" sId="12" numFmtId="4">
    <nc r="AB101">
      <v>0</v>
    </nc>
  </rcc>
  <rfmt sheetId="12" sqref="AB101">
    <dxf>
      <fill>
        <patternFill patternType="solid">
          <bgColor rgb="FF6CF8CD"/>
        </patternFill>
      </fill>
    </dxf>
  </rfmt>
  <rfmt sheetId="12" sqref="AD101">
    <dxf>
      <fill>
        <patternFill patternType="solid">
          <bgColor rgb="FF6CF8CD"/>
        </patternFill>
      </fill>
    </dxf>
  </rfmt>
  <rfmt sheetId="12" sqref="H100" start="0" length="2147483647">
    <dxf>
      <font>
        <color rgb="FFFF0000"/>
      </font>
    </dxf>
  </rfmt>
  <rfmt sheetId="12" sqref="J100" start="0" length="2147483647">
    <dxf>
      <font>
        <color rgb="FFFF0000"/>
      </font>
    </dxf>
  </rfmt>
  <rfmt sheetId="12" sqref="L100" start="0" length="2147483647">
    <dxf>
      <font>
        <color rgb="FFFF0000"/>
      </font>
    </dxf>
  </rfmt>
  <rfmt sheetId="12" sqref="N100" start="0" length="2147483647">
    <dxf>
      <font>
        <color rgb="FFFF0000"/>
      </font>
    </dxf>
  </rfmt>
  <rfmt sheetId="12" sqref="P100" start="0" length="2147483647">
    <dxf>
      <font>
        <color rgb="FFFF0000"/>
      </font>
    </dxf>
  </rfmt>
  <rfmt sheetId="12" sqref="R100" start="0" length="2147483647">
    <dxf>
      <font>
        <color rgb="FFFF0000"/>
      </font>
    </dxf>
  </rfmt>
  <rfmt sheetId="12" sqref="T100" start="0" length="2147483647">
    <dxf>
      <font>
        <color rgb="FFFF0000"/>
      </font>
    </dxf>
  </rfmt>
  <rfmt sheetId="12" sqref="V100" start="0" length="2147483647">
    <dxf>
      <font>
        <color rgb="FFFF0000"/>
      </font>
    </dxf>
  </rfmt>
  <rfmt sheetId="12" sqref="X100" start="0" length="2147483647">
    <dxf>
      <font>
        <color rgb="FFFF0000"/>
      </font>
    </dxf>
  </rfmt>
  <rfmt sheetId="12" sqref="Z100" start="0" length="2147483647">
    <dxf>
      <font>
        <color rgb="FFFF0000"/>
      </font>
    </dxf>
  </rfmt>
  <rfmt sheetId="12" sqref="AB100" start="0" length="2147483647">
    <dxf>
      <font>
        <color rgb="FFFF0000"/>
      </font>
    </dxf>
  </rfmt>
  <rcmt sheetId="12" cell="AD100" guid="{00000000-0000-0000-0000-000000000000}" action="delete" author="Цёвка Елена Александровна"/>
  <rfmt sheetId="12" sqref="AD100" start="0" length="2147483647">
    <dxf>
      <font>
        <color rgb="FFFF0000"/>
      </font>
    </dxf>
  </rfmt>
  <rfmt sheetId="12" sqref="D100">
    <dxf>
      <fill>
        <patternFill patternType="solid">
          <bgColor rgb="FF6CF8CD"/>
        </patternFill>
      </fill>
    </dxf>
  </rfmt>
  <rfmt sheetId="12" sqref="D101">
    <dxf>
      <fill>
        <patternFill patternType="solid">
          <bgColor rgb="FF6CF8CD"/>
        </patternFill>
      </fill>
    </dxf>
  </rfmt>
  <rfmt sheetId="12" sqref="A100">
    <dxf>
      <fill>
        <patternFill patternType="solid">
          <bgColor rgb="FFFF0000"/>
        </patternFill>
      </fill>
    </dxf>
  </rfmt>
  <rfmt sheetId="12" sqref="D82" start="0" length="2147483647">
    <dxf>
      <font>
        <color rgb="FFFF0000"/>
      </font>
    </dxf>
  </rfmt>
  <rfmt sheetId="12" sqref="I100">
    <dxf>
      <fill>
        <patternFill patternType="solid">
          <bgColor rgb="FF6CF8CD"/>
        </patternFill>
      </fill>
    </dxf>
  </rfmt>
  <rcc rId="10873" sId="12" numFmtId="4">
    <nc r="I101">
      <v>0</v>
    </nc>
  </rcc>
  <rfmt sheetId="12" sqref="M101">
    <dxf>
      <fill>
        <patternFill patternType="solid">
          <bgColor rgb="FF6CF8CD"/>
        </patternFill>
      </fill>
    </dxf>
  </rfmt>
  <rfmt sheetId="12" sqref="M100" start="0" length="2147483647">
    <dxf>
      <font>
        <color rgb="FFFF0000"/>
      </font>
    </dxf>
  </rfmt>
  <rfmt sheetId="12" sqref="K100" start="0" length="2147483647">
    <dxf>
      <font>
        <color rgb="FFFF0000"/>
      </font>
    </dxf>
  </rfmt>
  <rfmt sheetId="12" sqref="B99">
    <dxf>
      <fill>
        <patternFill patternType="solid">
          <bgColor rgb="FFFF0000"/>
        </patternFill>
      </fill>
    </dxf>
  </rfmt>
  <rfmt sheetId="12" sqref="A99">
    <dxf>
      <fill>
        <patternFill patternType="solid">
          <bgColor rgb="FFFF0000"/>
        </patternFill>
      </fill>
    </dxf>
  </rfmt>
  <rfmt sheetId="12" sqref="C99:D99">
    <dxf>
      <fill>
        <patternFill patternType="solid">
          <bgColor rgb="FFFF0000"/>
        </patternFill>
      </fill>
    </dxf>
  </rfmt>
  <rfmt sheetId="12" sqref="B99">
    <dxf>
      <fill>
        <patternFill patternType="none">
          <bgColor auto="1"/>
        </patternFill>
      </fill>
    </dxf>
  </rfmt>
  <rfmt sheetId="12" sqref="C99:D99">
    <dxf>
      <fill>
        <patternFill patternType="none">
          <bgColor auto="1"/>
        </patternFill>
      </fill>
    </dxf>
  </rfmt>
  <rfmt sheetId="12" sqref="B91">
    <dxf>
      <fill>
        <patternFill patternType="solid">
          <bgColor rgb="FF6CF8CD"/>
        </patternFill>
      </fill>
    </dxf>
  </rfmt>
  <rfmt sheetId="12" sqref="D92">
    <dxf>
      <fill>
        <patternFill patternType="solid">
          <bgColor rgb="FF6CF8CD"/>
        </patternFill>
      </fill>
    </dxf>
  </rfmt>
</revisions>
</file>

<file path=xl/revisions/revisionLog4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C91">
    <dxf>
      <fill>
        <patternFill patternType="solid">
          <bgColor rgb="FF6CF8CD"/>
        </patternFill>
      </fill>
    </dxf>
  </rfmt>
  <rfmt sheetId="12" sqref="D91">
    <dxf>
      <fill>
        <patternFill patternType="solid">
          <bgColor rgb="FF6CF8CD"/>
        </patternFill>
      </fill>
    </dxf>
  </rfmt>
  <rfmt sheetId="12" sqref="D92">
    <dxf>
      <fill>
        <patternFill patternType="none">
          <bgColor auto="1"/>
        </patternFill>
      </fill>
    </dxf>
  </rfmt>
  <rfmt sheetId="12" sqref="H91" start="0" length="2147483647">
    <dxf>
      <font>
        <color rgb="FFFF0000"/>
      </font>
    </dxf>
  </rfmt>
  <rfmt sheetId="12" sqref="J91" start="0" length="2147483647">
    <dxf>
      <font>
        <color rgb="FFFF0000"/>
      </font>
    </dxf>
  </rfmt>
  <rfmt sheetId="12" sqref="L91" start="0" length="2147483647">
    <dxf>
      <font>
        <color rgb="FFFF0000"/>
      </font>
    </dxf>
  </rfmt>
  <rfmt sheetId="12" sqref="N91" start="0" length="2147483647">
    <dxf>
      <font>
        <color rgb="FFFF0000"/>
      </font>
    </dxf>
  </rfmt>
  <rcmt sheetId="12" cell="H91" guid="{F2765020-9270-4265-AE3B-902BCE79A96B}" author="Цёвка Елена Александровна" newLength="52"/>
  <rcmt sheetId="12" cell="J91" guid="{DC571348-0503-417D-992B-F4CCFE1EAA3B}" author="Цёвка Елена Александровна" newLength="53"/>
  <rcmt sheetId="12" cell="L91" guid="{B786C1D7-9D9B-435F-9EB3-552FE85DF70C}" author="Цёвка Елена Александровна" newLength="40"/>
  <rcmt sheetId="12" cell="N91" guid="{A4F228B4-903E-49DC-83C9-E0DFF4AC19FC}" author="Цёвка Елена Александровна" newLength="51"/>
</revisions>
</file>

<file path=xl/revisions/revisionLog4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P91">
    <dxf>
      <fill>
        <patternFill patternType="solid">
          <bgColor rgb="FF6CF8CD"/>
        </patternFill>
      </fill>
    </dxf>
  </rfmt>
  <rfmt sheetId="12" sqref="R91">
    <dxf>
      <fill>
        <patternFill patternType="solid">
          <bgColor rgb="FF6CF8CD"/>
        </patternFill>
      </fill>
    </dxf>
  </rfmt>
  <rfmt sheetId="12" sqref="T91">
    <dxf>
      <fill>
        <patternFill patternType="solid">
          <bgColor rgb="FF6CF8CD"/>
        </patternFill>
      </fill>
    </dxf>
  </rfmt>
  <rfmt sheetId="12" sqref="V91">
    <dxf>
      <fill>
        <patternFill patternType="solid">
          <bgColor rgb="FF6CF8CD"/>
        </patternFill>
      </fill>
    </dxf>
  </rfmt>
  <rfmt sheetId="12" sqref="X91">
    <dxf>
      <fill>
        <patternFill patternType="solid">
          <bgColor rgb="FF6CF8CD"/>
        </patternFill>
      </fill>
    </dxf>
  </rfmt>
  <rfmt sheetId="12" sqref="Z91">
    <dxf>
      <fill>
        <patternFill patternType="solid">
          <bgColor rgb="FF6CF8CD"/>
        </patternFill>
      </fill>
    </dxf>
  </rfmt>
  <rfmt sheetId="12" sqref="AB91" start="0" length="2147483647">
    <dxf>
      <font>
        <color rgb="FFFF0000"/>
      </font>
    </dxf>
  </rfmt>
  <rfmt sheetId="12" sqref="AD91">
    <dxf>
      <fill>
        <patternFill patternType="solid">
          <bgColor rgb="FF6CF8CD"/>
        </patternFill>
      </fill>
    </dxf>
  </rfmt>
  <rfmt sheetId="12" sqref="A105">
    <dxf>
      <fill>
        <patternFill>
          <bgColor rgb="FFFF0000"/>
        </patternFill>
      </fill>
    </dxf>
  </rfmt>
  <rfmt sheetId="12" sqref="A99">
    <dxf>
      <fill>
        <patternFill patternType="none">
          <bgColor auto="1"/>
        </patternFill>
      </fill>
    </dxf>
  </rfmt>
  <rfmt sheetId="12" sqref="B105" start="0" length="2147483647">
    <dxf>
      <font>
        <color rgb="FFFF0000"/>
      </font>
    </dxf>
  </rfmt>
  <rfmt sheetId="12" sqref="C105" start="0" length="2147483647">
    <dxf>
      <font>
        <color rgb="FFFF0000"/>
      </font>
    </dxf>
  </rfmt>
  <rfmt sheetId="12" sqref="D105" start="0" length="2147483647">
    <dxf>
      <font>
        <color rgb="FFFF0000"/>
      </font>
    </dxf>
  </rfmt>
  <rcmt sheetId="12" cell="B99" guid="{00000000-0000-0000-0000-000000000000}" action="delete" author="Цёвка Елена Александровна"/>
  <rcmt sheetId="12" cell="C99" guid="{00000000-0000-0000-0000-000000000000}" action="delete" author="Цёвка Елена Александровна"/>
  <rcmt sheetId="12" cell="D99" guid="{00000000-0000-0000-0000-000000000000}" action="delete" author="Цёвка Елена Александровна"/>
  <rfmt sheetId="11" sqref="B132" start="0" length="2147483647">
    <dxf>
      <font>
        <color rgb="FFFF0000"/>
      </font>
    </dxf>
  </rfmt>
  <rfmt sheetId="11" sqref="B135" start="0" length="2147483647">
    <dxf>
      <font>
        <color rgb="FFFF0000"/>
      </font>
    </dxf>
  </rfmt>
  <rfmt sheetId="11" sqref="B134" start="0" length="2147483647">
    <dxf>
      <font>
        <color rgb="FFFF0000"/>
      </font>
    </dxf>
  </rfmt>
  <rcmt sheetId="11" cell="B132" guid="{3BBB923D-6436-4943-A82C-50D5315E11D6}" author="Цёвка Елена Александровна" newLength="58"/>
  <rcmt sheetId="11" cell="B134" guid="{09AAA497-11D8-4E48-9B0B-D0B38BE49C2E}" author="Цёвка Елена Александровна" newLength="58"/>
  <rcmt sheetId="11" cell="B135" guid="{7EDBC8AA-A47B-4FE9-B1CF-AD9C34B65C63}" author="Цёвка Елена Александровна" newLength="50"/>
  <rcv guid="{6A602CB8-B24C-4ED4-B378-B27354BE0A1A}" action="delete"/>
  <rdn rId="0" localSheetId="2" customView="1" name="Z_6A602CB8_B24C_4ED4_B378_B27354BE0A1A_.wvu.Rows" hidden="1" oldHidden="1">
    <formula>'1.СЗН'!$69:$73</formula>
    <oldFormula>'1.СЗН'!$69:$73</oldFormula>
  </rdn>
  <rdn rId="0" localSheetId="2" customView="1" name="Z_6A602CB8_B24C_4ED4_B378_B27354BE0A1A_.wvu.FilterData" hidden="1" oldHidden="1">
    <formula>'1.СЗН'!$A$1:$AF$63</formula>
    <oldFormula>'1.СЗН'!$A$1:$AF$63</oldFormula>
  </rdn>
  <rdn rId="0" localSheetId="3" customView="1" name="Z_6A602CB8_B24C_4ED4_B378_B27354BE0A1A_.wvu.FilterData" hidden="1" oldHidden="1">
    <formula>'2.АПК'!$A$1:$AF$36</formula>
    <oldFormula>'2.АПК'!$A$1:$AF$36</oldFormula>
  </rdn>
  <rdn rId="0" localSheetId="4" customView="1" name="Z_6A602CB8_B24C_4ED4_B378_B27354BE0A1A_.wvu.FilterData" hidden="1" oldHidden="1">
    <formula>'3.БЖД'!$A$1:$AF$17</formula>
    <oldFormula>'3.БЖД'!$A$1:$AF$17</oldFormula>
  </rdn>
  <rdn rId="0" localSheetId="5" customView="1" name="Z_6A602CB8_B24C_4ED4_B378_B27354BE0A1A_.wvu.FilterData" hidden="1" oldHidden="1">
    <formula>'4.УМИ'!$A$1:$AF$11</formula>
    <oldFormula>'4.УМИ'!$A$1:$AF$11</oldFormula>
  </rdn>
  <rdn rId="0" localSheetId="6" customView="1" name="Z_6A602CB8_B24C_4ED4_B378_B27354BE0A1A_.wvu.FilterData" hidden="1" oldHidden="1">
    <formula>'5.Проф. прав.'!$A$1:$AF$12</formula>
    <oldFormula>'5.Проф. прав.'!$A$1:$AF$12</oldFormula>
  </rdn>
  <rdn rId="0" localSheetId="7" customView="1" name="Z_6A602CB8_B24C_4ED4_B378_B27354BE0A1A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A602CB8_B24C_4ED4_B378_B27354BE0A1A_.wvu.FilterData" hidden="1" oldHidden="1">
    <formula>'6.Экстримизм'!$A$1:$AF$11</formula>
    <oldFormula>'6.Экстримизм'!$A$1:$AF$11</oldFormula>
  </rdn>
  <rdn rId="0" localSheetId="15" customView="1" name="Z_6A602CB8_B24C_4ED4_B378_B27354BE0A1A_.wvu.Rows" hidden="1" oldHidden="1">
    <formula>'13.МП РЖС'!$122:$127</formula>
    <oldFormula>'13.МП РЖС'!$122:$127</oldFormula>
  </rdn>
  <rdn rId="0" localSheetId="15" customView="1" name="Z_6A602CB8_B24C_4ED4_B378_B27354BE0A1A_.wvu.Cols" hidden="1" oldHidden="1">
    <formula>'13.МП РЖС'!$AG:$AG</formula>
    <oldFormula>'13.МП РЖС'!$AG:$AG</oldFormula>
  </rdn>
  <rcv guid="{6A602CB8-B24C-4ED4-B378-B27354BE0A1A}" action="add"/>
</revisions>
</file>

<file path=xl/revisions/revisionLog4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B274" start="0" length="2147483647">
    <dxf>
      <font>
        <color rgb="FFFF0000"/>
      </font>
    </dxf>
  </rfmt>
</revisions>
</file>

<file path=xl/revisions/revisionLog4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84" sId="8">
    <oc r="X132">
      <f>1447.943+2213.4</f>
    </oc>
    <nc r="X132">
      <f>1447.936+2213.4</f>
    </nc>
  </rcc>
  <rcc rId="10885" sId="8">
    <oc r="B28">
      <f>B34+B41+B47+B53+B60</f>
    </oc>
    <nc r="B28">
      <f>B34+B41+B47+B53+B60</f>
    </nc>
  </rcc>
  <rcc rId="10886" sId="8">
    <oc r="B25">
      <f>B26+B27+B28+B29</f>
    </oc>
    <nc r="B25">
      <f>B26+B27+B28+B29</f>
    </nc>
  </rcc>
  <rcc rId="10887" sId="8">
    <oc r="B29">
      <f>B35+B42+B48+B54+B61</f>
    </oc>
    <nc r="B29">
      <f>B35+B42+B48+B61</f>
    </nc>
  </rcc>
  <rcv guid="{7C130984-112A-4861-AA43-E2940708E3DC}" action="delete"/>
  <rdn rId="0" localSheetId="2" customView="1" name="Z_7C130984_112A_4861_AA43_E2940708E3DC_.wvu.Rows" hidden="1" oldHidden="1">
    <formula>'1.СЗН'!$69:$73</formula>
    <oldFormula>'1.СЗН'!$69:$73</oldFormula>
  </rdn>
  <rdn rId="0" localSheetId="2" customView="1" name="Z_7C130984_112A_4861_AA43_E2940708E3DC_.wvu.FilterData" hidden="1" oldHidden="1">
    <formula>'1.СЗН'!$A$1:$AF$63</formula>
    <oldFormula>'1.СЗН'!$A$1:$AF$63</oldFormula>
  </rdn>
  <rdn rId="0" localSheetId="3" customView="1" name="Z_7C130984_112A_4861_AA43_E2940708E3DC_.wvu.FilterData" hidden="1" oldHidden="1">
    <formula>'2.АПК'!$A$1:$AF$36</formula>
    <oldFormula>'2.АПК'!$A$1:$AF$36</oldFormula>
  </rdn>
  <rdn rId="0" localSheetId="4" customView="1" name="Z_7C130984_112A_4861_AA43_E2940708E3DC_.wvu.FilterData" hidden="1" oldHidden="1">
    <formula>'3.БЖД'!$A$1:$AF$17</formula>
    <oldFormula>'3.БЖД'!$A$1:$AF$17</oldFormula>
  </rdn>
  <rdn rId="0" localSheetId="5" customView="1" name="Z_7C130984_112A_4861_AA43_E2940708E3DC_.wvu.FilterData" hidden="1" oldHidden="1">
    <formula>'4.УМИ'!$A$1:$AF$11</formula>
    <oldFormula>'4.УМИ'!$A$1:$AF$11</oldFormula>
  </rdn>
  <rdn rId="0" localSheetId="6" customView="1" name="Z_7C130984_112A_4861_AA43_E2940708E3DC_.wvu.FilterData" hidden="1" oldHidden="1">
    <formula>'5.Проф. прав.'!$A$1:$AF$12</formula>
    <oldFormula>'5.Проф. прав.'!$A$1:$AF$12</oldFormula>
  </rdn>
  <rdn rId="0" localSheetId="7" customView="1" name="Z_7C130984_112A_4861_AA43_E2940708E3DC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7C130984_112A_4861_AA43_E2940708E3DC_.wvu.FilterData" hidden="1" oldHidden="1">
    <formula>'6.Экстримизм'!$A$1:$AF$11</formula>
    <oldFormula>'6.Экстримизм'!$A$1:$AF$11</oldFormula>
  </rdn>
  <rdn rId="0" localSheetId="15" customView="1" name="Z_7C130984_112A_4861_AA43_E2940708E3DC_.wvu.Rows" hidden="1" oldHidden="1">
    <formula>'13.МП РЖС'!$122:$127</formula>
    <oldFormula>'13.МП РЖС'!$122:$127</oldFormula>
  </rdn>
  <rdn rId="0" localSheetId="15" customView="1" name="Z_7C130984_112A_4861_AA43_E2940708E3DC_.wvu.Cols" hidden="1" oldHidden="1">
    <formula>'13.МП РЖС'!$AG:$AG</formula>
    <oldFormula>'13.МП РЖС'!$AG:$AG</oldFormula>
  </rdn>
  <rcv guid="{7C130984-112A-4861-AA43-E2940708E3DC}" action="add"/>
</revisions>
</file>

<file path=xl/revisions/revisionLog4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I232" guid="{00000000-0000-0000-0000-000000000000}" action="delete" author="Шишкина Юлия Андреева"/>
  <rcc rId="10898" sId="12" numFmtId="4">
    <oc r="J76">
      <v>3300.1107900000002</v>
    </oc>
    <nc r="J76">
      <v>5375.11</v>
    </nc>
  </rcc>
  <rcc rId="10899" sId="12" numFmtId="4">
    <oc r="L76">
      <f>3602.3345+4892.2-0.06</f>
    </oc>
    <nc r="L76">
      <v>6419.48</v>
    </nc>
  </rcc>
  <rcc rId="10900" sId="12">
    <oc r="M73">
      <f>M75+M76+M74+M77</f>
    </oc>
    <nc r="M73">
      <f>M75+M76+M74+M77</f>
    </nc>
  </rcc>
  <rcc rId="10901" sId="12" numFmtId="4">
    <oc r="M76">
      <v>5557.98</v>
    </oc>
    <nc r="M76">
      <v>5558.02</v>
    </nc>
  </rcc>
  <rcc rId="10902" sId="12">
    <oc r="R76">
      <f>0.06+59.16289</f>
    </oc>
    <nc r="R76">
      <f>59.16289</f>
    </nc>
  </rcc>
  <rcc rId="10903" sId="12" numFmtId="4">
    <oc r="T76">
      <v>56.294589999999999</v>
    </oc>
    <nc r="T76">
      <v>59.16</v>
    </nc>
  </rcc>
  <rfmt sheetId="12" sqref="A73:XFD76">
    <dxf>
      <fill>
        <patternFill patternType="none">
          <bgColor auto="1"/>
        </patternFill>
      </fill>
    </dxf>
  </rfmt>
  <rcmt sheetId="12" cell="C73" guid="{00000000-0000-0000-0000-000000000000}" action="delete" author="Цёвка Елена Александровна"/>
  <rcmt sheetId="12" cell="E73" guid="{00000000-0000-0000-0000-000000000000}" action="delete" author="Цёвка Елена Александровна"/>
  <rcmt sheetId="12" cell="J73" guid="{00000000-0000-0000-0000-000000000000}" action="delete" author="Цёвка Елена Александровна"/>
  <rcmt sheetId="12" cell="K73" guid="{00000000-0000-0000-0000-000000000000}" action="delete" author="Цёвка Елена Александровна"/>
  <rcmt sheetId="12" cell="L73" guid="{00000000-0000-0000-0000-000000000000}" action="delete" author="Цёвка Елена Александровна"/>
  <rfmt sheetId="12" sqref="C73:L73">
    <dxf>
      <fill>
        <patternFill>
          <bgColor auto="1"/>
        </patternFill>
      </fill>
    </dxf>
  </rfmt>
  <rfmt sheetId="12" sqref="C73:L73" start="0" length="2147483647">
    <dxf>
      <font>
        <color theme="1"/>
      </font>
    </dxf>
  </rfmt>
</revisions>
</file>

<file path=xl/revisions/revisionLog4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04" sId="12" numFmtId="4">
    <oc r="H92">
      <f>4175.62-63.06</f>
    </oc>
    <nc r="H92">
      <v>4082.28</v>
    </nc>
  </rcc>
  <rcc rId="10905" sId="12" numFmtId="4">
    <oc r="J92">
      <v>4155.62</v>
    </oc>
    <nc r="J92">
      <v>4046.15</v>
    </nc>
  </rcc>
  <rcc rId="10906" sId="12" numFmtId="19">
    <oc r="C7">
      <v>45383</v>
    </oc>
    <nc r="C7">
      <v>45413</v>
    </nc>
  </rcc>
  <rcc rId="10907" sId="12" numFmtId="19">
    <oc r="D7">
      <v>45383</v>
    </oc>
    <nc r="D7">
      <v>45413</v>
    </nc>
  </rcc>
  <rcc rId="10908" sId="12" numFmtId="19">
    <oc r="E7">
      <v>45383</v>
    </oc>
    <nc r="E7">
      <v>45413</v>
    </nc>
  </rcc>
  <rcc rId="10909" sId="12" numFmtId="4">
    <oc r="N92">
      <v>4528.42</v>
    </oc>
    <nc r="N92">
      <v>12539.08</v>
    </nc>
  </rcc>
  <rcc rId="10910" sId="12" numFmtId="4">
    <oc r="X92">
      <v>4106.3599999999997</v>
    </oc>
    <nc r="X92">
      <v>1705.64</v>
    </nc>
  </rcc>
  <rcc rId="10911" sId="12" numFmtId="4">
    <oc r="Z92">
      <v>4106.3599999999997</v>
    </oc>
    <nc r="Z92">
      <v>1688.45</v>
    </nc>
  </rcc>
  <rcc rId="10912" sId="12" numFmtId="4">
    <oc r="AB92">
      <f>63.06+4098.36</f>
    </oc>
    <nc r="AB92">
      <v>392.54</v>
    </nc>
  </rcc>
  <rcc rId="10913" sId="12" numFmtId="4">
    <oc r="AD92">
      <v>3980.34</v>
    </oc>
    <nc r="AD92">
      <v>13</v>
    </nc>
  </rcc>
  <rcc rId="10914" sId="12" numFmtId="4">
    <oc r="P92">
      <v>6685.5720000000001</v>
    </oc>
    <nc r="P92">
      <v>10239.700000000001</v>
    </nc>
  </rcc>
  <rcc rId="10915" sId="12" numFmtId="4">
    <oc r="R92">
      <v>7786.2120000000004</v>
    </oc>
    <nc r="R92">
      <v>9174.73</v>
    </nc>
  </rcc>
  <rcc rId="10916" sId="12" numFmtId="4">
    <oc r="T92">
      <v>212.8</v>
    </oc>
    <nc r="T92">
      <v>212.82</v>
    </nc>
  </rcc>
  <rcc rId="10917" sId="12" numFmtId="4">
    <nc r="O92">
      <v>12067</v>
    </nc>
  </rcc>
  <rcc rId="10918" sId="12">
    <oc r="C92">
      <f>H92+J92+L92</f>
    </oc>
    <nc r="C92">
      <f>H92+J92+L92+N92</f>
    </nc>
  </rcc>
  <rcc rId="10919" sId="12" numFmtId="4">
    <oc r="L92">
      <v>4155.42</v>
    </oc>
    <nc r="L92">
      <v>4209.92</v>
    </nc>
  </rcc>
  <rcc rId="10920" sId="12" numFmtId="4">
    <oc r="V92">
      <v>1380.7159999999999</v>
    </oc>
    <nc r="V92">
      <v>1067.49</v>
    </nc>
  </rcc>
  <rdn rId="0" localSheetId="12" customView="1" name="Z_09C3E205_981E_4A4E_BE89_8B7044192060_.wvu.FilterData" hidden="1" oldHidden="1">
    <oldFormula>'11.МП РО'!$A$4:$A$380</oldFormula>
  </rdn>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91" guid="{00000000-0000-0000-0000-000000000000}" action="delete" author="Цёвка Елена Александровна"/>
  <rcmt sheetId="12" cell="J91" guid="{00000000-0000-0000-0000-000000000000}" action="delete" author="Цёвка Елена Александровна"/>
  <rcmt sheetId="12" cell="L91" guid="{00000000-0000-0000-0000-000000000000}" action="delete" author="Цёвка Елена Александровна"/>
  <rcmt sheetId="12" cell="N91" guid="{00000000-0000-0000-0000-000000000000}" action="delete" author="Цёвка Елена Александровна"/>
  <rcmt sheetId="12" cell="AB91" guid="{00000000-0000-0000-0000-000000000000}" action="delete" author="Цёвка Елена Александровна"/>
  <rfmt sheetId="12" sqref="A91:XFD91">
    <dxf>
      <fill>
        <patternFill patternType="none">
          <bgColor auto="1"/>
        </patternFill>
      </fill>
    </dxf>
  </rfmt>
  <rfmt sheetId="12" sqref="A91:XFD91" start="0" length="2147483647">
    <dxf>
      <font>
        <color theme="1"/>
      </font>
    </dxf>
  </rfmt>
  <rfmt sheetId="12" sqref="A90">
    <dxf>
      <fill>
        <patternFill patternType="solid">
          <bgColor rgb="FFFFFF00"/>
        </patternFill>
      </fill>
    </dxf>
  </rfmt>
  <rcc rId="10932" sId="12">
    <oc r="C123">
      <f>H123+J123+L123</f>
    </oc>
    <nc r="C123">
      <f>H123+J123+L123+N123</f>
    </nc>
  </rcc>
  <rcc rId="10933" sId="12" numFmtId="4">
    <oc r="N123">
      <v>325.39999999999998</v>
    </oc>
    <nc r="N123">
      <f>2664.4+325.4</f>
    </nc>
  </rcc>
  <rcc rId="10934" sId="12">
    <oc r="AD123">
      <f>60894.6-3300-3148.4</f>
    </oc>
    <nc r="AD123">
      <f>60894.6-3300-3148.4-6224.4+3560</f>
    </nc>
  </rcc>
  <rcc rId="10935" sId="12">
    <oc r="G123">
      <f>IFERROR(E123/C123*100,0)</f>
    </oc>
    <nc r="G123">
      <f>IFERROR(E123/C123*100,0)</f>
    </nc>
  </rcc>
  <rcc rId="10936" sId="12" numFmtId="4">
    <nc r="O123">
      <v>2989.81</v>
    </nc>
  </rcc>
</revisions>
</file>

<file path=xl/revisions/revisionLog4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120">
    <dxf>
      <fill>
        <patternFill patternType="solid">
          <bgColor rgb="FFFFFF00"/>
        </patternFill>
      </fill>
    </dxf>
  </rfmt>
  <rcc rId="10937" sId="12" numFmtId="4">
    <nc r="O117">
      <v>652</v>
    </nc>
  </rcc>
  <rfmt sheetId="12" sqref="A114">
    <dxf>
      <fill>
        <patternFill patternType="solid">
          <bgColor rgb="FFFFFF00"/>
        </patternFill>
      </fill>
    </dxf>
  </rfmt>
</revisions>
</file>

<file path=xl/revisions/revisionLog4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38" sId="12">
    <oc r="C111">
      <f>H111+J111+L111</f>
    </oc>
    <nc r="C111">
      <f>H111+J111+L111+N111</f>
    </nc>
  </rcc>
  <rcc rId="10939" sId="12" numFmtId="4">
    <nc r="O111">
      <v>4183.6499999999996</v>
    </nc>
  </rcc>
  <rfmt sheetId="12" sqref="A108">
    <dxf>
      <fill>
        <patternFill patternType="solid">
          <bgColor rgb="FFFFFF00"/>
        </patternFill>
      </fill>
    </dxf>
  </rfmt>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50" sId="12" numFmtId="4">
    <nc r="O105">
      <v>162726.53</v>
    </nc>
  </rcc>
  <rcc rId="10951" sId="12">
    <oc r="C105">
      <f>H105+J105+L105</f>
    </oc>
    <nc r="C105">
      <f>H105+J105+L105+N105</f>
    </nc>
  </rcc>
  <rfmt sheetId="12" sqref="A102">
    <dxf>
      <fill>
        <patternFill patternType="solid">
          <bgColor rgb="FFFFFF00"/>
        </patternFill>
      </fill>
    </dxf>
  </rfmt>
  <rcc rId="10952" sId="12" numFmtId="4">
    <oc r="N105">
      <v>225242.7</v>
    </oc>
    <nc r="N105">
      <f>59.99+225242.7</f>
    </nc>
  </rcc>
  <rcc rId="10953" sId="12" numFmtId="4">
    <oc r="R105">
      <v>174143.4</v>
    </oc>
    <nc r="R105">
      <f>174143.4-59.99</f>
    </nc>
  </rcc>
  <rcmt sheetId="12" cell="B105" guid="{A4F70418-03E1-426E-974C-8E2946B02B2B}" author="Цёвка Елена Александровна" oldLength="55" newLength="29"/>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64" sId="12" numFmtId="4">
    <nc r="O101">
      <v>4111</v>
    </nc>
  </rcc>
  <rcc rId="10965" sId="12">
    <oc r="C101">
      <f>L101</f>
    </oc>
    <nc r="C101">
      <f>L101+N101</f>
    </nc>
  </rcc>
  <rcc rId="10966" sId="12" numFmtId="4">
    <nc r="O100">
      <v>37415.57</v>
    </nc>
  </rcc>
  <rcc rId="10967" sId="12">
    <oc r="C100">
      <f>SUM(H100+J100+L100)</f>
    </oc>
    <nc r="C100">
      <f>SUM(H100+J100+L100+N100)</f>
    </nc>
  </rcc>
  <rcc rId="10968" sId="12" numFmtId="4">
    <oc r="N100">
      <v>37371.321049999999</v>
    </oc>
    <nc r="N100">
      <f>37371.32105+44.3</f>
    </nc>
  </rcc>
  <rcc rId="10969" sId="12" numFmtId="4">
    <oc r="Z100">
      <v>25051.754850000001</v>
    </oc>
    <nc r="Z100">
      <f>25051.75485-44.3</f>
    </nc>
  </rcc>
</revisions>
</file>

<file path=xl/revisions/revisionLog4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70" sId="12">
    <oc r="H100">
      <f>52941.1+2679.79</f>
    </oc>
    <nc r="H100">
      <f>52941.1</f>
    </nc>
  </rcc>
  <rcc rId="10971" sId="12" numFmtId="4">
    <oc r="L100">
      <v>43426.056449999996</v>
    </oc>
    <nc r="L100">
      <v>43449.61</v>
    </nc>
  </rcc>
  <rcc rId="10972" sId="12" numFmtId="4">
    <oc r="N100">
      <f>37371.32105+44.3</f>
    </oc>
    <nc r="N100">
      <v>37415.54</v>
    </nc>
  </rcc>
  <rcc rId="10973" sId="12" numFmtId="4">
    <oc r="P100">
      <v>22088.70205</v>
    </oc>
    <nc r="P100">
      <v>39256.01</v>
    </nc>
  </rcc>
  <rcc rId="10974" sId="12" numFmtId="4">
    <oc r="R100">
      <v>32321.298849999999</v>
    </oc>
    <nc r="R100">
      <v>35938.43</v>
    </nc>
  </rcc>
  <rcc rId="10975" sId="12" numFmtId="4">
    <oc r="T100">
      <v>28887.289349999999</v>
    </oc>
    <nc r="T100">
      <v>28576.39</v>
    </nc>
  </rcc>
  <rcc rId="10976" sId="12" numFmtId="4">
    <oc r="V100">
      <f>22895.43545+4484.91</f>
    </oc>
    <nc r="V100">
      <v>21492.639999999999</v>
    </nc>
  </rcc>
  <rcc rId="10977" sId="12" numFmtId="4">
    <oc r="V101">
      <v>0</v>
    </oc>
    <nc r="V101"/>
  </rcc>
  <rcc rId="10978" sId="12" numFmtId="4">
    <oc r="X100">
      <f>5312.6+22675.74145</f>
    </oc>
    <nc r="X100">
      <v>22682.51</v>
    </nc>
  </rcc>
  <rcc rId="10979" sId="12" numFmtId="4">
    <oc r="Z100">
      <f>25051.75485-44.3</f>
    </oc>
    <nc r="Z100">
      <v>25061.7</v>
    </nc>
  </rcc>
  <rcc rId="10980" sId="12" numFmtId="4">
    <oc r="AB100">
      <v>22348.435450000001</v>
    </oc>
    <nc r="AB100">
      <v>22266.31</v>
    </nc>
  </rcc>
  <rcc rId="10981" sId="12">
    <oc r="J100">
      <f>67459.35-2656.3</f>
    </oc>
    <nc r="J100">
      <f>67459.37</f>
    </nc>
  </rcc>
  <rcc rId="10982" sId="12">
    <oc r="AD100">
      <f>19571.20385+3558.01+700</f>
    </oc>
    <nc r="AD100">
      <f>18867.51-4290.3</f>
    </nc>
  </rcc>
</revisions>
</file>

<file path=xl/revisions/revisionLog4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83" sId="12" numFmtId="4">
    <oc r="AB100">
      <v>22266.31</v>
    </oc>
    <nc r="AB100">
      <v>22266.19</v>
    </nc>
  </rcc>
</revisions>
</file>

<file path=xl/revisions/revisionLog4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C100" guid="{00000000-0000-0000-0000-000000000000}" action="delete" author="Цёвка Елена Александровна"/>
  <rcmt sheetId="12" cell="E100" guid="{00000000-0000-0000-0000-000000000000}" action="delete" author="Цёвка Елена Александровна"/>
  <rcmt sheetId="12" cell="H100" guid="{00000000-0000-0000-0000-000000000000}" action="delete" author="Цёвка Елена Александровна"/>
  <rcmt sheetId="12" cell="J100" guid="{00000000-0000-0000-0000-000000000000}" action="delete" author="Цёвка Елена Александровна"/>
  <rcmt sheetId="12" cell="K100" guid="{00000000-0000-0000-0000-000000000000}" action="delete" author="Цёвка Елена Александровна"/>
  <rcmt sheetId="12" cell="L100" guid="{00000000-0000-0000-0000-000000000000}" action="delete" author="Цёвка Елена Александровна"/>
  <rcmt sheetId="12" cell="M100" guid="{00000000-0000-0000-0000-000000000000}" action="delete" author="Цёвка Елена Александровна"/>
  <rcmt sheetId="12" cell="N100" guid="{00000000-0000-0000-0000-000000000000}" action="delete" author="Цёвка Елена Александровна"/>
  <rcmt sheetId="12" cell="P100" guid="{00000000-0000-0000-0000-000000000000}" action="delete" author="Цёвка Елена Александровна"/>
  <rcmt sheetId="12" cell="R100" guid="{00000000-0000-0000-0000-000000000000}" action="delete" author="Цёвка Елена Александровна"/>
  <rcmt sheetId="12" cell="T100" guid="{00000000-0000-0000-0000-000000000000}" action="delete" author="Цёвка Елена Александровна"/>
  <rcmt sheetId="12" cell="V100" guid="{00000000-0000-0000-0000-000000000000}" action="delete" author="Цёвка Елена Александровна"/>
  <rcmt sheetId="12" cell="X100" guid="{00000000-0000-0000-0000-000000000000}" action="delete" author="Цёвка Елена Александровна"/>
  <rcmt sheetId="12" cell="Z100" guid="{00000000-0000-0000-0000-000000000000}" action="delete" author="Цёвка Елена Александровна"/>
  <rcmt sheetId="12" cell="AB100" guid="{00000000-0000-0000-0000-000000000000}" action="delete" author="Цёвка Елена Александровна"/>
  <rcmt sheetId="12" cell="AD100" guid="{00000000-0000-0000-0000-000000000000}" action="delete" author="Цёвка Елена Александровна"/>
  <rfmt sheetId="12" sqref="C100:AD101">
    <dxf>
      <fill>
        <patternFill patternType="none">
          <bgColor auto="1"/>
        </patternFill>
      </fill>
    </dxf>
  </rfmt>
  <rfmt sheetId="12" sqref="C100:AD101" start="0" length="2147483647">
    <dxf>
      <font>
        <color theme="1"/>
      </font>
    </dxf>
  </rfmt>
  <rfmt sheetId="12" sqref="A100:B101">
    <dxf>
      <fill>
        <patternFill patternType="none">
          <bgColor auto="1"/>
        </patternFill>
      </fill>
    </dxf>
  </rfmt>
  <rfmt sheetId="12" sqref="A97:XFD97">
    <dxf>
      <fill>
        <patternFill patternType="none">
          <bgColor auto="1"/>
        </patternFill>
      </fill>
    </dxf>
  </rfmt>
  <rfmt sheetId="12" sqref="A97:XFD97" start="0" length="2147483647">
    <dxf>
      <font>
        <color theme="1"/>
      </font>
    </dxf>
  </rfmt>
  <rcmt sheetId="12" cell="C97" guid="{00000000-0000-0000-0000-000000000000}" action="delete" author="Цёвка Елена Александровна"/>
  <rcmt sheetId="12" cell="D97" guid="{00000000-0000-0000-0000-000000000000}" action="delete" author="Цёвка Елена Александровна"/>
  <rcmt sheetId="12" cell="E97" guid="{00000000-0000-0000-0000-000000000000}" action="delete" author="Цёвка Елена Александровна"/>
  <rcmt sheetId="12" cell="H97" guid="{00000000-0000-0000-0000-000000000000}" action="delete" author="Цёвка Елена Александровна"/>
  <rcmt sheetId="12" cell="J97" guid="{00000000-0000-0000-0000-000000000000}" action="delete" author="Цёвка Елена Александровна"/>
  <rcmt sheetId="12" cell="L97" guid="{00000000-0000-0000-0000-000000000000}" action="delete" author="Цёвка Елена Александровна"/>
  <rcmt sheetId="12" cell="N97" guid="{00000000-0000-0000-0000-000000000000}" action="delete" author="Цёвка Елена Александровна"/>
  <rcmt sheetId="12" cell="P97" guid="{00000000-0000-0000-0000-000000000000}" action="delete" author="Цёвка Елена Александровна"/>
  <rcmt sheetId="12" cell="R97" guid="{00000000-0000-0000-0000-000000000000}" action="delete" author="Цёвка Елена Александровна"/>
  <rcmt sheetId="12" cell="T97" guid="{00000000-0000-0000-0000-000000000000}" action="delete" author="Цёвка Елена Александровна"/>
  <rcmt sheetId="12" cell="V97" guid="{00000000-0000-0000-0000-000000000000}" action="delete" author="Цёвка Елена Александровна"/>
  <rcmt sheetId="12" cell="X97" guid="{00000000-0000-0000-0000-000000000000}" action="delete" author="Цёвка Елена Александровна"/>
  <rfmt sheetId="12" sqref="C78:E83" start="0" length="2147483647">
    <dxf>
      <font>
        <color theme="1"/>
      </font>
    </dxf>
  </rfmt>
  <rcmt sheetId="12" cell="C79" guid="{00000000-0000-0000-0000-000000000000}" action="delete" author="Цёвка Елена Александровна"/>
  <rcmt sheetId="12" cell="D82" guid="{00000000-0000-0000-0000-000000000000}" action="delete" author="Цёвка Елена Александровна"/>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9C3E205_981E_4A4E_BE89_8B7044192060_.wvu.FilterData" hidden="1" oldHidden="1">
    <formula>'6.Экстримизм'!$A$1:$AF$11</formula>
    <oldFormula>'6.Экстримизм'!$A$1:$AF$11</oldFormula>
  </rdn>
  <rdn rId="0" localSheetId="15" customView="1" name="Z_09C3E205_981E_4A4E_BE89_8B7044192060_.wvu.Rows" hidden="1" oldHidden="1">
    <formula>'13.МП РЖС'!$122:$127</formula>
    <oldFormula>'13.МП РЖС'!$122:$127</oldFormula>
  </rdn>
  <rdn rId="0" localSheetId="15" customView="1" name="Z_09C3E205_981E_4A4E_BE89_8B7044192060_.wvu.Cols" hidden="1" oldHidden="1">
    <formula>'13.МП РЖС'!$AG:$AG</formula>
    <oldFormula>'13.МП РЖС'!$AG:$AG</oldFormula>
  </rdn>
  <rcv guid="{09C3E205-981E-4A4E-BE89-8B7044192060}" action="add"/>
</revisions>
</file>

<file path=xl/revisions/revisionLog4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M73" guid="{00000000-0000-0000-0000-000000000000}" action="delete" author="Цёвка Елена Александровна"/>
  <rcmt sheetId="12" cell="R73" guid="{00000000-0000-0000-0000-000000000000}" action="delete" author="Цёвка Елена Александровна"/>
  <rcmt sheetId="12" cell="T73" guid="{00000000-0000-0000-0000-000000000000}" action="delete" author="Цёвка Елена Александровна"/>
  <rfmt sheetId="12" sqref="M73:U74" start="0" length="2147483647">
    <dxf>
      <font>
        <color theme="1"/>
      </font>
    </dxf>
  </rfmt>
</revisions>
</file>

<file path=xl/revisions/revisionLog4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94" sId="12" numFmtId="4">
    <nc r="O76">
      <v>5680.15</v>
    </nc>
  </rcc>
  <rcc rId="10995" sId="12" numFmtId="4">
    <oc r="Z76">
      <v>2880.8506400000001</v>
    </oc>
    <nc r="Z76">
      <f>2880.85064-2.81</f>
    </nc>
  </rcc>
  <rcc rId="10996" sId="12">
    <oc r="C76">
      <f>H76+J76+L76</f>
    </oc>
    <nc r="C76">
      <f>H76+J76+L76+N76</f>
    </nc>
  </rcc>
</revisions>
</file>

<file path=xl/revisions/revisionLog4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72">
    <dxf>
      <fill>
        <patternFill patternType="solid">
          <bgColor rgb="FFFFFF00"/>
        </patternFill>
      </fill>
    </dxf>
  </rfmt>
  <rcc rId="10997" sId="12">
    <oc r="C365">
      <v>3230</v>
    </oc>
    <nc r="C365">
      <f>7341+360.5</f>
    </nc>
  </rcc>
</revisions>
</file>

<file path=xl/revisions/revisionLog4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105">
    <dxf>
      <fill>
        <patternFill>
          <bgColor theme="0"/>
        </patternFill>
      </fill>
    </dxf>
  </rfmt>
  <rfmt sheetId="12" sqref="A105:XFD105" start="0" length="2147483647">
    <dxf>
      <font>
        <color auto="1"/>
      </font>
    </dxf>
  </rfmt>
  <rcmt sheetId="12" cell="B105" guid="{00000000-0000-0000-0000-000000000000}" action="delete" author="Цёвка Елена Александровна"/>
  <rcmt sheetId="12" cell="C105" guid="{00000000-0000-0000-0000-000000000000}" action="delete" author="Цёвка Елена Александровна"/>
  <rcmt sheetId="12" cell="D105" guid="{00000000-0000-0000-0000-000000000000}" action="delete" author="Цёвка Елена Александровна"/>
  <rfmt sheetId="12" sqref="B103:D103">
    <dxf>
      <fill>
        <patternFill patternType="solid">
          <bgColor rgb="FF6CF8CD"/>
        </patternFill>
      </fill>
    </dxf>
  </rfmt>
  <rfmt sheetId="8" sqref="B274" start="0" length="2147483647">
    <dxf>
      <font>
        <color auto="1"/>
      </font>
    </dxf>
  </rfmt>
  <rcmt sheetId="8" cell="B274" guid="{00000000-0000-0000-0000-000000000000}" action="delete" author="Цёвка Елена Александровна"/>
  <rfmt sheetId="8" sqref="B31:E34">
    <dxf>
      <fill>
        <patternFill patternType="solid">
          <bgColor rgb="FF6CF8CD"/>
        </patternFill>
      </fill>
    </dxf>
  </rfmt>
  <rfmt sheetId="8" sqref="B38:E41">
    <dxf>
      <fill>
        <patternFill patternType="solid">
          <bgColor rgb="FF6CF8CD"/>
        </patternFill>
      </fill>
    </dxf>
  </rfmt>
  <rfmt sheetId="8" sqref="B44:C47">
    <dxf>
      <fill>
        <patternFill patternType="solid">
          <bgColor rgb="FF6CF8CD"/>
        </patternFill>
      </fill>
    </dxf>
  </rfmt>
  <rfmt sheetId="8" sqref="C7:E7" start="0" length="2147483647">
    <dxf>
      <font>
        <color rgb="FFFF0000"/>
      </font>
    </dxf>
  </rfmt>
  <rfmt sheetId="8" sqref="H44">
    <dxf>
      <fill>
        <patternFill patternType="solid">
          <bgColor rgb="FF6CF8CD"/>
        </patternFill>
      </fill>
    </dxf>
  </rfmt>
  <rfmt sheetId="8" sqref="J44">
    <dxf>
      <fill>
        <patternFill patternType="solid">
          <bgColor rgb="FF6CF8CD"/>
        </patternFill>
      </fill>
    </dxf>
  </rfmt>
  <rcc rId="10998" sId="8">
    <oc r="C47">
      <f>SUM(H47)</f>
    </oc>
    <nc r="C47">
      <f>SUM(H47+J47+L47)</f>
    </nc>
  </rcc>
  <rfmt sheetId="8" sqref="L44">
    <dxf>
      <fill>
        <patternFill patternType="solid">
          <bgColor rgb="FF6CF8CD"/>
        </patternFill>
      </fill>
    </dxf>
  </rfmt>
  <rfmt sheetId="8" sqref="B52">
    <dxf>
      <fill>
        <patternFill patternType="solid">
          <bgColor rgb="FF6CF8CD"/>
        </patternFill>
      </fill>
    </dxf>
  </rfmt>
  <rfmt sheetId="8" sqref="B50">
    <dxf>
      <fill>
        <patternFill patternType="solid">
          <bgColor rgb="FF6CF8CD"/>
        </patternFill>
      </fill>
    </dxf>
  </rfmt>
  <rfmt sheetId="8" sqref="B53">
    <dxf>
      <fill>
        <patternFill patternType="solid">
          <bgColor rgb="FF6CF8CD"/>
        </patternFill>
      </fill>
    </dxf>
  </rfmt>
  <rfmt sheetId="8" sqref="D50:D53">
    <dxf>
      <fill>
        <patternFill patternType="solid">
          <bgColor rgb="FF6CF8CD"/>
        </patternFill>
      </fill>
    </dxf>
  </rfmt>
  <rfmt sheetId="8" sqref="A54:E54" start="0" length="2147483647">
    <dxf>
      <font>
        <color rgb="FFFF0000"/>
      </font>
    </dxf>
  </rfmt>
  <rfmt sheetId="8" sqref="A54:XFD54" start="0" length="2147483647">
    <dxf>
      <font>
        <color rgb="FFFF0000"/>
      </font>
    </dxf>
  </rfmt>
  <rfmt sheetId="8" sqref="B57">
    <dxf>
      <fill>
        <patternFill patternType="solid">
          <bgColor rgb="FF6CF8CD"/>
        </patternFill>
      </fill>
    </dxf>
  </rfmt>
  <rfmt sheetId="8" sqref="B60">
    <dxf>
      <fill>
        <patternFill patternType="solid">
          <bgColor rgb="FF6CF8CD"/>
        </patternFill>
      </fill>
    </dxf>
  </rfmt>
  <rfmt sheetId="8" sqref="B59">
    <dxf>
      <fill>
        <patternFill patternType="solid">
          <bgColor rgb="FF6CF8CD"/>
        </patternFill>
      </fill>
    </dxf>
  </rfmt>
  <rfmt sheetId="8" sqref="C59:C60" start="0" length="2147483647">
    <dxf>
      <font>
        <color rgb="FFFF0000"/>
      </font>
    </dxf>
  </rfmt>
  <rfmt sheetId="8" sqref="B69">
    <dxf>
      <fill>
        <patternFill patternType="solid">
          <bgColor rgb="FF6CF8CD"/>
        </patternFill>
      </fill>
    </dxf>
  </rfmt>
  <rfmt sheetId="8" sqref="B72">
    <dxf>
      <fill>
        <patternFill patternType="solid">
          <bgColor rgb="FF6CF8CD"/>
        </patternFill>
      </fill>
    </dxf>
  </rfmt>
  <rfmt sheetId="8" sqref="C69">
    <dxf>
      <fill>
        <patternFill patternType="solid">
          <bgColor rgb="FF6CF8CD"/>
        </patternFill>
      </fill>
    </dxf>
  </rfmt>
  <rfmt sheetId="8" sqref="B75">
    <dxf>
      <fill>
        <patternFill patternType="solid">
          <bgColor rgb="FF6CF8CD"/>
        </patternFill>
      </fill>
    </dxf>
  </rfmt>
  <rfmt sheetId="8" sqref="B78">
    <dxf>
      <fill>
        <patternFill patternType="solid">
          <bgColor rgb="FF6CF8CD"/>
        </patternFill>
      </fill>
    </dxf>
  </rfmt>
  <rfmt sheetId="8" sqref="C75">
    <dxf>
      <fill>
        <patternFill patternType="solid">
          <bgColor rgb="FF6CF8CD"/>
        </patternFill>
      </fill>
    </dxf>
  </rfmt>
  <rfmt sheetId="8" sqref="B81">
    <dxf>
      <fill>
        <patternFill patternType="solid">
          <bgColor rgb="FF6CF8CD"/>
        </patternFill>
      </fill>
    </dxf>
  </rfmt>
  <rfmt sheetId="8" sqref="C81" start="0" length="2147483647">
    <dxf>
      <font>
        <color rgb="FFFF0000"/>
      </font>
    </dxf>
  </rfmt>
  <rfmt sheetId="8" sqref="B87">
    <dxf>
      <fill>
        <patternFill patternType="solid">
          <bgColor rgb="FF6CF8CD"/>
        </patternFill>
      </fill>
    </dxf>
  </rfmt>
  <rfmt sheetId="8" sqref="C87">
    <dxf>
      <fill>
        <patternFill patternType="solid">
          <bgColor rgb="FF6CF8CD"/>
        </patternFill>
      </fill>
    </dxf>
  </rfmt>
  <rfmt sheetId="8" sqref="C93">
    <dxf>
      <fill>
        <patternFill patternType="solid">
          <bgColor rgb="FF6CF8CD"/>
        </patternFill>
      </fill>
    </dxf>
  </rfmt>
  <rfmt sheetId="8" sqref="B93">
    <dxf>
      <fill>
        <patternFill patternType="solid">
          <bgColor rgb="FF6CF8CD"/>
        </patternFill>
      </fill>
    </dxf>
  </rfmt>
  <rfmt sheetId="8" sqref="B105">
    <dxf>
      <fill>
        <patternFill patternType="solid">
          <bgColor rgb="FF6CF8CD"/>
        </patternFill>
      </fill>
    </dxf>
  </rfmt>
  <rfmt sheetId="8" sqref="C105" start="0" length="2147483647">
    <dxf>
      <font>
        <color rgb="FFFF0000"/>
      </font>
    </dxf>
  </rfmt>
  <rfmt sheetId="8" sqref="B111">
    <dxf>
      <fill>
        <patternFill patternType="solid">
          <bgColor rgb="FF6CF8CD"/>
        </patternFill>
      </fill>
    </dxf>
  </rfmt>
  <rfmt sheetId="8" sqref="C111" start="0" length="2147483647">
    <dxf>
      <font>
        <color rgb="FFFF0000"/>
      </font>
    </dxf>
  </rfmt>
  <rfmt sheetId="8" sqref="B117">
    <dxf>
      <fill>
        <patternFill patternType="solid">
          <bgColor rgb="FF6CF8CD"/>
        </patternFill>
      </fill>
    </dxf>
  </rfmt>
  <rfmt sheetId="8" sqref="C117">
    <dxf>
      <fill>
        <patternFill patternType="solid">
          <bgColor rgb="FF6CF8CD"/>
        </patternFill>
      </fill>
    </dxf>
  </rfmt>
  <rfmt sheetId="8" sqref="B129">
    <dxf>
      <fill>
        <patternFill patternType="solid">
          <bgColor rgb="FF6CF8CD"/>
        </patternFill>
      </fill>
    </dxf>
  </rfmt>
  <rfmt sheetId="8" sqref="C129" start="0" length="2147483647">
    <dxf>
      <font>
        <color rgb="FFFF0000"/>
      </font>
    </dxf>
  </rfmt>
  <rfmt sheetId="8" sqref="B150">
    <dxf>
      <fill>
        <patternFill patternType="solid">
          <bgColor rgb="FF6CF8CD"/>
        </patternFill>
      </fill>
    </dxf>
  </rfmt>
  <rfmt sheetId="8" sqref="C150" start="0" length="2147483647">
    <dxf>
      <font>
        <color rgb="FFFF0000"/>
      </font>
    </dxf>
  </rfmt>
  <rfmt sheetId="8" sqref="B157">
    <dxf>
      <fill>
        <patternFill patternType="solid">
          <bgColor rgb="FF6CF8CD"/>
        </patternFill>
      </fill>
    </dxf>
  </rfmt>
  <rfmt sheetId="8" sqref="B163">
    <dxf>
      <fill>
        <patternFill patternType="solid">
          <bgColor rgb="FF6CF8CD"/>
        </patternFill>
      </fill>
    </dxf>
  </rfmt>
  <rfmt sheetId="8" sqref="B169">
    <dxf>
      <fill>
        <patternFill patternType="solid">
          <bgColor rgb="FF6CF8CD"/>
        </patternFill>
      </fill>
    </dxf>
  </rfmt>
  <rfmt sheetId="8" sqref="B187">
    <dxf>
      <fill>
        <patternFill patternType="solid">
          <bgColor rgb="FF6CF8CD"/>
        </patternFill>
      </fill>
    </dxf>
  </rfmt>
  <rfmt sheetId="8" sqref="C187" start="0" length="2147483647">
    <dxf>
      <font>
        <color rgb="FFFF0000"/>
      </font>
    </dxf>
  </rfmt>
  <rfmt sheetId="8" sqref="B193">
    <dxf>
      <fill>
        <patternFill patternType="solid">
          <bgColor rgb="FF6CF8CD"/>
        </patternFill>
      </fill>
    </dxf>
  </rfmt>
  <rfmt sheetId="8" sqref="C193">
    <dxf>
      <fill>
        <patternFill patternType="solid">
          <bgColor rgb="FF6CF8CD"/>
        </patternFill>
      </fill>
    </dxf>
  </rfmt>
  <rfmt sheetId="8" sqref="B199">
    <dxf>
      <fill>
        <patternFill patternType="solid">
          <bgColor rgb="FF6CF8CD"/>
        </patternFill>
      </fill>
    </dxf>
  </rfmt>
  <rfmt sheetId="8" sqref="C199" start="0" length="2147483647">
    <dxf>
      <font>
        <color rgb="FFFF0000"/>
      </font>
    </dxf>
  </rfmt>
  <rfmt sheetId="8" sqref="C205">
    <dxf>
      <fill>
        <patternFill patternType="solid">
          <bgColor rgb="FF6CF8CD"/>
        </patternFill>
      </fill>
    </dxf>
  </rfmt>
  <rfmt sheetId="8" sqref="B205">
    <dxf>
      <fill>
        <patternFill patternType="solid">
          <bgColor rgb="FF6CF8CD"/>
        </patternFill>
      </fill>
    </dxf>
  </rfmt>
  <rfmt sheetId="8" sqref="B211">
    <dxf>
      <fill>
        <patternFill patternType="solid">
          <bgColor rgb="FF6CF8CD"/>
        </patternFill>
      </fill>
    </dxf>
  </rfmt>
  <rfmt sheetId="8" sqref="C211">
    <dxf>
      <fill>
        <patternFill patternType="solid">
          <bgColor rgb="FF6CF8CD"/>
        </patternFill>
      </fill>
    </dxf>
  </rfmt>
  <rfmt sheetId="8" sqref="C225" start="0" length="2147483647">
    <dxf>
      <font>
        <color rgb="FFFF0000"/>
      </font>
    </dxf>
  </rfmt>
  <rfmt sheetId="8" sqref="B225">
    <dxf>
      <fill>
        <patternFill patternType="solid">
          <bgColor rgb="FF6CF8CD"/>
        </patternFill>
      </fill>
    </dxf>
  </rfmt>
  <rfmt sheetId="8" sqref="B231">
    <dxf>
      <fill>
        <patternFill patternType="solid">
          <bgColor rgb="FF6CF8CD"/>
        </patternFill>
      </fill>
    </dxf>
  </rfmt>
  <rfmt sheetId="8" sqref="C231" start="0" length="2147483647">
    <dxf>
      <font>
        <color rgb="FFFF0000"/>
      </font>
    </dxf>
  </rfmt>
  <rfmt sheetId="8" sqref="B243">
    <dxf>
      <fill>
        <patternFill patternType="solid">
          <bgColor rgb="FF6CF8CD"/>
        </patternFill>
      </fill>
    </dxf>
  </rfmt>
  <rfmt sheetId="8" sqref="C243">
    <dxf>
      <fill>
        <patternFill patternType="solid">
          <bgColor rgb="FF6CF8CD"/>
        </patternFill>
      </fill>
    </dxf>
  </rfmt>
  <rfmt sheetId="8" sqref="B249">
    <dxf>
      <fill>
        <patternFill>
          <bgColor rgb="FF6CF8CD"/>
        </patternFill>
      </fill>
    </dxf>
  </rfmt>
  <rfmt sheetId="8" sqref="C249" start="0" length="2147483647">
    <dxf>
      <font>
        <color rgb="FFFF0000"/>
      </font>
    </dxf>
  </rfmt>
  <rfmt sheetId="8" sqref="B263">
    <dxf>
      <fill>
        <patternFill patternType="solid">
          <bgColor rgb="FF6CF8CD"/>
        </patternFill>
      </fill>
    </dxf>
  </rfmt>
  <rfmt sheetId="8" sqref="C263" start="0" length="2147483647">
    <dxf>
      <font>
        <color rgb="FFFF0000"/>
      </font>
    </dxf>
  </rfmt>
  <rfmt sheetId="8" sqref="B269">
    <dxf>
      <fill>
        <patternFill patternType="solid">
          <bgColor rgb="FF6CF8CD"/>
        </patternFill>
      </fill>
    </dxf>
  </rfmt>
  <rfmt sheetId="8" sqref="C269">
    <dxf>
      <fill>
        <patternFill patternType="solid">
          <bgColor rgb="FF6CF8CD"/>
        </patternFill>
      </fill>
    </dxf>
  </rfmt>
</revisions>
</file>

<file path=xl/revisions/revisionLog4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B18">
    <dxf>
      <fill>
        <patternFill>
          <bgColor rgb="FF6CF8CD"/>
        </patternFill>
      </fill>
    </dxf>
  </rfmt>
  <rfmt sheetId="8" sqref="C18" start="0" length="2147483647">
    <dxf>
      <font>
        <color rgb="FFFF0000"/>
      </font>
    </dxf>
  </rfmt>
</revisions>
</file>

<file path=xl/revisions/revisionLog4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B103:D103">
    <dxf>
      <fill>
        <patternFill patternType="none">
          <bgColor auto="1"/>
        </patternFill>
      </fill>
    </dxf>
  </rfmt>
  <rcc rId="10999" sId="12" numFmtId="4">
    <nc r="O70">
      <v>913.7</v>
    </nc>
  </rcc>
  <rcc rId="11000" sId="12">
    <oc r="C70">
      <f>H70+J70+L70</f>
    </oc>
    <nc r="C70">
      <f>H70+J70+L70+N70</f>
    </nc>
  </rcc>
  <rfmt sheetId="12" sqref="A70:XFD70">
    <dxf>
      <fill>
        <patternFill patternType="none">
          <bgColor auto="1"/>
        </patternFill>
      </fill>
    </dxf>
  </rfmt>
  <rfmt sheetId="12" sqref="A67:XFD67">
    <dxf>
      <fill>
        <patternFill patternType="none">
          <bgColor auto="1"/>
        </patternFill>
      </fill>
    </dxf>
  </rfmt>
  <rcmt sheetId="12" cell="C67" guid="{00000000-0000-0000-0000-000000000000}" action="delete" author="Цёвка Елена Александровна"/>
  <rcmt sheetId="12" cell="E67" guid="{00000000-0000-0000-0000-000000000000}" action="delete" author="Цёвка Елена Александровна"/>
  <rcmt sheetId="12" cell="H67" guid="{00000000-0000-0000-0000-000000000000}" action="delete" author="Цёвка Елена Александровна"/>
  <rcmt sheetId="12" cell="I67" guid="{00000000-0000-0000-0000-000000000000}" action="delete" author="Цёвка Елена Александровна"/>
  <rcmt sheetId="12" cell="J67" guid="{00000000-0000-0000-0000-000000000000}" action="delete" author="Цёвка Елена Александровна"/>
  <rcmt sheetId="12" cell="K67" guid="{00000000-0000-0000-0000-000000000000}" action="delete" author="Цёвка Елена Александровна"/>
  <rfmt sheetId="12" sqref="C67:K67" start="0" length="2147483647">
    <dxf>
      <font>
        <color theme="1"/>
      </font>
    </dxf>
  </rfmt>
  <rfmt sheetId="12" sqref="A66">
    <dxf>
      <fill>
        <patternFill patternType="solid">
          <bgColor rgb="FFFFFF00"/>
        </patternFill>
      </fill>
    </dxf>
  </rfmt>
  <rcc rId="11001" sId="12">
    <oc r="C64">
      <f>C70+C76</f>
    </oc>
    <nc r="C64">
      <f>C70+C76</f>
    </nc>
  </rcc>
  <rcmt sheetId="12" cell="R67" guid="{00000000-0000-0000-0000-000000000000}" action="delete" author="Цёвка Елена Александровна"/>
  <rfmt sheetId="12" sqref="R67" start="0" length="2147483647">
    <dxf>
      <font>
        <color theme="1"/>
      </font>
    </dxf>
  </rfmt>
  <rcmt sheetId="12" cell="C61" guid="{00000000-0000-0000-0000-000000000000}" action="delete" author="Цёвка Елена Александровна"/>
  <rcc rId="11002" sId="12" numFmtId="4">
    <nc r="N46">
      <v>50</v>
    </nc>
  </rcc>
  <rcc rId="11003" sId="12" numFmtId="4">
    <nc r="O46">
      <v>50</v>
    </nc>
  </rcc>
  <rcc rId="11004" sId="12">
    <oc r="C46">
      <f>H46+J46+L46</f>
    </oc>
    <nc r="C46">
      <f>H46+J46+L46+N46</f>
    </nc>
  </rcc>
  <rcc rId="11005" sId="12">
    <oc r="AD46">
      <f>715-175-50+100</f>
    </oc>
    <nc r="AD46">
      <f>715-175-50+100-50</f>
    </nc>
  </rcc>
  <rcmt sheetId="12" cell="N43" guid="{00000000-0000-0000-0000-000000000000}" action="delete" author="Цёвка Елена Александровна"/>
  <rfmt sheetId="12" sqref="N43" start="0" length="2147483647">
    <dxf>
      <font>
        <color theme="1"/>
      </font>
    </dxf>
  </rfmt>
  <rcc rId="11006" sId="12" numFmtId="4">
    <nc r="O40">
      <v>7.7</v>
    </nc>
  </rcc>
  <rcc rId="11007" sId="12">
    <oc r="C40">
      <f>H40+J40+L40</f>
    </oc>
    <nc r="C40">
      <f>H40+J40+L40+N40</f>
    </nc>
  </rcc>
  <rcc rId="11008" sId="12" numFmtId="4">
    <oc r="N40">
      <v>24.5</v>
    </oc>
    <nc r="N40">
      <f>24.5-16.8</f>
    </nc>
  </rcc>
  <rcc rId="11009" sId="12">
    <oc r="AD40">
      <f>273.453+59.7</f>
    </oc>
    <nc r="AD40">
      <f>273.453+59.7+16.8</f>
    </nc>
  </rcc>
  <rfmt sheetId="12" sqref="D42 A42 A36">
    <dxf>
      <fill>
        <patternFill patternType="solid">
          <bgColor rgb="FFFFFF00"/>
        </patternFill>
      </fill>
    </dxf>
  </rfmt>
  <rfmt sheetId="12" sqref="D42">
    <dxf>
      <fill>
        <patternFill patternType="none">
          <bgColor auto="1"/>
        </patternFill>
      </fill>
    </dxf>
  </rfmt>
  <rcc rId="11010" sId="12" numFmtId="4">
    <nc r="V21">
      <v>100</v>
    </nc>
  </rcc>
  <rcc rId="11011" sId="12" numFmtId="4">
    <oc r="Z21">
      <f>140-37.5-0.27</f>
    </oc>
    <nc r="Z21">
      <v>2.23</v>
    </nc>
  </rcc>
  <rfmt sheetId="12" sqref="A17">
    <dxf>
      <fill>
        <patternFill patternType="solid">
          <bgColor rgb="FFFFFF00"/>
        </patternFill>
      </fill>
    </dxf>
  </rfmt>
  <rfmt sheetId="12" sqref="A17 A48 A54">
    <dxf>
      <fill>
        <patternFill>
          <bgColor rgb="FFFFFF00"/>
        </patternFill>
      </fill>
    </dxf>
  </rfmt>
</revisions>
</file>

<file path=xl/revisions/revisionLog4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C351" start="0" length="2147483647">
    <dxf>
      <font>
        <color rgb="FFFF0000"/>
      </font>
    </dxf>
  </rfmt>
  <rfmt sheetId="12" sqref="H351" start="0" length="2147483647">
    <dxf>
      <font>
        <color rgb="FFFF0000"/>
      </font>
    </dxf>
  </rfmt>
  <rfmt sheetId="12" sqref="J351" start="0" length="2147483647">
    <dxf>
      <font>
        <color rgb="FFFF0000"/>
      </font>
    </dxf>
  </rfmt>
  <rfmt sheetId="12" sqref="L351" start="0" length="2147483647">
    <dxf>
      <font>
        <color rgb="FFFF0000"/>
      </font>
    </dxf>
  </rfmt>
  <rfmt sheetId="12" sqref="N351" start="0" length="2147483647">
    <dxf>
      <font>
        <color rgb="FFFF0000"/>
      </font>
    </dxf>
  </rfmt>
  <rfmt sheetId="12" sqref="P351" start="0" length="2147483647">
    <dxf>
      <font>
        <color rgb="FFFF0000"/>
      </font>
    </dxf>
  </rfmt>
  <rfmt sheetId="12" sqref="R351" start="0" length="2147483647">
    <dxf>
      <font>
        <color rgb="FFFF0000"/>
      </font>
    </dxf>
  </rfmt>
  <rfmt sheetId="12" sqref="T351" start="0" length="2147483647">
    <dxf>
      <font>
        <color rgb="FFFF0000"/>
      </font>
    </dxf>
  </rfmt>
  <rfmt sheetId="12" sqref="V351" start="0" length="2147483647">
    <dxf>
      <font>
        <color rgb="FFFF0000"/>
      </font>
    </dxf>
  </rfmt>
  <rfmt sheetId="12" sqref="X351" start="0" length="2147483647">
    <dxf>
      <font>
        <color rgb="FFFF0000"/>
      </font>
    </dxf>
  </rfmt>
  <rfmt sheetId="12" sqref="Z351" start="0" length="2147483647">
    <dxf>
      <font>
        <color rgb="FFFF0000"/>
      </font>
    </dxf>
  </rfmt>
  <rfmt sheetId="12" sqref="AB351" start="0" length="2147483647">
    <dxf>
      <font>
        <color rgb="FFFF0000"/>
      </font>
    </dxf>
  </rfmt>
  <rfmt sheetId="12" sqref="AD351" start="0" length="2147483647">
    <dxf>
      <font>
        <color rgb="FFFF0000"/>
      </font>
    </dxf>
  </rfmt>
  <rcmt sheetId="12" cell="C351" guid="{6480EBF8-A496-4BD4-909E-4820B103D172}" author="Цёвка Елена Александровна" newLength="51"/>
  <rcmt sheetId="12" cell="H351" guid="{5BBE0330-5966-4BC9-9D78-291E0163A507}" author="Цёвка Елена Александровна" newLength="51"/>
  <rcmt sheetId="12" cell="J351" guid="{5C67B08A-E92F-4E7B-A2A3-AE5D5CF49F50}" author="Цёвка Елена Александровна" newLength="51"/>
  <rcmt sheetId="12" cell="L351" guid="{706AE069-50F4-4A6A-9C96-592A9FC52E02}" author="Цёвка Елена Александровна" newLength="51"/>
  <rcmt sheetId="12" cell="N351" guid="{92E8EBB9-0718-4931-939C-76DE32EC4A42}" author="Цёвка Елена Александровна" newLength="51"/>
  <rcmt sheetId="12" cell="P351" guid="{9B4EDFAF-DF92-4E2E-AD5D-BE9EE491F5ED}" author="Цёвка Елена Александровна" newLength="51"/>
  <rcmt sheetId="12" cell="R351" guid="{AD55D099-0CBA-42F2-ABBA-17C348586D85}" author="Цёвка Елена Александровна" newLength="51"/>
  <rcmt sheetId="12" cell="T351" guid="{1C6DB517-C2C9-4173-9F8E-CEF9553657DC}" author="Цёвка Елена Александровна" newLength="51"/>
  <rcmt sheetId="12" cell="V351" guid="{EFA41E25-163B-487D-8C97-9FFE04A0753A}" author="Цёвка Елена Александровна" newLength="51"/>
  <rcmt sheetId="12" cell="X351" guid="{31B4D47A-F91F-4AC2-A6E8-118A76D560B4}" author="Цёвка Елена Александровна" newLength="51"/>
  <rcmt sheetId="12" cell="Z351" guid="{EE6B49A2-8D38-4E9E-84FF-58098E477368}" author="Цёвка Елена Александровна" newLength="51"/>
  <rcmt sheetId="12" cell="AB351" guid="{485F8C55-98A7-49EA-A9A4-6965CC3B58F3}" author="Цёвка Елена Александровна" newLength="51"/>
  <rcmt sheetId="12" cell="AD351" guid="{2EFA4AC0-5D8C-4810-B17E-1BBD6832B0C2}" author="Цёвка Елена Александровна" newLength="53"/>
  <rcv guid="{6A602CB8-B24C-4ED4-B378-B27354BE0A1A}" action="delete"/>
  <rdn rId="0" localSheetId="2" customView="1" name="Z_6A602CB8_B24C_4ED4_B378_B27354BE0A1A_.wvu.Rows" hidden="1" oldHidden="1">
    <formula>'1.СЗН'!$69:$73</formula>
    <oldFormula>'1.СЗН'!$69:$73</oldFormula>
  </rdn>
  <rdn rId="0" localSheetId="2" customView="1" name="Z_6A602CB8_B24C_4ED4_B378_B27354BE0A1A_.wvu.FilterData" hidden="1" oldHidden="1">
    <formula>'1.СЗН'!$A$1:$AF$63</formula>
    <oldFormula>'1.СЗН'!$A$1:$AF$63</oldFormula>
  </rdn>
  <rdn rId="0" localSheetId="3" customView="1" name="Z_6A602CB8_B24C_4ED4_B378_B27354BE0A1A_.wvu.FilterData" hidden="1" oldHidden="1">
    <formula>'2.АПК'!$A$1:$AF$36</formula>
    <oldFormula>'2.АПК'!$A$1:$AF$36</oldFormula>
  </rdn>
  <rdn rId="0" localSheetId="4" customView="1" name="Z_6A602CB8_B24C_4ED4_B378_B27354BE0A1A_.wvu.FilterData" hidden="1" oldHidden="1">
    <formula>'3.БЖД'!$A$1:$AF$17</formula>
    <oldFormula>'3.БЖД'!$A$1:$AF$17</oldFormula>
  </rdn>
  <rdn rId="0" localSheetId="5" customView="1" name="Z_6A602CB8_B24C_4ED4_B378_B27354BE0A1A_.wvu.FilterData" hidden="1" oldHidden="1">
    <formula>'4.УМИ'!$A$1:$AF$11</formula>
    <oldFormula>'4.УМИ'!$A$1:$AF$11</oldFormula>
  </rdn>
  <rdn rId="0" localSheetId="6" customView="1" name="Z_6A602CB8_B24C_4ED4_B378_B27354BE0A1A_.wvu.FilterData" hidden="1" oldHidden="1">
    <formula>'5.Проф. прав.'!$A$1:$AF$12</formula>
    <oldFormula>'5.Проф. прав.'!$A$1:$AF$12</oldFormula>
  </rdn>
  <rdn rId="0" localSheetId="7" customView="1" name="Z_6A602CB8_B24C_4ED4_B378_B27354BE0A1A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A602CB8_B24C_4ED4_B378_B27354BE0A1A_.wvu.FilterData" hidden="1" oldHidden="1">
    <formula>'6.Экстримизм'!$A$1:$AF$11</formula>
    <oldFormula>'6.Экстримизм'!$A$1:$AF$11</oldFormula>
  </rdn>
  <rdn rId="0" localSheetId="15" customView="1" name="Z_6A602CB8_B24C_4ED4_B378_B27354BE0A1A_.wvu.Rows" hidden="1" oldHidden="1">
    <formula>'13.МП РЖС'!$122:$127</formula>
    <oldFormula>'13.МП РЖС'!$122:$127</oldFormula>
  </rdn>
  <rdn rId="0" localSheetId="15" customView="1" name="Z_6A602CB8_B24C_4ED4_B378_B27354BE0A1A_.wvu.Cols" hidden="1" oldHidden="1">
    <formula>'13.МП РЖС'!$AG:$AG</formula>
    <oldFormula>'13.МП РЖС'!$AG:$AG</oldFormula>
  </rdn>
  <rcv guid="{6A602CB8-B24C-4ED4-B378-B27354BE0A1A}" action="add"/>
</revisions>
</file>

<file path=xl/revisions/revisionLog4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22" sId="8" numFmtId="19">
    <oc r="C7">
      <v>45292</v>
    </oc>
    <nc r="C7">
      <v>45383</v>
    </nc>
  </rcc>
  <rcc rId="11023" sId="8" numFmtId="19">
    <oc r="D7">
      <v>45292</v>
    </oc>
    <nc r="D7">
      <v>45383</v>
    </nc>
  </rcc>
  <rcc rId="11024" sId="8" numFmtId="19">
    <oc r="E7">
      <v>45292</v>
    </oc>
    <nc r="E7">
      <v>45383</v>
    </nc>
  </rcc>
  <rfmt sheetId="8" sqref="C7:E7" start="0" length="2147483647">
    <dxf>
      <font>
        <color auto="1"/>
      </font>
    </dxf>
  </rfmt>
  <rcc rId="11025" sId="8">
    <oc r="C19">
      <f>SUM(H19)</f>
    </oc>
    <nc r="C19">
      <f>N19</f>
    </nc>
  </rcc>
  <rcc rId="11026" sId="8">
    <oc r="C20">
      <f>SUM(H20)</f>
    </oc>
    <nc r="C20">
      <f>N20</f>
    </nc>
  </rcc>
  <rcc rId="11027" sId="8">
    <oc r="C22">
      <f>SUM(H22)</f>
    </oc>
    <nc r="C22">
      <f>N22</f>
    </nc>
  </rcc>
  <rcc rId="11028" sId="8">
    <oc r="C21">
      <f>SUM(H21)</f>
    </oc>
    <nc r="C21">
      <f>N21+L21</f>
    </nc>
  </rcc>
  <rfmt sheetId="8" sqref="C18" start="0" length="2147483647">
    <dxf>
      <font>
        <color auto="1"/>
      </font>
    </dxf>
  </rfmt>
  <rfmt sheetId="8" sqref="B18">
    <dxf>
      <fill>
        <patternFill>
          <bgColor theme="7" tint="0.79998168889431442"/>
        </patternFill>
      </fill>
    </dxf>
  </rfmt>
  <rcc rId="11029" sId="8">
    <oc r="C41">
      <f>SUM(H41)</f>
    </oc>
    <nc r="C41">
      <f>SUM(H41+N41+J41+L41)</f>
    </nc>
  </rcc>
  <rfmt sheetId="8" sqref="B38:E41">
    <dxf>
      <fill>
        <patternFill>
          <bgColor theme="7" tint="0.79998168889431442"/>
        </patternFill>
      </fill>
    </dxf>
  </rfmt>
  <rfmt sheetId="8" sqref="B38:E42">
    <dxf>
      <fill>
        <patternFill>
          <bgColor rgb="FFE6E6E6"/>
        </patternFill>
      </fill>
    </dxf>
  </rfmt>
  <rcc rId="11030" sId="8">
    <oc r="C34">
      <f>SUM(H34)</f>
    </oc>
    <nc r="C34">
      <f>SUM(H34+J34+L34+N34)</f>
    </nc>
  </rcc>
  <rfmt sheetId="8" sqref="B31:E34">
    <dxf>
      <fill>
        <patternFill>
          <bgColor rgb="FFE6E6E6"/>
        </patternFill>
      </fill>
    </dxf>
  </rfmt>
  <rfmt sheetId="8" sqref="B31:E34">
    <dxf>
      <fill>
        <patternFill>
          <bgColor rgb="FFF0F0F0"/>
        </patternFill>
      </fill>
    </dxf>
  </rfmt>
  <rfmt sheetId="8" sqref="B31:E34">
    <dxf>
      <fill>
        <patternFill>
          <bgColor rgb="FFF3F3F3"/>
        </patternFill>
      </fill>
    </dxf>
  </rfmt>
  <rfmt sheetId="8" sqref="B37:E43">
    <dxf>
      <fill>
        <patternFill>
          <bgColor rgb="FFF3F3F3"/>
        </patternFill>
      </fill>
    </dxf>
  </rfmt>
  <rfmt sheetId="8" sqref="B37:E43">
    <dxf>
      <fill>
        <patternFill>
          <bgColor rgb="FFFBFBFB"/>
        </patternFill>
      </fill>
    </dxf>
  </rfmt>
  <rfmt sheetId="8" sqref="B31:E34">
    <dxf>
      <fill>
        <patternFill>
          <bgColor rgb="FFFBFBFB"/>
        </patternFill>
      </fill>
    </dxf>
  </rfmt>
  <rcc rId="11031" sId="8">
    <oc r="C53">
      <f>SUM(H53)</f>
    </oc>
    <nc r="C53">
      <f>SUM(H53+J53+L53)</f>
    </nc>
  </rcc>
  <rcc rId="11032" sId="8" numFmtId="4">
    <nc r="N54">
      <v>3.6</v>
    </nc>
  </rcc>
  <rcc rId="11033" sId="8" numFmtId="4">
    <nc r="P54">
      <v>11.2</v>
    </nc>
  </rcc>
  <rcc rId="11034" sId="8" numFmtId="4">
    <nc r="R54">
      <v>0.7</v>
    </nc>
  </rcc>
  <rcc rId="11035" sId="8" numFmtId="4">
    <nc r="T54">
      <v>0.7</v>
    </nc>
  </rcc>
  <rcc rId="11036" sId="8" numFmtId="4">
    <nc r="V54">
      <v>0.7</v>
    </nc>
  </rcc>
  <rcc rId="11037" sId="8" numFmtId="4">
    <nc r="X54">
      <v>13.3</v>
    </nc>
  </rcc>
  <rcc rId="11038" sId="8" numFmtId="4">
    <nc r="Z54">
      <v>0.7</v>
    </nc>
  </rcc>
  <rcc rId="11039" sId="8" numFmtId="4">
    <nc r="AB54">
      <v>0.7</v>
    </nc>
  </rcc>
  <rcc rId="11040" sId="8" numFmtId="4">
    <nc r="AD54">
      <v>0.7</v>
    </nc>
  </rcc>
  <rfmt sheetId="8" sqref="A54:AD54" start="0" length="2147483647">
    <dxf>
      <font>
        <color auto="1"/>
      </font>
    </dxf>
  </rfmt>
  <rcc rId="11041" sId="8">
    <oc r="C54">
      <f>SUM(H54)</f>
    </oc>
    <nc r="C54">
      <f>SUM(H54+J54+L54)</f>
    </nc>
  </rcc>
  <rfmt sheetId="8" sqref="B50:D53">
    <dxf>
      <fill>
        <patternFill>
          <bgColor rgb="FFFBFBFB"/>
        </patternFill>
      </fill>
    </dxf>
  </rfmt>
  <rfmt sheetId="8" sqref="B47:C47">
    <dxf>
      <fill>
        <patternFill>
          <bgColor rgb="FFFBFBFB"/>
        </patternFill>
      </fill>
    </dxf>
  </rfmt>
  <rfmt sheetId="8" sqref="B44:C46">
    <dxf>
      <fill>
        <patternFill>
          <bgColor rgb="FFFBFBFB"/>
        </patternFill>
      </fill>
    </dxf>
  </rfmt>
  <rfmt sheetId="8" sqref="H44:L44">
    <dxf>
      <fill>
        <patternFill>
          <bgColor rgb="FFFBFBFB"/>
        </patternFill>
      </fill>
    </dxf>
  </rfmt>
  <rcc rId="11042" sId="8">
    <oc r="C60">
      <f>SUM(H60)</f>
    </oc>
    <nc r="C60">
      <f>SUM(H60+J60+L60)</f>
    </nc>
  </rcc>
  <rcc rId="11043" sId="8">
    <oc r="C59">
      <f>SUM(H59)</f>
    </oc>
    <nc r="C59">
      <f>SUM(H59+J59+L59)</f>
    </nc>
  </rcc>
  <rfmt sheetId="8" sqref="C59:C60" start="0" length="2147483647">
    <dxf>
      <font>
        <color auto="1"/>
      </font>
    </dxf>
  </rfmt>
  <rfmt sheetId="8" sqref="B57:B60">
    <dxf>
      <fill>
        <patternFill>
          <bgColor rgb="FFFBFBFB"/>
        </patternFill>
      </fill>
    </dxf>
  </rfmt>
  <rcc rId="11044" sId="8">
    <oc r="C84">
      <f>SUM(H84)</f>
    </oc>
    <nc r="C84">
      <f>SUM(H84+J84+L84)</f>
    </nc>
  </rcc>
  <rfmt sheetId="8" sqref="B81:C87" start="0" length="2147483647">
    <dxf>
      <font>
        <color auto="1"/>
      </font>
    </dxf>
  </rfmt>
  <rfmt sheetId="8" sqref="B81:C87">
    <dxf>
      <fill>
        <patternFill>
          <bgColor rgb="FFFBFBFB"/>
        </patternFill>
      </fill>
    </dxf>
  </rfmt>
  <rcc rId="11045" sId="8">
    <oc r="C108">
      <f>SUM(H108)</f>
    </oc>
    <nc r="C108">
      <f>SUM(H108+J108+L108)</f>
    </nc>
  </rcc>
  <rfmt sheetId="8" sqref="C105:C108" start="0" length="2147483647">
    <dxf>
      <font>
        <color auto="1"/>
      </font>
    </dxf>
  </rfmt>
  <rfmt sheetId="8" sqref="B105">
    <dxf>
      <fill>
        <patternFill>
          <bgColor rgb="FFFBFBFB"/>
        </patternFill>
      </fill>
    </dxf>
  </rfmt>
  <rcc rId="11046" sId="8">
    <oc r="C114">
      <f>SUM(H114)</f>
    </oc>
    <nc r="C114">
      <f>SUM(H114+J114+L114)</f>
    </nc>
  </rcc>
  <rfmt sheetId="8" sqref="C111:C114">
    <dxf>
      <fill>
        <patternFill patternType="solid">
          <bgColor rgb="FFFBFBFB"/>
        </patternFill>
      </fill>
    </dxf>
  </rfmt>
  <rfmt sheetId="8" sqref="C111:C114" start="0" length="2147483647">
    <dxf>
      <font>
        <color auto="1"/>
      </font>
    </dxf>
  </rfmt>
  <rfmt sheetId="8" sqref="B111">
    <dxf>
      <fill>
        <patternFill>
          <bgColor rgb="FFFBFBFB"/>
        </patternFill>
      </fill>
    </dxf>
  </rfmt>
  <rfmt sheetId="8" sqref="B117:D117">
    <dxf>
      <fill>
        <patternFill>
          <bgColor rgb="FFFBFBFB"/>
        </patternFill>
      </fill>
    </dxf>
  </rfmt>
  <rcc rId="11047" sId="8">
    <oc r="C132">
      <f>SUM(H132)</f>
    </oc>
    <nc r="C132">
      <f>SUM(H132+J132+L132)</f>
    </nc>
  </rcc>
  <rfmt sheetId="8" sqref="C129" start="0" length="2147483647">
    <dxf>
      <font>
        <color auto="1"/>
      </font>
    </dxf>
  </rfmt>
  <rfmt sheetId="8" sqref="B129">
    <dxf>
      <fill>
        <patternFill>
          <bgColor rgb="FFFBFBFB"/>
        </patternFill>
      </fill>
    </dxf>
  </rfmt>
  <rcc rId="11048" sId="8">
    <oc r="C160">
      <f>SUM(H160)</f>
    </oc>
    <nc r="C160">
      <f>SUM(H160+J160+L160)</f>
    </nc>
  </rcc>
  <rcc rId="11049" sId="8">
    <oc r="C166">
      <f>SUM(H166)</f>
    </oc>
    <nc r="C166">
      <f>SUM(H166+J166+L166)</f>
    </nc>
  </rcc>
  <rcc rId="11050" sId="8">
    <oc r="C172">
      <f>SUM(H172)</f>
    </oc>
    <nc r="C172">
      <f>SUM(H172+J172+L172)</f>
    </nc>
  </rcc>
  <rfmt sheetId="8" sqref="C150:C155" start="0" length="2147483647">
    <dxf>
      <font>
        <color auto="1"/>
      </font>
    </dxf>
  </rfmt>
  <rcc rId="11051" sId="8">
    <oc r="C202">
      <f>SUM(H202)</f>
    </oc>
    <nc r="C202">
      <f>SUM(H202+J202+L202)</f>
    </nc>
  </rcc>
  <rfmt sheetId="8" sqref="C199" start="0" length="2147483647">
    <dxf>
      <font>
        <color auto="1"/>
      </font>
    </dxf>
  </rfmt>
  <rcc rId="11052" sId="8">
    <oc r="C228">
      <f>SUM(H228)</f>
    </oc>
    <nc r="C228">
      <f>SUM(H228+J228+L228)</f>
    </nc>
  </rcc>
  <rfmt sheetId="8" sqref="C225" start="0" length="2147483647">
    <dxf>
      <font>
        <color auto="1"/>
      </font>
    </dxf>
  </rfmt>
  <rcc rId="11053" sId="8">
    <oc r="C234">
      <f>SUM(H234)</f>
    </oc>
    <nc r="C234">
      <f>SUM(H234+J234+L234)</f>
    </nc>
  </rcc>
  <rfmt sheetId="8" sqref="C231" start="0" length="2147483647">
    <dxf>
      <font>
        <color auto="1"/>
      </font>
    </dxf>
  </rfmt>
  <rcc rId="11054" sId="8">
    <oc r="C252">
      <f>SUM(H252)</f>
    </oc>
    <nc r="C252">
      <f>SUM(H252+J252+L252)</f>
    </nc>
  </rcc>
  <rfmt sheetId="8" sqref="C249" start="0" length="2147483647">
    <dxf>
      <font>
        <color auto="1"/>
      </font>
    </dxf>
  </rfmt>
  <rcc rId="11055" sId="8">
    <oc r="C266">
      <f>SUM(H266)</f>
    </oc>
    <nc r="C266">
      <f>SUM(H266+J266+L266)</f>
    </nc>
  </rcc>
  <rfmt sheetId="8" sqref="C263" start="0" length="2147483647">
    <dxf>
      <font>
        <color auto="1"/>
      </font>
    </dxf>
  </rfmt>
  <rcc rId="11056" sId="8">
    <oc r="C277">
      <f>C28+C66+C102+C147+C184+C222+C240+C252+C260+C140+C126+C21+C15</f>
    </oc>
    <nc r="C277">
      <f>C28+C66+C102+C147+C184+C222+C240+C252+C260+C140+C126+C21+C15</f>
    </nc>
  </rcc>
</revisions>
</file>

<file path=xl/revisions/revisionLog4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1057" sheetId="24" name="[!!! Заполнять!!! Сводный сетевой шаблон 2024.xlsx]Лист4" sheetPosition="8"/>
  <rfmt sheetId="8" sqref="B150:B169">
    <dxf>
      <fill>
        <patternFill>
          <bgColor rgb="FFFBFBFB"/>
        </patternFill>
      </fill>
    </dxf>
  </rfmt>
  <rcc rId="11058" sId="8">
    <oc r="C190">
      <f>SUM(H190)</f>
    </oc>
    <nc r="C190">
      <f>SUM(H190+J190+L190)</f>
    </nc>
  </rcc>
  <rfmt sheetId="8" sqref="C187" start="0" length="2147483647">
    <dxf>
      <font>
        <color auto="1"/>
      </font>
    </dxf>
  </rfmt>
  <rfmt sheetId="8" sqref="B187:C193">
    <dxf>
      <fill>
        <patternFill>
          <bgColor rgb="FFFBFBFB"/>
        </patternFill>
      </fill>
    </dxf>
  </rfmt>
  <rfmt sheetId="8" sqref="B92:C94">
    <dxf>
      <fill>
        <patternFill>
          <bgColor rgb="FFFBFBFB"/>
        </patternFill>
      </fill>
    </dxf>
  </rfmt>
  <rfmt sheetId="8" sqref="B69:C79">
    <dxf>
      <fill>
        <patternFill>
          <bgColor rgb="FFFBFBFB"/>
        </patternFill>
      </fill>
    </dxf>
  </rfmt>
  <rfmt sheetId="8" sqref="B198:C214">
    <dxf>
      <fill>
        <patternFill>
          <bgColor rgb="FFFBFBFB"/>
        </patternFill>
      </fill>
    </dxf>
  </rfmt>
  <rfmt sheetId="8" sqref="B224:B237">
    <dxf>
      <fill>
        <patternFill>
          <bgColor rgb="FFFBFBFB"/>
        </patternFill>
      </fill>
    </dxf>
  </rfmt>
  <rfmt sheetId="8" sqref="B243:D243">
    <dxf>
      <fill>
        <patternFill>
          <bgColor rgb="FFFBFBFB"/>
        </patternFill>
      </fill>
    </dxf>
  </rfmt>
  <rfmt sheetId="8" sqref="B262:C270">
    <dxf>
      <fill>
        <patternFill>
          <bgColor rgb="FFFBFBFB"/>
        </patternFill>
      </fill>
    </dxf>
  </rfmt>
  <rfmt sheetId="8" sqref="B249">
    <dxf>
      <fill>
        <patternFill>
          <bgColor theme="8" tint="0.79998168889431442"/>
        </patternFill>
      </fill>
    </dxf>
  </rfmt>
  <rfmt sheetId="8" sqref="B249">
    <dxf>
      <fill>
        <patternFill>
          <bgColor theme="4" tint="0.79998168889431442"/>
        </patternFill>
      </fill>
    </dxf>
  </rfmt>
  <rfmt sheetId="8" sqref="B236:C237">
    <dxf>
      <fill>
        <patternFill>
          <bgColor theme="4" tint="0.79998168889431442"/>
        </patternFill>
      </fill>
    </dxf>
  </rfmt>
  <rfmt sheetId="8" sqref="B236:C237">
    <dxf>
      <fill>
        <patternFill>
          <bgColor theme="3" tint="0.79998168889431442"/>
        </patternFill>
      </fill>
    </dxf>
  </rfmt>
  <rfmt sheetId="8" sqref="B236:C237">
    <dxf>
      <fill>
        <patternFill>
          <bgColor theme="7" tint="0.79998168889431442"/>
        </patternFill>
      </fill>
    </dxf>
  </rfmt>
  <rcv guid="{7C130984-112A-4861-AA43-E2940708E3DC}" action="delete"/>
  <rdn rId="0" localSheetId="2" customView="1" name="Z_7C130984_112A_4861_AA43_E2940708E3DC_.wvu.Rows" hidden="1" oldHidden="1">
    <formula>'1.СЗН'!$69:$73</formula>
    <oldFormula>'1.СЗН'!$69:$73</oldFormula>
  </rdn>
  <rdn rId="0" localSheetId="2" customView="1" name="Z_7C130984_112A_4861_AA43_E2940708E3DC_.wvu.FilterData" hidden="1" oldHidden="1">
    <formula>'1.СЗН'!$A$1:$AF$63</formula>
    <oldFormula>'1.СЗН'!$A$1:$AF$63</oldFormula>
  </rdn>
  <rdn rId="0" localSheetId="3" customView="1" name="Z_7C130984_112A_4861_AA43_E2940708E3DC_.wvu.FilterData" hidden="1" oldHidden="1">
    <formula>'2.АПК'!$A$1:$AF$36</formula>
    <oldFormula>'2.АПК'!$A$1:$AF$36</oldFormula>
  </rdn>
  <rdn rId="0" localSheetId="4" customView="1" name="Z_7C130984_112A_4861_AA43_E2940708E3DC_.wvu.FilterData" hidden="1" oldHidden="1">
    <formula>'3.БЖД'!$A$1:$AF$17</formula>
    <oldFormula>'3.БЖД'!$A$1:$AF$17</oldFormula>
  </rdn>
  <rdn rId="0" localSheetId="5" customView="1" name="Z_7C130984_112A_4861_AA43_E2940708E3DC_.wvu.FilterData" hidden="1" oldHidden="1">
    <formula>'4.УМИ'!$A$1:$AF$11</formula>
    <oldFormula>'4.УМИ'!$A$1:$AF$11</oldFormula>
  </rdn>
  <rdn rId="0" localSheetId="6" customView="1" name="Z_7C130984_112A_4861_AA43_E2940708E3DC_.wvu.FilterData" hidden="1" oldHidden="1">
    <formula>'5.Проф. прав.'!$A$1:$AF$12</formula>
    <oldFormula>'5.Проф. прав.'!$A$1:$AF$12</oldFormula>
  </rdn>
  <rdn rId="0" localSheetId="7" customView="1" name="Z_7C130984_112A_4861_AA43_E2940708E3DC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7C130984_112A_4861_AA43_E2940708E3DC_.wvu.FilterData" hidden="1" oldHidden="1">
    <formula>'6.Экстримизм'!$A$1:$AF$11</formula>
    <oldFormula>'6.Экстримизм'!$A$1:$AF$11</oldFormula>
  </rdn>
  <rdn rId="0" localSheetId="15" customView="1" name="Z_7C130984_112A_4861_AA43_E2940708E3DC_.wvu.Rows" hidden="1" oldHidden="1">
    <formula>'13.МП РЖС'!$122:$127</formula>
    <oldFormula>'13.МП РЖС'!$122:$127</oldFormula>
  </rdn>
  <rdn rId="0" localSheetId="15" customView="1" name="Z_7C130984_112A_4861_AA43_E2940708E3DC_.wvu.Cols" hidden="1" oldHidden="1">
    <formula>'13.МП РЖС'!$AG:$AG</formula>
    <oldFormula>'13.МП РЖС'!$AG:$AG</oldFormula>
  </rdn>
  <rcv guid="{7C130984-112A-4861-AA43-E2940708E3D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36" sId="8" numFmtId="4">
    <nc r="N53">
      <v>0</v>
    </nc>
  </rcc>
  <rcc rId="11237" sId="8" numFmtId="4">
    <nc r="O53">
      <v>0</v>
    </nc>
  </rcc>
  <rcc rId="11238" sId="8" numFmtId="4">
    <nc r="N84">
      <v>0</v>
    </nc>
  </rcc>
  <rcc rId="11239" sId="8" numFmtId="4">
    <nc r="O84">
      <v>0</v>
    </nc>
  </rcc>
  <rcc rId="11240" sId="8" numFmtId="4">
    <nc r="N90">
      <v>0</v>
    </nc>
  </rcc>
  <rcc rId="11241" sId="8" numFmtId="4">
    <nc r="O90">
      <v>0</v>
    </nc>
  </rcc>
  <rcc rId="11242" sId="8" numFmtId="4">
    <nc r="O96">
      <v>176.56</v>
    </nc>
  </rcc>
  <rcc rId="11243" sId="8" xfDxf="1" dxf="1">
    <nc r="AF96" t="inlineStr">
      <is>
        <t>Остаток средств в сумме 60,040 т.руб.-прочее приобретение,  оплата по факту на основании документов на оплату и товарных накладных, средства будут использованы в мае.</t>
      </is>
    </nc>
    <ndxf>
      <font>
        <sz val="14"/>
        <name val="Times New Roman"/>
        <scheme val="none"/>
      </font>
      <border outline="0">
        <left style="thin">
          <color indexed="64"/>
        </left>
        <right style="thin">
          <color indexed="64"/>
        </right>
        <top style="thin">
          <color indexed="64"/>
        </top>
        <bottom style="thin">
          <color indexed="64"/>
        </bottom>
      </border>
    </ndxf>
  </rcc>
  <rfmt sheetId="8" sqref="AF96" start="0" length="2147483647">
    <dxf>
      <font>
        <sz val="12"/>
      </font>
    </dxf>
  </rfmt>
  <rcc rId="11244" sId="8">
    <oc r="AF92" t="inlineStr">
      <is>
        <t>Остаток средств в сумме 60,0 т.руб.-транспортные расходы,  оплата по факту на основании документов на оплату,  акта выполненных работ, средства будут использованы в апреле.</t>
      </is>
    </oc>
    <nc r="AF92"/>
  </rcc>
  <rcc rId="11245" sId="8" numFmtId="4">
    <nc r="O102">
      <v>300</v>
    </nc>
  </rcc>
  <rcc rId="11246" sId="8" xfDxf="1" dxf="1">
    <nc r="AF102" t="inlineStr">
      <is>
        <t>Остаток средств в сумме 143,800 т.руб.-приобретение ОС,  оплата по факту на основании документов на оплату и товарных накладных, средства будут использованы в мае.</t>
      </is>
    </nc>
    <ndxf>
      <font>
        <sz val="14"/>
        <name val="Times New Roman"/>
        <scheme val="none"/>
      </font>
      <border outline="0">
        <left style="thin">
          <color indexed="64"/>
        </left>
        <right style="thin">
          <color indexed="64"/>
        </right>
        <top style="thin">
          <color indexed="64"/>
        </top>
        <bottom style="thin">
          <color indexed="64"/>
        </bottom>
      </border>
    </ndxf>
  </rcc>
  <rfmt sheetId="8" sqref="AF102" start="0" length="2147483647">
    <dxf>
      <font>
        <sz val="12"/>
      </font>
    </dxf>
  </rfmt>
  <rcc rId="11247" sId="8" numFmtId="4">
    <nc r="O108">
      <v>5042.8389999999999</v>
    </nc>
  </rcc>
  <rcc rId="11248" sId="8" xfDxf="1" dxf="1">
    <oc r="AF104" t="inlineStr">
      <is>
        <t>Остаток средств в сумме 4 753,701 т.руб., в т.ч.  остаток по  выплате заработной платы и соц.выплат   - 2 255,415 т.р. , начисл. на зар.плату - 1 200,550 т.руб., оплаты за коммунальные услуги по фактическим расходам и показаниям счетчиков- 163,571 т.р.,оплаты за содержание здания по факту предоставленных документов на оплату от поставщика - 466,043 т.руб., оплата услуг связи - 33,506 т.руб., оплата б/л за счет ср-в работод - 148,588 т.руб.оплаты налога на имущество - 391,543 т.руб.оплата командировочных расходов - 94,485 т.руб.</t>
      </is>
    </oc>
    <nc r="AF104" t="inlineStr">
      <is>
        <t>Остаток средств в сумме 5 614,522 т.руб., в т.ч.  остаток по  выплате заработной платы и соц.выплат   - 3 040,674 т.р. , начисл. на зар.плату - 1 428,248 т.руб., оплаты за коммунальные услуги по фактическим расходам и показаниям счетчиков- 226,710 т.р.,оплаты за содержание здания по факту предоставленных документов на оплату от поставщика - 247,260 т.руб., оплата услуг связи - 32,318 т.руб., оплата б/л за счет ср-в работод - 127,858 т.руб.оплаты налога на имущество - 421,919 т.руб.оплата командировочных расходов - 36,335 т.руб., приобретение ОС - 23,200 т.руб., оплата проезда в отпуск и обратно - 30,000 т.руб.</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11249" sId="8" numFmtId="4">
    <nc r="N126">
      <v>0</v>
    </nc>
  </rcc>
  <rcc rId="11250" sId="8" numFmtId="4">
    <nc r="O126">
      <v>0</v>
    </nc>
  </rcc>
  <rcc rId="11251" sId="8" numFmtId="4">
    <nc r="O278">
      <v>105.6</v>
    </nc>
  </rcc>
  <rcc rId="11252" sId="8" xfDxf="1" dxf="1">
    <oc r="AF274" t="inlineStr">
      <is>
        <t>Остаток средств в сумме -311,625 т.руб., в т.ч., оплата командировочных расходов -50,785 т.руб.,  сувенирная продукция - 260,840 т.руб. оплата по факту на основании документов на оплату, товарных накладных и акта выполненных работ, средства будут использованы в апреле.</t>
      </is>
    </oc>
    <nc r="AF274" t="inlineStr">
      <is>
        <t>Остаток средств в сумме -357,585 т.руб., в т.ч., оплата командировочных расходов -124,585 т.руб.,   приобретение ОС - 18,760 т.руб., прочее приобретение - 10,200 т.руб., сувенирная продукция - 204,040 т.руб. оплата по факту на основании документов на оплату, товарных накладных и акта выполненных работ, средства будут использованы в мае.</t>
      </is>
    </nc>
    <ndxf>
      <font>
        <sz val="12"/>
        <name val="Times New Roman"/>
        <scheme val="none"/>
      </font>
      <alignment vertical="top" wrapText="1" readingOrder="0"/>
      <border outline="0">
        <left style="thin">
          <color indexed="64"/>
        </left>
        <right style="thin">
          <color indexed="64"/>
        </right>
        <top style="thin">
          <color indexed="64"/>
        </top>
        <bottom style="thin">
          <color indexed="64"/>
        </bottom>
      </border>
    </ndxf>
  </rcc>
  <rcc rId="11253" sId="8" numFmtId="4">
    <nc r="N178">
      <v>0</v>
    </nc>
  </rcc>
  <rcc rId="11254" sId="8" numFmtId="4">
    <nc r="O178">
      <v>0</v>
    </nc>
  </rcc>
  <rcc rId="11255" sId="8" numFmtId="4">
    <nc r="N152">
      <v>0</v>
    </nc>
  </rcc>
  <rcc rId="11256" sId="8" numFmtId="4">
    <nc r="O152">
      <v>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7" sId="8" numFmtId="4">
    <oc r="M264">
      <v>2574.5300000000002</v>
    </oc>
    <nc r="M264">
      <v>3260.3560000000002</v>
    </nc>
  </rcc>
  <rcc rId="11258" sId="8" numFmtId="4">
    <oc r="N264">
      <v>4560.6710000000003</v>
    </oc>
    <nc r="N264">
      <v>4703.576</v>
    </nc>
  </rcc>
  <rcc rId="11259" sId="8" numFmtId="4">
    <nc r="O264">
      <v>3724.9940000000001</v>
    </nc>
  </rcc>
  <rcc rId="11260" sId="8" numFmtId="4">
    <nc r="N257">
      <v>0</v>
    </nc>
  </rcc>
  <rcc rId="11261" sId="8" numFmtId="4">
    <nc r="O257">
      <v>0</v>
    </nc>
  </rcc>
  <rcc rId="11262" sId="8" numFmtId="4">
    <nc r="N184">
      <v>0</v>
    </nc>
  </rcc>
  <rcc rId="11263" sId="8" numFmtId="4">
    <nc r="O184">
      <v>0</v>
    </nc>
  </rcc>
  <rcc rId="11264" sId="8" numFmtId="4">
    <oc r="M144">
      <v>6074.42</v>
    </oc>
    <nc r="M144">
      <v>6075.75</v>
    </nc>
  </rcc>
  <rcc rId="11265" sId="8" numFmtId="4">
    <nc r="O144">
      <v>5507.91</v>
    </nc>
  </rcc>
  <rcc rId="11266" sId="8" numFmtId="4">
    <nc r="N21">
      <v>0</v>
    </nc>
  </rcc>
  <rcc rId="11267" sId="8" numFmtId="4">
    <nc r="O21">
      <v>0</v>
    </nc>
  </rcc>
  <rcc rId="11268" sId="8" numFmtId="4">
    <nc r="V32">
      <v>242.6</v>
    </nc>
  </rcc>
  <rcc rId="11269" sId="8" numFmtId="4">
    <nc r="V33">
      <v>69.790000000000006</v>
    </nc>
  </rcc>
  <rcc rId="11270" sId="8" numFmtId="4">
    <nc r="V34">
      <v>34.71</v>
    </nc>
  </rcc>
  <rcc rId="11271" sId="8" numFmtId="4">
    <nc r="X26">
      <v>104.8</v>
    </nc>
  </rcc>
  <rcc rId="11272" sId="8" numFmtId="4">
    <nc r="X27">
      <v>30.2</v>
    </nc>
  </rcc>
  <rcc rId="11273" sId="8" numFmtId="4">
    <nc r="X28">
      <v>15</v>
    </nc>
  </rcc>
  <rcc rId="11274" sId="8" numFmtId="4">
    <nc r="N220">
      <v>0</v>
    </nc>
  </rcc>
  <rcc rId="11275" sId="8" numFmtId="4">
    <nc r="O220">
      <v>0</v>
    </nc>
  </rcc>
  <rcc rId="11276" sId="8" numFmtId="4">
    <nc r="N208">
      <v>0</v>
    </nc>
  </rcc>
  <rcc rId="11277" sId="8" numFmtId="4">
    <nc r="O208">
      <v>0</v>
    </nc>
  </rcc>
  <rcc rId="11278" sId="8" numFmtId="4">
    <nc r="N190">
      <v>0</v>
    </nc>
  </rcc>
  <rcc rId="11279" sId="8" numFmtId="4">
    <nc r="O190">
      <v>0</v>
    </nc>
  </rcc>
  <rcc rId="11280" sId="8" numFmtId="4">
    <nc r="N226">
      <v>0</v>
    </nc>
  </rcc>
  <rcc rId="11281" sId="8" numFmtId="4">
    <nc r="O226">
      <v>0</v>
    </nc>
  </rcc>
  <rcc rId="11282" sId="8" numFmtId="4">
    <nc r="N284">
      <v>0</v>
    </nc>
  </rcc>
  <rcc rId="11283" sId="8" numFmtId="4">
    <nc r="O284">
      <v>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30984-112A-4861-AA43-E2940708E3DC}" action="delete"/>
  <rdn rId="0" localSheetId="2" customView="1" name="Z_7C130984_112A_4861_AA43_E2940708E3DC_.wvu.Rows" hidden="1" oldHidden="1">
    <formula>'1.СЗН'!$69:$73</formula>
    <oldFormula>'1.СЗН'!$69:$73</oldFormula>
  </rdn>
  <rdn rId="0" localSheetId="2" customView="1" name="Z_7C130984_112A_4861_AA43_E2940708E3DC_.wvu.FilterData" hidden="1" oldHidden="1">
    <formula>'1.СЗН'!$A$1:$AF$63</formula>
    <oldFormula>'1.СЗН'!$A$1:$AF$63</oldFormula>
  </rdn>
  <rdn rId="0" localSheetId="3" customView="1" name="Z_7C130984_112A_4861_AA43_E2940708E3DC_.wvu.FilterData" hidden="1" oldHidden="1">
    <formula>'2.АПК'!$A$1:$AF$36</formula>
    <oldFormula>'2.АПК'!$A$1:$AF$36</oldFormula>
  </rdn>
  <rdn rId="0" localSheetId="4" customView="1" name="Z_7C130984_112A_4861_AA43_E2940708E3DC_.wvu.FilterData" hidden="1" oldHidden="1">
    <formula>'3.БЖД'!$A$1:$AF$17</formula>
    <oldFormula>'3.БЖД'!$A$1:$AF$17</oldFormula>
  </rdn>
  <rdn rId="0" localSheetId="5" customView="1" name="Z_7C130984_112A_4861_AA43_E2940708E3DC_.wvu.FilterData" hidden="1" oldHidden="1">
    <formula>'4.УМИ'!$A$1:$AF$11</formula>
    <oldFormula>'4.УМИ'!$A$1:$AF$11</oldFormula>
  </rdn>
  <rdn rId="0" localSheetId="6" customView="1" name="Z_7C130984_112A_4861_AA43_E2940708E3DC_.wvu.FilterData" hidden="1" oldHidden="1">
    <formula>'5.Проф. прав.'!$A$1:$AF$12</formula>
    <oldFormula>'5.Проф. прав.'!$A$1:$AF$12</oldFormula>
  </rdn>
  <rdn rId="0" localSheetId="7" customView="1" name="Z_7C130984_112A_4861_AA43_E2940708E3DC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7C130984_112A_4861_AA43_E2940708E3DC_.wvu.FilterData" hidden="1" oldHidden="1">
    <formula>'6.Экстримизм'!$A$1:$AF$11</formula>
    <oldFormula>'6.Экстримизм'!$A$1:$AF$11</oldFormula>
  </rdn>
  <rdn rId="0" localSheetId="8" customView="1" name="Z_7C130984_112A_4861_AA43_E2940708E3DC_.wvu.Cols" hidden="1" oldHidden="1">
    <formula>'7.МП КП'!$B:$G</formula>
  </rdn>
  <rdn rId="0" localSheetId="15" customView="1" name="Z_7C130984_112A_4861_AA43_E2940708E3DC_.wvu.Rows" hidden="1" oldHidden="1">
    <formula>'13.МП РЖС'!$122:$127</formula>
    <oldFormula>'13.МП РЖС'!$122:$127</oldFormula>
  </rdn>
  <rdn rId="0" localSheetId="15" customView="1" name="Z_7C130984_112A_4861_AA43_E2940708E3DC_.wvu.Cols" hidden="1" oldHidden="1">
    <formula>'13.МП РЖС'!$AG:$AG</formula>
    <oldFormula>'13.МП РЖС'!$AG:$AG</oldFormula>
  </rdn>
  <rcv guid="{7C130984-112A-4861-AA43-E2940708E3DC}"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95" sId="8" numFmtId="4">
    <oc r="V264">
      <v>4536.375</v>
    </oc>
    <nc r="V264">
      <v>4478.24</v>
    </nc>
  </rcc>
  <rcc rId="11296" sId="8" numFmtId="4">
    <oc r="Z264">
      <v>4588.7299999999996</v>
    </oc>
    <nc r="Z264">
      <v>4507.76</v>
    </nc>
  </rcc>
  <rcc rId="11297" sId="8" numFmtId="4">
    <oc r="AD264">
      <v>5799.29</v>
    </oc>
    <nc r="AD264">
      <v>5795.49</v>
    </nc>
  </rcc>
  <rcc rId="11298" sId="8">
    <oc r="C290">
      <f>C41+C79+C115+C160+C197+C235+C253+C265+C273+C153+C139+C22+C16</f>
    </oc>
    <nc r="C290">
      <f>C41+C79+C115+C160+C197+C235+C253+C265+C273+C153+C139+C22+C16</f>
    </nc>
  </rcc>
  <rcc rId="11299" sId="8">
    <oc r="C159">
      <f>C165+C190</f>
    </oc>
    <nc r="C159">
      <f>C165+C190</f>
    </nc>
  </rcc>
  <rcc rId="11300" sId="8">
    <oc r="C165">
      <f>C171+C178+C184</f>
    </oc>
    <nc r="C165">
      <f>C172+C178+C184</f>
    </nc>
  </rcc>
  <rcc rId="11301" sId="8">
    <oc r="C166">
      <f>C172+C179+C185</f>
    </oc>
    <nc r="C166">
      <f>C173+C179+C185</f>
    </nc>
  </rcc>
  <rcc rId="11302" sId="8">
    <oc r="C163">
      <f>C169+C176+C182</f>
    </oc>
    <nc r="C163">
      <f>C171+C176+C182</f>
    </nc>
  </rcc>
  <rcc rId="11303" sId="8">
    <oc r="C41">
      <f>C47+C54+C60+C66+C73</f>
    </oc>
    <nc r="C41">
      <f>C47+C54+C60+C67+C73</f>
    </nc>
  </rcc>
  <rcc rId="11304" sId="8">
    <oc r="D41">
      <f>D47+D54+D60+D66+D73</f>
    </oc>
    <nc r="D41">
      <f>D47+D54+D60+D67+D73</f>
    </nc>
  </rcc>
  <rcc rId="11305" sId="8">
    <oc r="E41">
      <f>E47+E54+E60+E66+E73</f>
    </oc>
    <nc r="E41">
      <f>E47+E54+E60+E67+E73</f>
    </nc>
  </rcc>
  <rcc rId="11306" sId="8">
    <oc r="L41">
      <f>L47+L54+L60+L66+L73</f>
    </oc>
    <nc r="L41">
      <f>L47+L54+L60+L67+L73</f>
    </nc>
  </rcc>
  <rcc rId="11307" sId="8">
    <oc r="M41">
      <f>M47+M54+M60+M66+M73</f>
    </oc>
    <nc r="M41">
      <f>M47+M54+M60+M67+M73</f>
    </nc>
  </rcc>
  <rcc rId="11308" sId="8">
    <oc r="N41">
      <f>N47+N54+N60+N66+N73</f>
    </oc>
    <nc r="N41">
      <f>N47+N54+N60+N67+N73</f>
    </nc>
  </rcc>
  <rcc rId="11309" sId="8">
    <oc r="O41">
      <f>O47+O54+O60+O66+O73</f>
    </oc>
    <nc r="O41">
      <f>O47+O54+O60+O67+O73</f>
    </nc>
  </rcc>
  <rcc rId="11310" sId="8">
    <oc r="P41">
      <f>P47+P54+P60+P66+P73</f>
    </oc>
    <nc r="P41">
      <f>P47+P54+P60+P67+P73</f>
    </nc>
  </rcc>
  <rcc rId="11311" sId="8">
    <oc r="R41">
      <f>R47+R54+R60+R66+R73</f>
    </oc>
    <nc r="R41">
      <f>R47+R54+R60+R67+R73</f>
    </nc>
  </rcc>
  <rcc rId="11312" sId="8">
    <oc r="T41">
      <f>T47+T54+T60+T66+T73</f>
    </oc>
    <nc r="T41">
      <f>T47+T54+T60+T67+T73</f>
    </nc>
  </rcc>
  <rcc rId="11313" sId="8">
    <oc r="V41">
      <f>V47+V54+V60+V66+V73</f>
    </oc>
    <nc r="V41">
      <f>V47+V54+V60+V67+V73</f>
    </nc>
  </rcc>
  <rcc rId="11314" sId="8">
    <oc r="X41">
      <f>X47+X54+X60+X66+X73</f>
    </oc>
    <nc r="X41">
      <f>X47+X54+X60+X67+X73</f>
    </nc>
  </rcc>
  <rcc rId="11315" sId="8">
    <oc r="Z41">
      <f>Z47+Z54+Z60+Z66+Z73</f>
    </oc>
    <nc r="Z41">
      <f>Z47+Z54+Z60+Z67+Z73</f>
    </nc>
  </rcc>
  <rcc rId="11316" sId="8">
    <oc r="AB41">
      <f>AB47+AB54+AB60+AB66+AB73</f>
    </oc>
    <nc r="AB41">
      <f>AB47+AB54+AB60+AB67+AB73</f>
    </nc>
  </rcc>
  <rcc rId="11317" sId="8">
    <oc r="AD41">
      <f>AD47+AD54+AD60+AD66+AD73</f>
    </oc>
    <nc r="AD41">
      <f>AD47+AD54+AD60+AD67+AD73</f>
    </nc>
  </rcc>
  <rcc rId="11318" sId="8">
    <oc r="E160">
      <f>E166+E191</f>
    </oc>
    <nc r="E160">
      <f>E166+E191</f>
    </nc>
  </rcc>
  <rcc rId="11319" sId="8">
    <oc r="E166">
      <f>E172+E179+E185</f>
    </oc>
    <nc r="E166">
      <f>E173+E179+E185</f>
    </nc>
  </rcc>
  <rcc rId="11320" sId="8">
    <oc r="E165">
      <f>E171+E178+E184</f>
    </oc>
    <nc r="E165">
      <f>E172+E178+E184</f>
    </nc>
  </rcc>
  <rcc rId="11321" sId="8">
    <oc r="B301">
      <f>B47+B54+B60+B66++B85+B91+B97+B103+B109+B121+B127+B133+B166+B191+B203+B209+B215+B221+B227+B241+B247+B259+B265+B279+B145+B285+B73</f>
    </oc>
    <nc r="B301">
      <f>B47+B54+B60+B67++B85+B91+B97+B103+B109+B121+B127+B133+B166+B191+B203+B209+B215+B221+B227+B241+B247+B259+B265+B279+B145+B285+B73</f>
    </nc>
  </rcc>
  <rcc rId="11322" sId="8">
    <oc r="C301">
      <f>C47+C54+C60+C66++C85+C91+C97+C103+C109+C121+C127+C133+C166+C191+C203+C209+C215+C221+C227+C241+C247+C259+C265+C279+C145+C285+C73</f>
    </oc>
    <nc r="C301">
      <f>C47+C54+C60+C67++C85+C91+C97+C103+C109+C121+C127+C133+C166+C191+C203+C209+C215+C221+C227+C241+C247+C259+C265+C279+C145+C285+C73</f>
    </nc>
  </rcc>
  <rcc rId="11323" sId="8">
    <oc r="D301">
      <f>D47+D54+D60+D66++D85+D91+D97+D103+D109+D121+D127+D133+D166+D191+D203+D209+D215+D221+D227+D241+D247+D259+D265+D279+D145+D285+D73</f>
    </oc>
    <nc r="D301">
      <f>D47+D54+D60+D67++D85+D91+D97+D103+D109+D121+D127+D133+D166+D191+D203+D209+D215+D221+D227+D241+D247+D259+D265+D279+D145+D285+D73</f>
    </nc>
  </rcc>
  <rcc rId="11324" sId="8">
    <oc r="E301">
      <f>E47+E54+E60+E66++E85+E91+E97+E103+E109+E121+E127+E133+E166+E191+E203+E209+E215+E221+E227+E241+E247+E259+E265+E279+E145+E285+E73</f>
    </oc>
    <nc r="E301">
      <f>E47+E54+E60+E67++E85+E91+E97+E103+E109+E121+E127+E133+E166+E191+E203+E209+E215+E221+E227+E241+E247+E259+E265+E279+E145+E285+E73</f>
    </nc>
  </rcc>
  <rcc rId="11325" sId="8">
    <oc r="L301">
      <f>L47+L54+L60+L66++L85+L91+L97+L103+L109+L121+L127+L133+L166+L191+L203+L209+L215+L221+L227+L241+L247+L259+L265+L279+L145+L285+L73</f>
    </oc>
    <nc r="L301">
      <f>L47+L54+L60+L67++L85+L91+L97+L103+L109+L121+L127+L133+L166+L191+L203+L209+L215+L221+L227+L241+L247+L259+L265+L279+L145+L285+L73</f>
    </nc>
  </rcc>
  <rcc rId="11326" sId="8">
    <oc r="M301">
      <f>M47+M54+M60+M66++M85+M91+M97+M103+M109+M121+M127+M133+M166+M191+M203+M209+M215+M221+M227+M241+M247+M259+M265+M279+M145+M285+M73</f>
    </oc>
    <nc r="M301">
      <f>M47+M54+M60+M67++M85+M91+M97+M103+M109+M121+M127+M133+M166+M191+M203+M209+M215+M221+M227+M241+M247+M259+M265+M279+M145+M285+M73</f>
    </nc>
  </rcc>
  <rcc rId="11327" sId="8">
    <oc r="N301">
      <f>N47+N54+N60+N66++N85+N91+N97+N103+N109+N121+N127+N133+N166+N191+N203+N209+N215+N221+N227+N241+N247+N259+N265+N279+N145+N285+N73</f>
    </oc>
    <nc r="N301">
      <f>N47+N54+N60+N67++N85+N91+N97+N103+N109+N121+N127+N133+N166+N191+N203+N209+N215+N221+N227+N241+N247+N259+N265+N279+N145+N285+N73</f>
    </nc>
  </rcc>
  <rcc rId="11328" sId="8">
    <oc r="O301">
      <f>O47+O54+O60+O66++O85+O91+O97+O103+O109+O121+O127+O133+O166+O191+O203+O209+O215+O221+O227+O241+O247+O259+O265+O279+O145+O285+O73</f>
    </oc>
    <nc r="O301">
      <f>O47+O54+O60+O67++O85+O91+O97+O103+O109+O121+O127+O133+O166+O191+O203+O209+O215+O221+O227+O241+O247+O259+O265+O279+O145+O285+O73</f>
    </nc>
  </rcc>
  <rcc rId="11329" sId="8">
    <oc r="P301">
      <f>P47+P54+P60+P66++P85+P91+P97+P103+P109+P121+P127+P133+P166+P191+P203+P209+P215+P221+P227+P241+P247+P259+P265+P279+P145+P285+P73</f>
    </oc>
    <nc r="P301">
      <f>P47+P54+P60+P67++P85+P91+P97+P103+P109+P121+P127+P133+P166+P191+P203+P209+P215+P221+P227+P241+P247+P259+P265+P279+P145+P285+P73</f>
    </nc>
  </rcc>
  <rcc rId="11330" sId="8">
    <oc r="R301">
      <f>R47+R54+R60+R66++R85+R91+R97+R103+R109+R121+R127+R133+R166+R191+R203+R209+R215+R221+R227+R241+R247+R259+R265+R279+R145+R285+R73</f>
    </oc>
    <nc r="R301">
      <f>R47+R54+R60+R67++R85+R91+R97+R103+R109+R121+R127+R133+R166+R191+R203+R209+R215+R221+R227+R241+R247+R259+R265+R279+R145+R285+R73</f>
    </nc>
  </rcc>
  <rcc rId="11331" sId="8">
    <oc r="T301">
      <f>T47+T54+T60+T66++T85+T91+T97+T103+T109+T121+T127+T133+T166+T191+T203+T209+T215+T221+T227+T241+T247+T259+T265+T279+T145+T285+T73</f>
    </oc>
    <nc r="T301">
      <f>T47+T54+T60+T67++T85+T91+T97+T103+T109+T121+T127+T133+T166+T191+T203+T209+T215+T221+T227+T241+T247+T259+T265+T279+T145+T285+T73</f>
    </nc>
  </rcc>
  <rcc rId="11332" sId="8">
    <oc r="Q301">
      <f>Q47+Q54+Q60+Q66++Q85+Q91+Q97+Q103+Q109+Q121+Q127+Q133+Q166+Q191+Q203+Q209+Q215+Q221+Q227+Q241+Q247+Q259+Q265+Q279+Q145+Q285+Q73</f>
    </oc>
    <nc r="Q301">
      <f>Q47+Q54+Q60+Q67++Q85+Q91+Q97+Q103+Q109+Q121+Q127+Q133+Q166+Q191+Q203+Q209+Q215+Q221+Q227+Q241+Q247+Q259+Q265+Q279+Q145+Q285+Q73</f>
    </nc>
  </rcc>
  <rcc rId="11333" sId="8">
    <oc r="S301">
      <f>S47+S54+S60+S66++S85+S91+S97+S103+S109+S121+S127+S133+S166+S191+S203+S209+S215+S221+S227+S241+S247+S259+S265+S279+S145+S285+S73</f>
    </oc>
    <nc r="S301">
      <f>S47+S54+S60+S67++S85+S91+S97+S103+S109+S121+S127+S133+S166+S191+S203+S209+S215+S221+S227+S241+S247+S259+S265+S279+S145+S285+S73</f>
    </nc>
  </rcc>
  <rcc rId="11334" sId="8">
    <oc r="U301">
      <f>U47+U54+U60+U66++U85+U91+U97+U103+U109+U121+U127+U133+U166+U191+U203+U209+U215+U221+U227+U241+U247+U259+U265+U279+U145+U285+U73</f>
    </oc>
    <nc r="U301">
      <f>U47+U54+U60+U67++U85+U91+U97+U103+U109+U121+U127+U133+U166+U191+U203+U209+U215+U221+U227+U241+U247+U259+U265+U279+U145+U285+U73</f>
    </nc>
  </rcc>
  <rcc rId="11335" sId="8">
    <oc r="V301">
      <f>V47+V54+V60+V66++V85+V91+V97+V103+V109+V121+V127+V133+V166+V191+V203+V209+V215+V221+V227+V241+V247+V259+V265+V279+V145+V285+V73</f>
    </oc>
    <nc r="V301">
      <f>V47+V54+V60+V67++V85+V91+V97+V103+V109+V121+V127+V133+V166+V191+V203+V209+V215+V221+V227+V241+V247+V259+V265+V279+V145+V285+V73</f>
    </nc>
  </rcc>
  <rcc rId="11336" sId="8">
    <oc r="W301">
      <f>W47+W54+W60+W66++W85+W91+W97+W103+W109+W121+W127+W133+W166+W191+W203+W209+W215+W221+W227+W241+W247+W259+W265+W279+W145+W285+W73</f>
    </oc>
    <nc r="W301">
      <f>W47+W54+W60+W67++W85+W91+W97+W103+W109+W121+W127+W133+W166+W191+W203+W209+W215+W221+W227+W241+W247+W259+W265+W279+W145+W285+W73</f>
    </nc>
  </rcc>
  <rcc rId="11337" sId="8">
    <oc r="X301">
      <f>X47+X54+X60+X66++X85+X91+X97+X103+X109+X121+X127+X133+X166+X191+X203+X209+X215+X221+X227+X241+X247+X259+X265+X279+X145+X285+X73</f>
    </oc>
    <nc r="X301">
      <f>X47+X54+X60+X67++X85+X91+X97+X103+X109+X121+X127+X133+X166+X191+X203+X209+X215+X221+X227+X241+X247+X259+X265+X279+X145+X285+X73</f>
    </nc>
  </rcc>
  <rcc rId="11338" sId="8">
    <oc r="Y301">
      <f>Y47+Y54+Y60+Y66++Y85+Y91+Y97+Y103+Y109+Y121+Y127+Y133+Y166+Y191+Y203+Y209+Y215+Y221+Y227+Y241+Y247+Y259+Y265+Y279+Y145+Y285+Y73</f>
    </oc>
    <nc r="Y301">
      <f>Y47+Y54+Y60+Y67++Y85+Y91+Y97+Y103+Y109+Y121+Y127+Y133+Y166+Y191+Y203+Y209+Y215+Y221+Y227+Y241+Y247+Y259+Y265+Y279+Y145+Y285+Y73</f>
    </nc>
  </rcc>
  <rcc rId="11339" sId="8">
    <oc r="Z301">
      <f>Z47+Z54+Z60+Z66++Z85+Z91+Z97+Z103+Z109+Z121+Z127+Z133+Z166+Z191+Z203+Z209+Z215+Z221+Z227+Z241+Z247+Z259+Z265+Z279+Z145+Z285+Z73</f>
    </oc>
    <nc r="Z301">
      <f>Z47+Z54+Z60+Z67++Z85+Z91+Z97+Z103+Z109+Z121+Z127+Z133+Z166+Z191+Z203+Z209+Z215+Z221+Z227+Z241+Z247+Z259+Z265+Z279+Z145+Z285+Z73</f>
    </nc>
  </rcc>
  <rcc rId="11340" sId="8">
    <oc r="AA301">
      <f>AA47+AA54+AA60+AA66++AA85+AA91+AA97+AA103+AA109+AA121+AA127+AA133+AA166+AA191+AA203+AA209+AA215+AA221+AA227+AA241+AA247+AA259+AA265+AA279+AA145+AA285+AA73</f>
    </oc>
    <nc r="AA301">
      <f>AA47+AA54+AA60+AA67++AA85+AA91+AA97+AA103+AA109+AA121+AA127+AA133+AA166+AA191+AA203+AA209+AA215+AA221+AA227+AA241+AA247+AA259+AA265+AA279+AA145+AA285+AA73</f>
    </nc>
  </rcc>
  <rcc rId="11341" sId="8">
    <oc r="AB301">
      <f>AB47+AB54+AB60+AB66++AB85+AB91+AB97+AB103+AB109+AB121+AB127+AB133+AB166+AB191+AB203+AB209+AB215+AB221+AB227+AB241+AB247+AB259+AB265+AB279+AB145+AB285+AB73</f>
    </oc>
    <nc r="AB301">
      <f>AB47+AB54+AB60+AB67++AB85+AB91+AB97+AB103+AB109+AB121+AB127+AB133+AB166+AB191+AB203+AB209+AB215+AB221+AB227+AB241+AB247+AB259+AB265+AB279+AB145+AB285+AB73</f>
    </nc>
  </rcc>
  <rcc rId="11342" sId="8">
    <oc r="AC301">
      <f>AC47+AC54+AC60+AC66++AC85+AC91+AC97+AC103+AC109+AC121+AC127+AC133+AC166+AC191+AC203+AC209+AC215+AC221+AC227+AC241+AC247+AC259+AC265+AC279+AC145+AC285+AC73</f>
    </oc>
    <nc r="AC301">
      <f>AC47+AC54+AC60+AC67++AC85+AC91+AC97+AC103+AC109+AC121+AC127+AC133+AC166+AC191+AC203+AC209+AC215+AC221+AC227+AC241+AC247+AC259+AC265+AC279+AC145+AC285+AC73</f>
    </nc>
  </rcc>
  <rcc rId="11343" sId="8">
    <oc r="AD301">
      <f>AD47+AD54+AD60+AD66++AD85+AD91+AD97+AD103+AD109+AD121+AD127+AD133+AD166+AD191+AD203+AD209+AD215+AD221+AD227+AD241+AD247+AD259+AD265+AD279+AD145+AD285+AD73</f>
    </oc>
    <nc r="AD301">
      <f>AD47+AD54+AD60+AD67++AD85+AD91+AD97+AD103+AD109+AD121+AD127+AD133+AD166+AD191+AD203+AD209+AD215+AD221+AD227+AD241+AD247+AD259+AD265+AD279+AD145+AD285+AD73</f>
    </nc>
  </rcc>
  <rcc rId="11344" sId="8">
    <oc r="AE301">
      <f>AE47+AE54+AE60+AE66++AE85+AE91+AE97+AE103+AE109+AE121+AE127+AE133+AE166+AE191+AE203+AE209+AE215+AE221+AE227+AE241+AE247+AE259+AE265+AE279+AE145+AE285+AE73</f>
    </oc>
    <nc r="AE301">
      <f>AE47+AE54+AE60+AE67++AE85+AE91+AE97+AE103+AE109+AE121+AE127+AE133+AE166+AE191+AE203+AE209+AE215+AE221+AE227+AE241+AE247+AE259+AE265+AE279+AE145+AE285+AE73</f>
    </nc>
  </rcc>
  <rcc rId="11345" sId="8">
    <oc r="B315">
      <f>B16+B22+B47+B54+B60+B66+B73+B85+B91+B97+B103+B109+B121+B127+B133+B145+B153+B166+B191+B203+B209+B215+B221+B227+B241+B247+B259+B265+B279+B285-B290</f>
    </oc>
    <nc r="B315">
      <f>B16+B22+B47+B54+B60+B67+B73+B85+B91+B97+B103+B109+B121+B127+B133+B145+B153+B166+B191+B203+B209+B215+B221+B227+B241+B247+B259+B265+B279+B285-B290</f>
    </nc>
  </rcc>
  <rcc rId="11346" sId="8">
    <oc r="F314">
      <f>F15+F21+F46+F53+F59+F65+F72+F84+F90+F96+F102+F108+F120+F126+F132+F144+F152+F165+F190+F202+F208+F214+F220+F226+F240+F246+F258+F264+F278+F284-F289</f>
    </oc>
    <nc r="F314">
      <f>F15+F21+F46+F53+F59+F65+F72+F84+F90+F96+F102+F108+F120+F126+F132+F144+F152+F165+F190+F202+F208+F214+F220+F226+F240+F246+F258+F264+F278+F284-F289</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D58113B-EF01-4904-90E0-EAF78C2B603E}" name="Тихонова Лариса Анатольевна" id="-755577162" dateTime="2024-05-16T11:09:32"/>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74.bin"/><Relationship Id="rId13" Type="http://schemas.openxmlformats.org/officeDocument/2006/relationships/printerSettings" Target="../printerSettings/printerSettings179.bin"/><Relationship Id="rId18" Type="http://schemas.openxmlformats.org/officeDocument/2006/relationships/printerSettings" Target="../printerSettings/printerSettings184.bin"/><Relationship Id="rId26" Type="http://schemas.openxmlformats.org/officeDocument/2006/relationships/printerSettings" Target="../printerSettings/printerSettings192.bin"/><Relationship Id="rId3" Type="http://schemas.openxmlformats.org/officeDocument/2006/relationships/printerSettings" Target="../printerSettings/printerSettings169.bin"/><Relationship Id="rId21" Type="http://schemas.openxmlformats.org/officeDocument/2006/relationships/printerSettings" Target="../printerSettings/printerSettings187.bin"/><Relationship Id="rId7" Type="http://schemas.openxmlformats.org/officeDocument/2006/relationships/printerSettings" Target="../printerSettings/printerSettings173.bin"/><Relationship Id="rId12" Type="http://schemas.openxmlformats.org/officeDocument/2006/relationships/printerSettings" Target="../printerSettings/printerSettings178.bin"/><Relationship Id="rId17" Type="http://schemas.openxmlformats.org/officeDocument/2006/relationships/printerSettings" Target="../printerSettings/printerSettings183.bin"/><Relationship Id="rId25" Type="http://schemas.openxmlformats.org/officeDocument/2006/relationships/printerSettings" Target="../printerSettings/printerSettings191.bin"/><Relationship Id="rId2" Type="http://schemas.openxmlformats.org/officeDocument/2006/relationships/printerSettings" Target="../printerSettings/printerSettings168.bin"/><Relationship Id="rId16" Type="http://schemas.openxmlformats.org/officeDocument/2006/relationships/printerSettings" Target="../printerSettings/printerSettings182.bin"/><Relationship Id="rId20" Type="http://schemas.openxmlformats.org/officeDocument/2006/relationships/printerSettings" Target="../printerSettings/printerSettings186.bin"/><Relationship Id="rId1" Type="http://schemas.openxmlformats.org/officeDocument/2006/relationships/printerSettings" Target="../printerSettings/printerSettings167.bin"/><Relationship Id="rId6" Type="http://schemas.openxmlformats.org/officeDocument/2006/relationships/printerSettings" Target="../printerSettings/printerSettings172.bin"/><Relationship Id="rId11" Type="http://schemas.openxmlformats.org/officeDocument/2006/relationships/printerSettings" Target="../printerSettings/printerSettings177.bin"/><Relationship Id="rId24" Type="http://schemas.openxmlformats.org/officeDocument/2006/relationships/printerSettings" Target="../printerSettings/printerSettings190.bin"/><Relationship Id="rId5" Type="http://schemas.openxmlformats.org/officeDocument/2006/relationships/printerSettings" Target="../printerSettings/printerSettings171.bin"/><Relationship Id="rId15" Type="http://schemas.openxmlformats.org/officeDocument/2006/relationships/printerSettings" Target="../printerSettings/printerSettings181.bin"/><Relationship Id="rId23" Type="http://schemas.openxmlformats.org/officeDocument/2006/relationships/printerSettings" Target="../printerSettings/printerSettings189.bin"/><Relationship Id="rId10" Type="http://schemas.openxmlformats.org/officeDocument/2006/relationships/printerSettings" Target="../printerSettings/printerSettings176.bin"/><Relationship Id="rId19" Type="http://schemas.openxmlformats.org/officeDocument/2006/relationships/printerSettings" Target="../printerSettings/printerSettings185.bin"/><Relationship Id="rId4" Type="http://schemas.openxmlformats.org/officeDocument/2006/relationships/printerSettings" Target="../printerSettings/printerSettings170.bin"/><Relationship Id="rId9" Type="http://schemas.openxmlformats.org/officeDocument/2006/relationships/printerSettings" Target="../printerSettings/printerSettings175.bin"/><Relationship Id="rId14" Type="http://schemas.openxmlformats.org/officeDocument/2006/relationships/printerSettings" Target="../printerSettings/printerSettings180.bin"/><Relationship Id="rId22" Type="http://schemas.openxmlformats.org/officeDocument/2006/relationships/printerSettings" Target="../printerSettings/printerSettings188.bin"/><Relationship Id="rId27" Type="http://schemas.openxmlformats.org/officeDocument/2006/relationships/printerSettings" Target="../printerSettings/printerSettings1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01.bin"/><Relationship Id="rId13" Type="http://schemas.openxmlformats.org/officeDocument/2006/relationships/printerSettings" Target="../printerSettings/printerSettings206.bin"/><Relationship Id="rId18" Type="http://schemas.openxmlformats.org/officeDocument/2006/relationships/printerSettings" Target="../printerSettings/printerSettings211.bin"/><Relationship Id="rId26" Type="http://schemas.openxmlformats.org/officeDocument/2006/relationships/printerSettings" Target="../printerSettings/printerSettings219.bin"/><Relationship Id="rId3" Type="http://schemas.openxmlformats.org/officeDocument/2006/relationships/printerSettings" Target="../printerSettings/printerSettings196.bin"/><Relationship Id="rId21" Type="http://schemas.openxmlformats.org/officeDocument/2006/relationships/printerSettings" Target="../printerSettings/printerSettings214.bin"/><Relationship Id="rId7" Type="http://schemas.openxmlformats.org/officeDocument/2006/relationships/printerSettings" Target="../printerSettings/printerSettings200.bin"/><Relationship Id="rId12" Type="http://schemas.openxmlformats.org/officeDocument/2006/relationships/printerSettings" Target="../printerSettings/printerSettings205.bin"/><Relationship Id="rId17" Type="http://schemas.openxmlformats.org/officeDocument/2006/relationships/printerSettings" Target="../printerSettings/printerSettings210.bin"/><Relationship Id="rId25" Type="http://schemas.openxmlformats.org/officeDocument/2006/relationships/printerSettings" Target="../printerSettings/printerSettings218.bin"/><Relationship Id="rId2" Type="http://schemas.openxmlformats.org/officeDocument/2006/relationships/printerSettings" Target="../printerSettings/printerSettings195.bin"/><Relationship Id="rId16" Type="http://schemas.openxmlformats.org/officeDocument/2006/relationships/printerSettings" Target="../printerSettings/printerSettings209.bin"/><Relationship Id="rId20" Type="http://schemas.openxmlformats.org/officeDocument/2006/relationships/printerSettings" Target="../printerSettings/printerSettings213.bin"/><Relationship Id="rId29" Type="http://schemas.openxmlformats.org/officeDocument/2006/relationships/comments" Target="../comments4.xml"/><Relationship Id="rId1" Type="http://schemas.openxmlformats.org/officeDocument/2006/relationships/printerSettings" Target="../printerSettings/printerSettings194.bin"/><Relationship Id="rId6" Type="http://schemas.openxmlformats.org/officeDocument/2006/relationships/printerSettings" Target="../printerSettings/printerSettings199.bin"/><Relationship Id="rId11" Type="http://schemas.openxmlformats.org/officeDocument/2006/relationships/printerSettings" Target="../printerSettings/printerSettings204.bin"/><Relationship Id="rId24" Type="http://schemas.openxmlformats.org/officeDocument/2006/relationships/printerSettings" Target="../printerSettings/printerSettings217.bin"/><Relationship Id="rId5" Type="http://schemas.openxmlformats.org/officeDocument/2006/relationships/printerSettings" Target="../printerSettings/printerSettings198.bin"/><Relationship Id="rId15" Type="http://schemas.openxmlformats.org/officeDocument/2006/relationships/printerSettings" Target="../printerSettings/printerSettings208.bin"/><Relationship Id="rId23" Type="http://schemas.openxmlformats.org/officeDocument/2006/relationships/printerSettings" Target="../printerSettings/printerSettings216.bin"/><Relationship Id="rId28" Type="http://schemas.openxmlformats.org/officeDocument/2006/relationships/vmlDrawing" Target="../drawings/vmlDrawing4.vml"/><Relationship Id="rId10" Type="http://schemas.openxmlformats.org/officeDocument/2006/relationships/printerSettings" Target="../printerSettings/printerSettings203.bin"/><Relationship Id="rId19" Type="http://schemas.openxmlformats.org/officeDocument/2006/relationships/printerSettings" Target="../printerSettings/printerSettings212.bin"/><Relationship Id="rId4" Type="http://schemas.openxmlformats.org/officeDocument/2006/relationships/printerSettings" Target="../printerSettings/printerSettings197.bin"/><Relationship Id="rId9" Type="http://schemas.openxmlformats.org/officeDocument/2006/relationships/printerSettings" Target="../printerSettings/printerSettings202.bin"/><Relationship Id="rId14" Type="http://schemas.openxmlformats.org/officeDocument/2006/relationships/printerSettings" Target="../printerSettings/printerSettings207.bin"/><Relationship Id="rId22" Type="http://schemas.openxmlformats.org/officeDocument/2006/relationships/printerSettings" Target="../printerSettings/printerSettings215.bin"/><Relationship Id="rId27" Type="http://schemas.openxmlformats.org/officeDocument/2006/relationships/printerSettings" Target="../printerSettings/printerSettings220.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28.bin"/><Relationship Id="rId13" Type="http://schemas.openxmlformats.org/officeDocument/2006/relationships/printerSettings" Target="../printerSettings/printerSettings233.bin"/><Relationship Id="rId18" Type="http://schemas.openxmlformats.org/officeDocument/2006/relationships/printerSettings" Target="../printerSettings/printerSettings238.bin"/><Relationship Id="rId26" Type="http://schemas.openxmlformats.org/officeDocument/2006/relationships/printerSettings" Target="../printerSettings/printerSettings246.bin"/><Relationship Id="rId3" Type="http://schemas.openxmlformats.org/officeDocument/2006/relationships/printerSettings" Target="../printerSettings/printerSettings223.bin"/><Relationship Id="rId21" Type="http://schemas.openxmlformats.org/officeDocument/2006/relationships/printerSettings" Target="../printerSettings/printerSettings241.bin"/><Relationship Id="rId7" Type="http://schemas.openxmlformats.org/officeDocument/2006/relationships/printerSettings" Target="../printerSettings/printerSettings227.bin"/><Relationship Id="rId12" Type="http://schemas.openxmlformats.org/officeDocument/2006/relationships/printerSettings" Target="../printerSettings/printerSettings232.bin"/><Relationship Id="rId17" Type="http://schemas.openxmlformats.org/officeDocument/2006/relationships/printerSettings" Target="../printerSettings/printerSettings237.bin"/><Relationship Id="rId25" Type="http://schemas.openxmlformats.org/officeDocument/2006/relationships/printerSettings" Target="../printerSettings/printerSettings245.bin"/><Relationship Id="rId2" Type="http://schemas.openxmlformats.org/officeDocument/2006/relationships/printerSettings" Target="../printerSettings/printerSettings222.bin"/><Relationship Id="rId16" Type="http://schemas.openxmlformats.org/officeDocument/2006/relationships/printerSettings" Target="../printerSettings/printerSettings236.bin"/><Relationship Id="rId20" Type="http://schemas.openxmlformats.org/officeDocument/2006/relationships/printerSettings" Target="../printerSettings/printerSettings240.bin"/><Relationship Id="rId1" Type="http://schemas.openxmlformats.org/officeDocument/2006/relationships/printerSettings" Target="../printerSettings/printerSettings221.bin"/><Relationship Id="rId6" Type="http://schemas.openxmlformats.org/officeDocument/2006/relationships/printerSettings" Target="../printerSettings/printerSettings226.bin"/><Relationship Id="rId11" Type="http://schemas.openxmlformats.org/officeDocument/2006/relationships/printerSettings" Target="../printerSettings/printerSettings231.bin"/><Relationship Id="rId24" Type="http://schemas.openxmlformats.org/officeDocument/2006/relationships/printerSettings" Target="../printerSettings/printerSettings244.bin"/><Relationship Id="rId5" Type="http://schemas.openxmlformats.org/officeDocument/2006/relationships/printerSettings" Target="../printerSettings/printerSettings225.bin"/><Relationship Id="rId15" Type="http://schemas.openxmlformats.org/officeDocument/2006/relationships/printerSettings" Target="../printerSettings/printerSettings235.bin"/><Relationship Id="rId23" Type="http://schemas.openxmlformats.org/officeDocument/2006/relationships/printerSettings" Target="../printerSettings/printerSettings243.bin"/><Relationship Id="rId28" Type="http://schemas.openxmlformats.org/officeDocument/2006/relationships/comments" Target="../comments5.xml"/><Relationship Id="rId10" Type="http://schemas.openxmlformats.org/officeDocument/2006/relationships/printerSettings" Target="../printerSettings/printerSettings230.bin"/><Relationship Id="rId19" Type="http://schemas.openxmlformats.org/officeDocument/2006/relationships/printerSettings" Target="../printerSettings/printerSettings239.bin"/><Relationship Id="rId4" Type="http://schemas.openxmlformats.org/officeDocument/2006/relationships/printerSettings" Target="../printerSettings/printerSettings224.bin"/><Relationship Id="rId9" Type="http://schemas.openxmlformats.org/officeDocument/2006/relationships/printerSettings" Target="../printerSettings/printerSettings229.bin"/><Relationship Id="rId14" Type="http://schemas.openxmlformats.org/officeDocument/2006/relationships/printerSettings" Target="../printerSettings/printerSettings234.bin"/><Relationship Id="rId22" Type="http://schemas.openxmlformats.org/officeDocument/2006/relationships/printerSettings" Target="../printerSettings/printerSettings242.bin"/><Relationship Id="rId27"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54.bin"/><Relationship Id="rId13" Type="http://schemas.openxmlformats.org/officeDocument/2006/relationships/printerSettings" Target="../printerSettings/printerSettings259.bin"/><Relationship Id="rId18" Type="http://schemas.openxmlformats.org/officeDocument/2006/relationships/printerSettings" Target="../printerSettings/printerSettings264.bin"/><Relationship Id="rId26" Type="http://schemas.openxmlformats.org/officeDocument/2006/relationships/vmlDrawing" Target="../drawings/vmlDrawing6.vml"/><Relationship Id="rId3" Type="http://schemas.openxmlformats.org/officeDocument/2006/relationships/printerSettings" Target="../printerSettings/printerSettings249.bin"/><Relationship Id="rId21" Type="http://schemas.openxmlformats.org/officeDocument/2006/relationships/printerSettings" Target="../printerSettings/printerSettings267.bin"/><Relationship Id="rId7" Type="http://schemas.openxmlformats.org/officeDocument/2006/relationships/printerSettings" Target="../printerSettings/printerSettings253.bin"/><Relationship Id="rId12" Type="http://schemas.openxmlformats.org/officeDocument/2006/relationships/printerSettings" Target="../printerSettings/printerSettings258.bin"/><Relationship Id="rId17" Type="http://schemas.openxmlformats.org/officeDocument/2006/relationships/printerSettings" Target="../printerSettings/printerSettings263.bin"/><Relationship Id="rId25" Type="http://schemas.openxmlformats.org/officeDocument/2006/relationships/printerSettings" Target="../printerSettings/printerSettings271.bin"/><Relationship Id="rId2" Type="http://schemas.openxmlformats.org/officeDocument/2006/relationships/printerSettings" Target="../printerSettings/printerSettings248.bin"/><Relationship Id="rId16" Type="http://schemas.openxmlformats.org/officeDocument/2006/relationships/printerSettings" Target="../printerSettings/printerSettings262.bin"/><Relationship Id="rId20" Type="http://schemas.openxmlformats.org/officeDocument/2006/relationships/printerSettings" Target="../printerSettings/printerSettings266.bin"/><Relationship Id="rId1" Type="http://schemas.openxmlformats.org/officeDocument/2006/relationships/printerSettings" Target="../printerSettings/printerSettings247.bin"/><Relationship Id="rId6" Type="http://schemas.openxmlformats.org/officeDocument/2006/relationships/printerSettings" Target="../printerSettings/printerSettings252.bin"/><Relationship Id="rId11" Type="http://schemas.openxmlformats.org/officeDocument/2006/relationships/printerSettings" Target="../printerSettings/printerSettings257.bin"/><Relationship Id="rId24" Type="http://schemas.openxmlformats.org/officeDocument/2006/relationships/printerSettings" Target="../printerSettings/printerSettings270.bin"/><Relationship Id="rId5" Type="http://schemas.openxmlformats.org/officeDocument/2006/relationships/printerSettings" Target="../printerSettings/printerSettings251.bin"/><Relationship Id="rId15" Type="http://schemas.openxmlformats.org/officeDocument/2006/relationships/printerSettings" Target="../printerSettings/printerSettings261.bin"/><Relationship Id="rId23" Type="http://schemas.openxmlformats.org/officeDocument/2006/relationships/printerSettings" Target="../printerSettings/printerSettings269.bin"/><Relationship Id="rId10" Type="http://schemas.openxmlformats.org/officeDocument/2006/relationships/printerSettings" Target="../printerSettings/printerSettings256.bin"/><Relationship Id="rId19" Type="http://schemas.openxmlformats.org/officeDocument/2006/relationships/printerSettings" Target="../printerSettings/printerSettings265.bin"/><Relationship Id="rId4" Type="http://schemas.openxmlformats.org/officeDocument/2006/relationships/printerSettings" Target="../printerSettings/printerSettings250.bin"/><Relationship Id="rId9" Type="http://schemas.openxmlformats.org/officeDocument/2006/relationships/printerSettings" Target="../printerSettings/printerSettings255.bin"/><Relationship Id="rId14" Type="http://schemas.openxmlformats.org/officeDocument/2006/relationships/printerSettings" Target="../printerSettings/printerSettings260.bin"/><Relationship Id="rId22" Type="http://schemas.openxmlformats.org/officeDocument/2006/relationships/printerSettings" Target="../printerSettings/printerSettings268.bin"/><Relationship Id="rId27"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79.bin"/><Relationship Id="rId13" Type="http://schemas.openxmlformats.org/officeDocument/2006/relationships/printerSettings" Target="../printerSettings/printerSettings284.bin"/><Relationship Id="rId18" Type="http://schemas.openxmlformats.org/officeDocument/2006/relationships/printerSettings" Target="../printerSettings/printerSettings289.bin"/><Relationship Id="rId26" Type="http://schemas.openxmlformats.org/officeDocument/2006/relationships/printerSettings" Target="../printerSettings/printerSettings297.bin"/><Relationship Id="rId3" Type="http://schemas.openxmlformats.org/officeDocument/2006/relationships/printerSettings" Target="../printerSettings/printerSettings274.bin"/><Relationship Id="rId21" Type="http://schemas.openxmlformats.org/officeDocument/2006/relationships/printerSettings" Target="../printerSettings/printerSettings292.bin"/><Relationship Id="rId7" Type="http://schemas.openxmlformats.org/officeDocument/2006/relationships/printerSettings" Target="../printerSettings/printerSettings278.bin"/><Relationship Id="rId12" Type="http://schemas.openxmlformats.org/officeDocument/2006/relationships/printerSettings" Target="../printerSettings/printerSettings283.bin"/><Relationship Id="rId17" Type="http://schemas.openxmlformats.org/officeDocument/2006/relationships/printerSettings" Target="../printerSettings/printerSettings288.bin"/><Relationship Id="rId25" Type="http://schemas.openxmlformats.org/officeDocument/2006/relationships/printerSettings" Target="../printerSettings/printerSettings296.bin"/><Relationship Id="rId2" Type="http://schemas.openxmlformats.org/officeDocument/2006/relationships/printerSettings" Target="../printerSettings/printerSettings273.bin"/><Relationship Id="rId16" Type="http://schemas.openxmlformats.org/officeDocument/2006/relationships/printerSettings" Target="../printerSettings/printerSettings287.bin"/><Relationship Id="rId20" Type="http://schemas.openxmlformats.org/officeDocument/2006/relationships/printerSettings" Target="../printerSettings/printerSettings291.bin"/><Relationship Id="rId29" Type="http://schemas.openxmlformats.org/officeDocument/2006/relationships/comments" Target="../comments7.xml"/><Relationship Id="rId1" Type="http://schemas.openxmlformats.org/officeDocument/2006/relationships/printerSettings" Target="../printerSettings/printerSettings272.bin"/><Relationship Id="rId6" Type="http://schemas.openxmlformats.org/officeDocument/2006/relationships/printerSettings" Target="../printerSettings/printerSettings277.bin"/><Relationship Id="rId11" Type="http://schemas.openxmlformats.org/officeDocument/2006/relationships/printerSettings" Target="../printerSettings/printerSettings282.bin"/><Relationship Id="rId24" Type="http://schemas.openxmlformats.org/officeDocument/2006/relationships/printerSettings" Target="../printerSettings/printerSettings295.bin"/><Relationship Id="rId5" Type="http://schemas.openxmlformats.org/officeDocument/2006/relationships/printerSettings" Target="../printerSettings/printerSettings276.bin"/><Relationship Id="rId15" Type="http://schemas.openxmlformats.org/officeDocument/2006/relationships/printerSettings" Target="../printerSettings/printerSettings286.bin"/><Relationship Id="rId23" Type="http://schemas.openxmlformats.org/officeDocument/2006/relationships/printerSettings" Target="../printerSettings/printerSettings294.bin"/><Relationship Id="rId28" Type="http://schemas.openxmlformats.org/officeDocument/2006/relationships/vmlDrawing" Target="../drawings/vmlDrawing7.vml"/><Relationship Id="rId10" Type="http://schemas.openxmlformats.org/officeDocument/2006/relationships/printerSettings" Target="../printerSettings/printerSettings281.bin"/><Relationship Id="rId19" Type="http://schemas.openxmlformats.org/officeDocument/2006/relationships/printerSettings" Target="../printerSettings/printerSettings290.bin"/><Relationship Id="rId4" Type="http://schemas.openxmlformats.org/officeDocument/2006/relationships/printerSettings" Target="../printerSettings/printerSettings275.bin"/><Relationship Id="rId9" Type="http://schemas.openxmlformats.org/officeDocument/2006/relationships/printerSettings" Target="../printerSettings/printerSettings280.bin"/><Relationship Id="rId14" Type="http://schemas.openxmlformats.org/officeDocument/2006/relationships/printerSettings" Target="../printerSettings/printerSettings285.bin"/><Relationship Id="rId22" Type="http://schemas.openxmlformats.org/officeDocument/2006/relationships/printerSettings" Target="../printerSettings/printerSettings293.bin"/><Relationship Id="rId27" Type="http://schemas.openxmlformats.org/officeDocument/2006/relationships/printerSettings" Target="../printerSettings/printerSettings29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0.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08.bin"/><Relationship Id="rId13" Type="http://schemas.openxmlformats.org/officeDocument/2006/relationships/printerSettings" Target="../printerSettings/printerSettings313.bin"/><Relationship Id="rId18" Type="http://schemas.openxmlformats.org/officeDocument/2006/relationships/printerSettings" Target="../printerSettings/printerSettings318.bin"/><Relationship Id="rId26" Type="http://schemas.openxmlformats.org/officeDocument/2006/relationships/printerSettings" Target="../printerSettings/printerSettings326.bin"/><Relationship Id="rId3" Type="http://schemas.openxmlformats.org/officeDocument/2006/relationships/printerSettings" Target="../printerSettings/printerSettings303.bin"/><Relationship Id="rId21" Type="http://schemas.openxmlformats.org/officeDocument/2006/relationships/printerSettings" Target="../printerSettings/printerSettings321.bin"/><Relationship Id="rId7" Type="http://schemas.openxmlformats.org/officeDocument/2006/relationships/printerSettings" Target="../printerSettings/printerSettings307.bin"/><Relationship Id="rId12" Type="http://schemas.openxmlformats.org/officeDocument/2006/relationships/printerSettings" Target="../printerSettings/printerSettings312.bin"/><Relationship Id="rId17" Type="http://schemas.openxmlformats.org/officeDocument/2006/relationships/printerSettings" Target="../printerSettings/printerSettings317.bin"/><Relationship Id="rId25" Type="http://schemas.openxmlformats.org/officeDocument/2006/relationships/printerSettings" Target="../printerSettings/printerSettings325.bin"/><Relationship Id="rId2" Type="http://schemas.openxmlformats.org/officeDocument/2006/relationships/printerSettings" Target="../printerSettings/printerSettings302.bin"/><Relationship Id="rId16" Type="http://schemas.openxmlformats.org/officeDocument/2006/relationships/printerSettings" Target="../printerSettings/printerSettings316.bin"/><Relationship Id="rId20" Type="http://schemas.openxmlformats.org/officeDocument/2006/relationships/printerSettings" Target="../printerSettings/printerSettings320.bin"/><Relationship Id="rId1" Type="http://schemas.openxmlformats.org/officeDocument/2006/relationships/printerSettings" Target="../printerSettings/printerSettings301.bin"/><Relationship Id="rId6" Type="http://schemas.openxmlformats.org/officeDocument/2006/relationships/printerSettings" Target="../printerSettings/printerSettings306.bin"/><Relationship Id="rId11" Type="http://schemas.openxmlformats.org/officeDocument/2006/relationships/printerSettings" Target="../printerSettings/printerSettings311.bin"/><Relationship Id="rId24" Type="http://schemas.openxmlformats.org/officeDocument/2006/relationships/printerSettings" Target="../printerSettings/printerSettings324.bin"/><Relationship Id="rId5" Type="http://schemas.openxmlformats.org/officeDocument/2006/relationships/printerSettings" Target="../printerSettings/printerSettings305.bin"/><Relationship Id="rId15" Type="http://schemas.openxmlformats.org/officeDocument/2006/relationships/printerSettings" Target="../printerSettings/printerSettings315.bin"/><Relationship Id="rId23" Type="http://schemas.openxmlformats.org/officeDocument/2006/relationships/printerSettings" Target="../printerSettings/printerSettings323.bin"/><Relationship Id="rId28" Type="http://schemas.openxmlformats.org/officeDocument/2006/relationships/comments" Target="../comments8.xml"/><Relationship Id="rId10" Type="http://schemas.openxmlformats.org/officeDocument/2006/relationships/printerSettings" Target="../printerSettings/printerSettings310.bin"/><Relationship Id="rId19" Type="http://schemas.openxmlformats.org/officeDocument/2006/relationships/printerSettings" Target="../printerSettings/printerSettings319.bin"/><Relationship Id="rId4" Type="http://schemas.openxmlformats.org/officeDocument/2006/relationships/printerSettings" Target="../printerSettings/printerSettings304.bin"/><Relationship Id="rId9" Type="http://schemas.openxmlformats.org/officeDocument/2006/relationships/printerSettings" Target="../printerSettings/printerSettings309.bin"/><Relationship Id="rId14" Type="http://schemas.openxmlformats.org/officeDocument/2006/relationships/printerSettings" Target="../printerSettings/printerSettings314.bin"/><Relationship Id="rId22" Type="http://schemas.openxmlformats.org/officeDocument/2006/relationships/printerSettings" Target="../printerSettings/printerSettings322.bin"/><Relationship Id="rId27"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34.bin"/><Relationship Id="rId13" Type="http://schemas.openxmlformats.org/officeDocument/2006/relationships/printerSettings" Target="../printerSettings/printerSettings339.bin"/><Relationship Id="rId18" Type="http://schemas.openxmlformats.org/officeDocument/2006/relationships/printerSettings" Target="../printerSettings/printerSettings344.bin"/><Relationship Id="rId3" Type="http://schemas.openxmlformats.org/officeDocument/2006/relationships/printerSettings" Target="../printerSettings/printerSettings329.bin"/><Relationship Id="rId21" Type="http://schemas.openxmlformats.org/officeDocument/2006/relationships/printerSettings" Target="../printerSettings/printerSettings347.bin"/><Relationship Id="rId7" Type="http://schemas.openxmlformats.org/officeDocument/2006/relationships/printerSettings" Target="../printerSettings/printerSettings333.bin"/><Relationship Id="rId12" Type="http://schemas.openxmlformats.org/officeDocument/2006/relationships/printerSettings" Target="../printerSettings/printerSettings338.bin"/><Relationship Id="rId17" Type="http://schemas.openxmlformats.org/officeDocument/2006/relationships/printerSettings" Target="../printerSettings/printerSettings343.bin"/><Relationship Id="rId2" Type="http://schemas.openxmlformats.org/officeDocument/2006/relationships/printerSettings" Target="../printerSettings/printerSettings328.bin"/><Relationship Id="rId16" Type="http://schemas.openxmlformats.org/officeDocument/2006/relationships/printerSettings" Target="../printerSettings/printerSettings342.bin"/><Relationship Id="rId20" Type="http://schemas.openxmlformats.org/officeDocument/2006/relationships/printerSettings" Target="../printerSettings/printerSettings346.bin"/><Relationship Id="rId1" Type="http://schemas.openxmlformats.org/officeDocument/2006/relationships/printerSettings" Target="../printerSettings/printerSettings327.bin"/><Relationship Id="rId6" Type="http://schemas.openxmlformats.org/officeDocument/2006/relationships/printerSettings" Target="../printerSettings/printerSettings332.bin"/><Relationship Id="rId11" Type="http://schemas.openxmlformats.org/officeDocument/2006/relationships/printerSettings" Target="../printerSettings/printerSettings337.bin"/><Relationship Id="rId5" Type="http://schemas.openxmlformats.org/officeDocument/2006/relationships/printerSettings" Target="../printerSettings/printerSettings331.bin"/><Relationship Id="rId15" Type="http://schemas.openxmlformats.org/officeDocument/2006/relationships/printerSettings" Target="../printerSettings/printerSettings341.bin"/><Relationship Id="rId10" Type="http://schemas.openxmlformats.org/officeDocument/2006/relationships/printerSettings" Target="../printerSettings/printerSettings336.bin"/><Relationship Id="rId19" Type="http://schemas.openxmlformats.org/officeDocument/2006/relationships/printerSettings" Target="../printerSettings/printerSettings345.bin"/><Relationship Id="rId4" Type="http://schemas.openxmlformats.org/officeDocument/2006/relationships/printerSettings" Target="../printerSettings/printerSettings330.bin"/><Relationship Id="rId9" Type="http://schemas.openxmlformats.org/officeDocument/2006/relationships/printerSettings" Target="../printerSettings/printerSettings335.bin"/><Relationship Id="rId14" Type="http://schemas.openxmlformats.org/officeDocument/2006/relationships/printerSettings" Target="../printerSettings/printerSettings340.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5.bin"/><Relationship Id="rId13" Type="http://schemas.openxmlformats.org/officeDocument/2006/relationships/printerSettings" Target="../printerSettings/printerSettings40.bin"/><Relationship Id="rId18" Type="http://schemas.openxmlformats.org/officeDocument/2006/relationships/printerSettings" Target="../printerSettings/printerSettings45.bin"/><Relationship Id="rId26" Type="http://schemas.openxmlformats.org/officeDocument/2006/relationships/printerSettings" Target="../printerSettings/printerSettings53.bin"/><Relationship Id="rId3" Type="http://schemas.openxmlformats.org/officeDocument/2006/relationships/printerSettings" Target="../printerSettings/printerSettings30.bin"/><Relationship Id="rId21" Type="http://schemas.openxmlformats.org/officeDocument/2006/relationships/printerSettings" Target="../printerSettings/printerSettings48.bin"/><Relationship Id="rId7" Type="http://schemas.openxmlformats.org/officeDocument/2006/relationships/printerSettings" Target="../printerSettings/printerSettings34.bin"/><Relationship Id="rId12" Type="http://schemas.openxmlformats.org/officeDocument/2006/relationships/printerSettings" Target="../printerSettings/printerSettings39.bin"/><Relationship Id="rId17" Type="http://schemas.openxmlformats.org/officeDocument/2006/relationships/printerSettings" Target="../printerSettings/printerSettings44.bin"/><Relationship Id="rId25" Type="http://schemas.openxmlformats.org/officeDocument/2006/relationships/printerSettings" Target="../printerSettings/printerSettings52.bin"/><Relationship Id="rId2" Type="http://schemas.openxmlformats.org/officeDocument/2006/relationships/printerSettings" Target="../printerSettings/printerSettings29.bin"/><Relationship Id="rId16" Type="http://schemas.openxmlformats.org/officeDocument/2006/relationships/printerSettings" Target="../printerSettings/printerSettings43.bin"/><Relationship Id="rId20" Type="http://schemas.openxmlformats.org/officeDocument/2006/relationships/printerSettings" Target="../printerSettings/printerSettings47.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24" Type="http://schemas.openxmlformats.org/officeDocument/2006/relationships/printerSettings" Target="../printerSettings/printerSettings51.bin"/><Relationship Id="rId5" Type="http://schemas.openxmlformats.org/officeDocument/2006/relationships/printerSettings" Target="../printerSettings/printerSettings32.bin"/><Relationship Id="rId15" Type="http://schemas.openxmlformats.org/officeDocument/2006/relationships/printerSettings" Target="../printerSettings/printerSettings42.bin"/><Relationship Id="rId23" Type="http://schemas.openxmlformats.org/officeDocument/2006/relationships/printerSettings" Target="../printerSettings/printerSettings50.bin"/><Relationship Id="rId10" Type="http://schemas.openxmlformats.org/officeDocument/2006/relationships/printerSettings" Target="../printerSettings/printerSettings37.bin"/><Relationship Id="rId19" Type="http://schemas.openxmlformats.org/officeDocument/2006/relationships/printerSettings" Target="../printerSettings/printerSettings46.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 Id="rId14" Type="http://schemas.openxmlformats.org/officeDocument/2006/relationships/printerSettings" Target="../printerSettings/printerSettings41.bin"/><Relationship Id="rId22" Type="http://schemas.openxmlformats.org/officeDocument/2006/relationships/printerSettings" Target="../printerSettings/printerSettings49.bin"/><Relationship Id="rId27"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2.bin"/><Relationship Id="rId13" Type="http://schemas.openxmlformats.org/officeDocument/2006/relationships/printerSettings" Target="../printerSettings/printerSettings67.bin"/><Relationship Id="rId18" Type="http://schemas.openxmlformats.org/officeDocument/2006/relationships/printerSettings" Target="../printerSettings/printerSettings72.bin"/><Relationship Id="rId26" Type="http://schemas.openxmlformats.org/officeDocument/2006/relationships/printerSettings" Target="../printerSettings/printerSettings80.bin"/><Relationship Id="rId3" Type="http://schemas.openxmlformats.org/officeDocument/2006/relationships/printerSettings" Target="../printerSettings/printerSettings57.bin"/><Relationship Id="rId21" Type="http://schemas.openxmlformats.org/officeDocument/2006/relationships/printerSettings" Target="../printerSettings/printerSettings75.bin"/><Relationship Id="rId7" Type="http://schemas.openxmlformats.org/officeDocument/2006/relationships/printerSettings" Target="../printerSettings/printerSettings61.bin"/><Relationship Id="rId12" Type="http://schemas.openxmlformats.org/officeDocument/2006/relationships/printerSettings" Target="../printerSettings/printerSettings66.bin"/><Relationship Id="rId17" Type="http://schemas.openxmlformats.org/officeDocument/2006/relationships/printerSettings" Target="../printerSettings/printerSettings71.bin"/><Relationship Id="rId25" Type="http://schemas.openxmlformats.org/officeDocument/2006/relationships/printerSettings" Target="../printerSettings/printerSettings79.bin"/><Relationship Id="rId2" Type="http://schemas.openxmlformats.org/officeDocument/2006/relationships/printerSettings" Target="../printerSettings/printerSettings56.bin"/><Relationship Id="rId16" Type="http://schemas.openxmlformats.org/officeDocument/2006/relationships/printerSettings" Target="../printerSettings/printerSettings70.bin"/><Relationship Id="rId20" Type="http://schemas.openxmlformats.org/officeDocument/2006/relationships/printerSettings" Target="../printerSettings/printerSettings74.bin"/><Relationship Id="rId29" Type="http://schemas.openxmlformats.org/officeDocument/2006/relationships/comments" Target="../comments1.xml"/><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24" Type="http://schemas.openxmlformats.org/officeDocument/2006/relationships/printerSettings" Target="../printerSettings/printerSettings78.bin"/><Relationship Id="rId5" Type="http://schemas.openxmlformats.org/officeDocument/2006/relationships/printerSettings" Target="../printerSettings/printerSettings59.bin"/><Relationship Id="rId15" Type="http://schemas.openxmlformats.org/officeDocument/2006/relationships/printerSettings" Target="../printerSettings/printerSettings69.bin"/><Relationship Id="rId23" Type="http://schemas.openxmlformats.org/officeDocument/2006/relationships/printerSettings" Target="../printerSettings/printerSettings77.bin"/><Relationship Id="rId28" Type="http://schemas.openxmlformats.org/officeDocument/2006/relationships/vmlDrawing" Target="../drawings/vmlDrawing1.vml"/><Relationship Id="rId10" Type="http://schemas.openxmlformats.org/officeDocument/2006/relationships/printerSettings" Target="../printerSettings/printerSettings64.bin"/><Relationship Id="rId19" Type="http://schemas.openxmlformats.org/officeDocument/2006/relationships/printerSettings" Target="../printerSettings/printerSettings73.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 Id="rId14" Type="http://schemas.openxmlformats.org/officeDocument/2006/relationships/printerSettings" Target="../printerSettings/printerSettings68.bin"/><Relationship Id="rId22" Type="http://schemas.openxmlformats.org/officeDocument/2006/relationships/printerSettings" Target="../printerSettings/printerSettings76.bin"/><Relationship Id="rId27" Type="http://schemas.openxmlformats.org/officeDocument/2006/relationships/printerSettings" Target="../printerSettings/printerSettings8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9.bin"/><Relationship Id="rId13" Type="http://schemas.openxmlformats.org/officeDocument/2006/relationships/printerSettings" Target="../printerSettings/printerSettings94.bin"/><Relationship Id="rId18" Type="http://schemas.openxmlformats.org/officeDocument/2006/relationships/printerSettings" Target="../printerSettings/printerSettings99.bin"/><Relationship Id="rId26" Type="http://schemas.openxmlformats.org/officeDocument/2006/relationships/printerSettings" Target="../printerSettings/printerSettings107.bin"/><Relationship Id="rId3" Type="http://schemas.openxmlformats.org/officeDocument/2006/relationships/printerSettings" Target="../printerSettings/printerSettings84.bin"/><Relationship Id="rId21" Type="http://schemas.openxmlformats.org/officeDocument/2006/relationships/printerSettings" Target="../printerSettings/printerSettings102.bin"/><Relationship Id="rId7" Type="http://schemas.openxmlformats.org/officeDocument/2006/relationships/printerSettings" Target="../printerSettings/printerSettings88.bin"/><Relationship Id="rId12" Type="http://schemas.openxmlformats.org/officeDocument/2006/relationships/printerSettings" Target="../printerSettings/printerSettings93.bin"/><Relationship Id="rId17" Type="http://schemas.openxmlformats.org/officeDocument/2006/relationships/printerSettings" Target="../printerSettings/printerSettings98.bin"/><Relationship Id="rId25" Type="http://schemas.openxmlformats.org/officeDocument/2006/relationships/printerSettings" Target="../printerSettings/printerSettings106.bin"/><Relationship Id="rId2" Type="http://schemas.openxmlformats.org/officeDocument/2006/relationships/printerSettings" Target="../printerSettings/printerSettings83.bin"/><Relationship Id="rId16" Type="http://schemas.openxmlformats.org/officeDocument/2006/relationships/printerSettings" Target="../printerSettings/printerSettings97.bin"/><Relationship Id="rId20" Type="http://schemas.openxmlformats.org/officeDocument/2006/relationships/printerSettings" Target="../printerSettings/printerSettings101.bin"/><Relationship Id="rId29" Type="http://schemas.openxmlformats.org/officeDocument/2006/relationships/comments" Target="../comments2.xml"/><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11" Type="http://schemas.openxmlformats.org/officeDocument/2006/relationships/printerSettings" Target="../printerSettings/printerSettings92.bin"/><Relationship Id="rId24" Type="http://schemas.openxmlformats.org/officeDocument/2006/relationships/printerSettings" Target="../printerSettings/printerSettings105.bin"/><Relationship Id="rId5" Type="http://schemas.openxmlformats.org/officeDocument/2006/relationships/printerSettings" Target="../printerSettings/printerSettings86.bin"/><Relationship Id="rId15" Type="http://schemas.openxmlformats.org/officeDocument/2006/relationships/printerSettings" Target="../printerSettings/printerSettings96.bin"/><Relationship Id="rId23" Type="http://schemas.openxmlformats.org/officeDocument/2006/relationships/printerSettings" Target="../printerSettings/printerSettings104.bin"/><Relationship Id="rId28" Type="http://schemas.openxmlformats.org/officeDocument/2006/relationships/vmlDrawing" Target="../drawings/vmlDrawing2.vml"/><Relationship Id="rId10" Type="http://schemas.openxmlformats.org/officeDocument/2006/relationships/printerSettings" Target="../printerSettings/printerSettings91.bin"/><Relationship Id="rId19" Type="http://schemas.openxmlformats.org/officeDocument/2006/relationships/printerSettings" Target="../printerSettings/printerSettings100.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 Id="rId14" Type="http://schemas.openxmlformats.org/officeDocument/2006/relationships/printerSettings" Target="../printerSettings/printerSettings95.bin"/><Relationship Id="rId22" Type="http://schemas.openxmlformats.org/officeDocument/2006/relationships/printerSettings" Target="../printerSettings/printerSettings103.bin"/><Relationship Id="rId27" Type="http://schemas.openxmlformats.org/officeDocument/2006/relationships/printerSettings" Target="../printerSettings/printerSettings10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26" Type="http://schemas.openxmlformats.org/officeDocument/2006/relationships/printerSettings" Target="../printerSettings/printerSettings134.bin"/><Relationship Id="rId3" Type="http://schemas.openxmlformats.org/officeDocument/2006/relationships/printerSettings" Target="../printerSettings/printerSettings111.bin"/><Relationship Id="rId21" Type="http://schemas.openxmlformats.org/officeDocument/2006/relationships/printerSettings" Target="../printerSettings/printerSettings129.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5" Type="http://schemas.openxmlformats.org/officeDocument/2006/relationships/printerSettings" Target="../printerSettings/printerSettings133.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20" Type="http://schemas.openxmlformats.org/officeDocument/2006/relationships/printerSettings" Target="../printerSettings/printerSettings128.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24" Type="http://schemas.openxmlformats.org/officeDocument/2006/relationships/printerSettings" Target="../printerSettings/printerSettings132.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23" Type="http://schemas.openxmlformats.org/officeDocument/2006/relationships/printerSettings" Target="../printerSettings/printerSettings131.bin"/><Relationship Id="rId10" Type="http://schemas.openxmlformats.org/officeDocument/2006/relationships/printerSettings" Target="../printerSettings/printerSettings118.bin"/><Relationship Id="rId19" Type="http://schemas.openxmlformats.org/officeDocument/2006/relationships/printerSettings" Target="../printerSettings/printerSettings127.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 Id="rId22" Type="http://schemas.openxmlformats.org/officeDocument/2006/relationships/printerSettings" Target="../printerSettings/printerSettings130.bin"/><Relationship Id="rId27" Type="http://schemas.openxmlformats.org/officeDocument/2006/relationships/printerSettings" Target="../printerSettings/printerSettings13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43.bin"/><Relationship Id="rId13" Type="http://schemas.openxmlformats.org/officeDocument/2006/relationships/printerSettings" Target="../printerSettings/printerSettings148.bin"/><Relationship Id="rId18" Type="http://schemas.openxmlformats.org/officeDocument/2006/relationships/printerSettings" Target="../printerSettings/printerSettings153.bin"/><Relationship Id="rId26" Type="http://schemas.openxmlformats.org/officeDocument/2006/relationships/printerSettings" Target="../printerSettings/printerSettings161.bin"/><Relationship Id="rId3" Type="http://schemas.openxmlformats.org/officeDocument/2006/relationships/printerSettings" Target="../printerSettings/printerSettings138.bin"/><Relationship Id="rId21" Type="http://schemas.openxmlformats.org/officeDocument/2006/relationships/printerSettings" Target="../printerSettings/printerSettings156.bin"/><Relationship Id="rId7" Type="http://schemas.openxmlformats.org/officeDocument/2006/relationships/printerSettings" Target="../printerSettings/printerSettings142.bin"/><Relationship Id="rId12" Type="http://schemas.openxmlformats.org/officeDocument/2006/relationships/printerSettings" Target="../printerSettings/printerSettings147.bin"/><Relationship Id="rId17" Type="http://schemas.openxmlformats.org/officeDocument/2006/relationships/printerSettings" Target="../printerSettings/printerSettings152.bin"/><Relationship Id="rId25" Type="http://schemas.openxmlformats.org/officeDocument/2006/relationships/printerSettings" Target="../printerSettings/printerSettings160.bin"/><Relationship Id="rId2" Type="http://schemas.openxmlformats.org/officeDocument/2006/relationships/printerSettings" Target="../printerSettings/printerSettings137.bin"/><Relationship Id="rId16" Type="http://schemas.openxmlformats.org/officeDocument/2006/relationships/printerSettings" Target="../printerSettings/printerSettings151.bin"/><Relationship Id="rId20" Type="http://schemas.openxmlformats.org/officeDocument/2006/relationships/printerSettings" Target="../printerSettings/printerSettings155.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11" Type="http://schemas.openxmlformats.org/officeDocument/2006/relationships/printerSettings" Target="../printerSettings/printerSettings146.bin"/><Relationship Id="rId24" Type="http://schemas.openxmlformats.org/officeDocument/2006/relationships/printerSettings" Target="../printerSettings/printerSettings159.bin"/><Relationship Id="rId5" Type="http://schemas.openxmlformats.org/officeDocument/2006/relationships/printerSettings" Target="../printerSettings/printerSettings140.bin"/><Relationship Id="rId15" Type="http://schemas.openxmlformats.org/officeDocument/2006/relationships/printerSettings" Target="../printerSettings/printerSettings150.bin"/><Relationship Id="rId23" Type="http://schemas.openxmlformats.org/officeDocument/2006/relationships/printerSettings" Target="../printerSettings/printerSettings158.bin"/><Relationship Id="rId10" Type="http://schemas.openxmlformats.org/officeDocument/2006/relationships/printerSettings" Target="../printerSettings/printerSettings145.bin"/><Relationship Id="rId19" Type="http://schemas.openxmlformats.org/officeDocument/2006/relationships/printerSettings" Target="../printerSettings/printerSettings154.bin"/><Relationship Id="rId4" Type="http://schemas.openxmlformats.org/officeDocument/2006/relationships/printerSettings" Target="../printerSettings/printerSettings139.bin"/><Relationship Id="rId9" Type="http://schemas.openxmlformats.org/officeDocument/2006/relationships/printerSettings" Target="../printerSettings/printerSettings144.bin"/><Relationship Id="rId14" Type="http://schemas.openxmlformats.org/officeDocument/2006/relationships/printerSettings" Target="../printerSettings/printerSettings149.bin"/><Relationship Id="rId22" Type="http://schemas.openxmlformats.org/officeDocument/2006/relationships/printerSettings" Target="../printerSettings/printerSettings157.bin"/><Relationship Id="rId27" Type="http://schemas.openxmlformats.org/officeDocument/2006/relationships/printerSettings" Target="../printerSettings/printerSettings16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5.bin"/><Relationship Id="rId2" Type="http://schemas.openxmlformats.org/officeDocument/2006/relationships/printerSettings" Target="../printerSettings/printerSettings164.bin"/><Relationship Id="rId1" Type="http://schemas.openxmlformats.org/officeDocument/2006/relationships/printerSettings" Target="../printerSettings/printerSettings16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6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F39" sqref="AF39"/>
    </sheetView>
  </sheetViews>
  <sheetFormatPr defaultRowHeight="15" x14ac:dyDescent="0.25"/>
  <cols>
    <col min="1" max="1" width="3" bestFit="1" customWidth="1"/>
    <col min="2" max="2" width="127" bestFit="1" customWidth="1"/>
  </cols>
  <sheetData>
    <row r="1" spans="1:2" x14ac:dyDescent="0.25">
      <c r="A1">
        <v>1</v>
      </c>
      <c r="B1" s="401" t="s">
        <v>466</v>
      </c>
    </row>
    <row r="2" spans="1:2" x14ac:dyDescent="0.25">
      <c r="A2">
        <v>2</v>
      </c>
      <c r="B2" s="401" t="s">
        <v>467</v>
      </c>
    </row>
    <row r="3" spans="1:2" x14ac:dyDescent="0.25">
      <c r="A3">
        <v>3</v>
      </c>
      <c r="B3" s="401" t="s">
        <v>468</v>
      </c>
    </row>
    <row r="4" spans="1:2" x14ac:dyDescent="0.25">
      <c r="A4">
        <v>4</v>
      </c>
      <c r="B4" s="401" t="s">
        <v>469</v>
      </c>
    </row>
    <row r="5" spans="1:2" x14ac:dyDescent="0.25">
      <c r="A5">
        <v>5</v>
      </c>
      <c r="B5" s="401" t="s">
        <v>474</v>
      </c>
    </row>
    <row r="6" spans="1:2" x14ac:dyDescent="0.25">
      <c r="A6">
        <v>6</v>
      </c>
      <c r="B6" s="401" t="s">
        <v>475</v>
      </c>
    </row>
    <row r="7" spans="1:2" x14ac:dyDescent="0.25">
      <c r="A7">
        <v>7</v>
      </c>
      <c r="B7" s="401" t="s">
        <v>470</v>
      </c>
    </row>
    <row r="8" spans="1:2" x14ac:dyDescent="0.25">
      <c r="A8">
        <v>8</v>
      </c>
      <c r="B8" s="401" t="s">
        <v>476</v>
      </c>
    </row>
    <row r="9" spans="1:2" x14ac:dyDescent="0.25">
      <c r="A9">
        <v>9</v>
      </c>
      <c r="B9" s="401" t="s">
        <v>477</v>
      </c>
    </row>
    <row r="10" spans="1:2" x14ac:dyDescent="0.25">
      <c r="A10">
        <v>10</v>
      </c>
      <c r="B10" s="401" t="s">
        <v>478</v>
      </c>
    </row>
    <row r="11" spans="1:2" x14ac:dyDescent="0.25">
      <c r="A11">
        <v>11</v>
      </c>
      <c r="B11" s="401" t="s">
        <v>471</v>
      </c>
    </row>
    <row r="12" spans="1:2" x14ac:dyDescent="0.25">
      <c r="A12">
        <v>12</v>
      </c>
      <c r="B12" s="401" t="s">
        <v>472</v>
      </c>
    </row>
    <row r="13" spans="1:2" x14ac:dyDescent="0.25">
      <c r="A13">
        <v>13</v>
      </c>
      <c r="B13" s="401" t="s">
        <v>479</v>
      </c>
    </row>
    <row r="14" spans="1:2" x14ac:dyDescent="0.25">
      <c r="A14">
        <v>14</v>
      </c>
      <c r="B14" s="401" t="s">
        <v>473</v>
      </c>
    </row>
    <row r="15" spans="1:2" x14ac:dyDescent="0.25">
      <c r="A15">
        <v>15</v>
      </c>
      <c r="B15" s="401" t="s">
        <v>382</v>
      </c>
    </row>
    <row r="16" spans="1:2" x14ac:dyDescent="0.25">
      <c r="A16">
        <v>16</v>
      </c>
      <c r="B16" s="401" t="s">
        <v>463</v>
      </c>
    </row>
    <row r="17" spans="1:2" x14ac:dyDescent="0.25">
      <c r="A17">
        <v>17</v>
      </c>
      <c r="B17" s="401" t="s">
        <v>464</v>
      </c>
    </row>
    <row r="18" spans="1:2" x14ac:dyDescent="0.25">
      <c r="A18">
        <v>18</v>
      </c>
      <c r="B18" s="401" t="s">
        <v>480</v>
      </c>
    </row>
    <row r="19" spans="1:2" x14ac:dyDescent="0.25">
      <c r="A19">
        <v>19</v>
      </c>
      <c r="B19" s="401" t="s">
        <v>465</v>
      </c>
    </row>
    <row r="22" spans="1:2" x14ac:dyDescent="0.25">
      <c r="B22" s="432">
        <v>45323</v>
      </c>
    </row>
    <row r="23" spans="1:2" x14ac:dyDescent="0.25">
      <c r="B23" s="432">
        <v>45352</v>
      </c>
    </row>
    <row r="24" spans="1:2" x14ac:dyDescent="0.25">
      <c r="B24" s="432">
        <v>45383</v>
      </c>
    </row>
    <row r="25" spans="1:2" x14ac:dyDescent="0.25">
      <c r="B25" s="432">
        <v>45413</v>
      </c>
    </row>
    <row r="26" spans="1:2" x14ac:dyDescent="0.25">
      <c r="B26" s="432">
        <v>45444</v>
      </c>
    </row>
    <row r="27" spans="1:2" x14ac:dyDescent="0.25">
      <c r="B27" s="432">
        <v>45474</v>
      </c>
    </row>
    <row r="28" spans="1:2" x14ac:dyDescent="0.25">
      <c r="B28" s="432">
        <v>45505</v>
      </c>
    </row>
    <row r="29" spans="1:2" x14ac:dyDescent="0.25">
      <c r="B29" s="432">
        <v>45536</v>
      </c>
    </row>
    <row r="30" spans="1:2" x14ac:dyDescent="0.25">
      <c r="B30" s="432">
        <v>45566</v>
      </c>
    </row>
    <row r="31" spans="1:2" x14ac:dyDescent="0.25">
      <c r="B31" s="432">
        <v>45597</v>
      </c>
    </row>
    <row r="32" spans="1:2" x14ac:dyDescent="0.25">
      <c r="B32" s="432">
        <v>45627</v>
      </c>
    </row>
    <row r="33" spans="2:2" x14ac:dyDescent="0.25">
      <c r="B33" s="432">
        <v>45658</v>
      </c>
    </row>
  </sheetData>
  <sheetProtection algorithmName="SHA-512" hashValue="72KGnMxgxAGuW8gL73M5Qld+X49ngb58bq08HtdAzjYM9UKo2kfUKaJRjznpc4A6TomquQMCqmeRLThvTbDR+Q==" saltValue="jcldxTp0BTw5pgIwNjjmWA==" spinCount="100000" sheet="1" objects="1" scenarios="1"/>
  <customSheetViews>
    <customSheetView guid="{533DC55B-6AD4-4674-9488-685EF2039F3E}" topLeftCell="A4">
      <selection activeCell="B19" sqref="B19"/>
      <pageMargins left="0.7" right="0.7" top="0.75" bottom="0.75" header="0.3" footer="0.3"/>
    </customSheetView>
    <customSheetView guid="{85F4575B-DBC5-482A-9916-255D8F0BC94E}" topLeftCell="A4">
      <selection activeCell="B19" sqref="B19"/>
      <pageMargins left="0.7" right="0.7" top="0.75" bottom="0.75" header="0.3" footer="0.3"/>
    </customSheetView>
    <customSheetView guid="{B1BF08D1-D416-4B47-ADD0-4F59132DC9E8}" topLeftCell="A4">
      <selection activeCell="B19" sqref="B19"/>
      <pageMargins left="0.7" right="0.7" top="0.75" bottom="0.75" header="0.3" footer="0.3"/>
    </customSheetView>
    <customSheetView guid="{4F41B9CC-959D-442C-80B0-1F0DB2C76D27}" topLeftCell="A4">
      <selection activeCell="B19" sqref="B19"/>
      <pageMargins left="0.7" right="0.7" top="0.75" bottom="0.75" header="0.3" footer="0.3"/>
    </customSheetView>
    <customSheetView guid="{602C8EDB-B9EF-4C85-B0D5-0558C3A0ABAB}">
      <selection activeCell="B13" sqref="B13"/>
      <pageMargins left="0.7" right="0.7" top="0.75" bottom="0.75" header="0.3" footer="0.3"/>
    </customSheetView>
    <customSheetView guid="{D01FA037-9AEC-4167-ADB8-2F327C01ECE6}" topLeftCell="A4">
      <selection activeCell="B19" sqref="B19"/>
      <pageMargins left="0.7" right="0.7" top="0.75" bottom="0.75" header="0.3" footer="0.3"/>
    </customSheetView>
    <customSheetView guid="{84867370-1F3E-4368-AF79-FBCE46FFFE92}" topLeftCell="A4">
      <selection activeCell="B19" sqref="B19"/>
      <pageMargins left="0.7" right="0.7" top="0.75" bottom="0.75" header="0.3" footer="0.3"/>
    </customSheetView>
    <customSheetView guid="{0C2B9C2A-7B94-41EF-A2E6-F8AC9A67DE25}" topLeftCell="A4">
      <selection activeCell="B19" sqref="B19"/>
      <pageMargins left="0.7" right="0.7" top="0.75" bottom="0.75" header="0.3" footer="0.3"/>
    </customSheetView>
    <customSheetView guid="{47B983AB-FE5F-4725-860C-A2F29420596D}" topLeftCell="A4">
      <selection activeCell="B19" sqref="B19"/>
      <pageMargins left="0.7" right="0.7" top="0.75" bottom="0.75" header="0.3" footer="0.3"/>
    </customSheetView>
    <customSheetView guid="{DAA8A688-7558-4B5B-8DBD-E2629BD9E9A8}" topLeftCell="A4">
      <selection activeCell="B19" sqref="B19"/>
      <pageMargins left="0.7" right="0.7" top="0.75" bottom="0.75" header="0.3" footer="0.3"/>
    </customSheetView>
    <customSheetView guid="{BCD82A82-B724-4763-8580-D765356E09BA}">
      <selection activeCell="G15" sqref="G15"/>
      <pageMargins left="0.7" right="0.7" top="0.75" bottom="0.75" header="0.3" footer="0.3"/>
    </customSheetView>
    <customSheetView guid="{C236B307-BD63-48C4-A75F-B3F3717BF55C}" topLeftCell="A4">
      <selection activeCell="B19" sqref="B19"/>
      <pageMargins left="0.7" right="0.7" top="0.75" bottom="0.75" header="0.3" footer="0.3"/>
    </customSheetView>
    <customSheetView guid="{87218168-6C8E-4D5B-A5E5-DCCC26803AA3}" topLeftCell="A4">
      <selection activeCell="B19" sqref="B19"/>
      <pageMargins left="0.7" right="0.7" top="0.75" bottom="0.75" header="0.3" footer="0.3"/>
    </customSheetView>
    <customSheetView guid="{874882D1-E741-4CCA-BF0D-E72FA60B771D}" topLeftCell="A4">
      <selection activeCell="B19" sqref="B19"/>
      <pageMargins left="0.7" right="0.7" top="0.75" bottom="0.75" header="0.3" footer="0.3"/>
    </customSheetView>
    <customSheetView guid="{B82BA08A-1A30-4F4D-A478-74A6BD09EA97}" topLeftCell="A4">
      <selection activeCell="B19" sqref="B19"/>
      <pageMargins left="0.7" right="0.7" top="0.75" bottom="0.75" header="0.3" footer="0.3"/>
    </customSheetView>
    <customSheetView guid="{4D0DFB57-2CBA-42F2-9A97-C453A6851FBA}" topLeftCell="A4">
      <selection activeCell="B19" sqref="B19"/>
      <pageMargins left="0.7" right="0.7" top="0.75" bottom="0.75" header="0.3" footer="0.3"/>
    </customSheetView>
    <customSheetView guid="{770624BF-07F3-44B6-94C3-4CC447CDD45C}" topLeftCell="A4">
      <selection activeCell="B19" sqref="B19"/>
      <pageMargins left="0.7" right="0.7" top="0.75" bottom="0.75" header="0.3" footer="0.3"/>
    </customSheetView>
    <customSheetView guid="{E508E171-4ED9-4B07-84DF-DA28C60E1969}" topLeftCell="A4">
      <selection activeCell="B19" sqref="B19"/>
      <pageMargins left="0.7" right="0.7" top="0.75" bottom="0.75" header="0.3" footer="0.3"/>
    </customSheetView>
    <customSheetView guid="{74870EE6-26B9-40F7-9DC9-260EF16D8959}">
      <selection activeCell="F20" sqref="F20"/>
      <pageMargins left="0.7" right="0.7" top="0.75" bottom="0.75" header="0.3" footer="0.3"/>
    </customSheetView>
    <customSheetView guid="{009B3074-D8EC-4952-BF50-43CD64449612}" topLeftCell="A4">
      <selection activeCell="B19" sqref="B19"/>
      <pageMargins left="0.7" right="0.7" top="0.75" bottom="0.75" header="0.3" footer="0.3"/>
    </customSheetView>
    <customSheetView guid="{F679EF4A-C5FD-4B86-B87B-D85968E0F2CA}" topLeftCell="A4">
      <selection activeCell="B19" sqref="B19"/>
      <pageMargins left="0.7" right="0.7" top="0.75" bottom="0.75" header="0.3" footer="0.3"/>
    </customSheetView>
    <customSheetView guid="{959E901C-5DDE-42EE-AE94-AB8976B5E00B}" topLeftCell="A4">
      <selection activeCell="B19" sqref="B19"/>
      <pageMargins left="0.7" right="0.7" top="0.75" bottom="0.75" header="0.3" footer="0.3"/>
    </customSheetView>
    <customSheetView guid="{69DABE6F-6182-4403-A4A2-969F10F1C13A}" topLeftCell="A4">
      <selection activeCell="B19" sqref="B19"/>
      <pageMargins left="0.7" right="0.7" top="0.75" bottom="0.75" header="0.3" footer="0.3"/>
    </customSheetView>
    <customSheetView guid="{09C3E205-981E-4A4E-BE89-8B7044192060}" topLeftCell="A4">
      <selection activeCell="B19" sqref="B19"/>
      <pageMargins left="0.7" right="0.7" top="0.75" bottom="0.75" header="0.3" footer="0.3"/>
    </customSheetView>
    <customSheetView guid="{6A602CB8-B24C-4ED4-B378-B27354BE0A1A}" topLeftCell="A4">
      <selection activeCell="B19" sqref="B19"/>
      <pageMargins left="0.7" right="0.7" top="0.75" bottom="0.75" header="0.3" footer="0.3"/>
    </customSheetView>
    <customSheetView guid="{7C130984-112A-4861-AA43-E2940708E3DC}" state="hidden">
      <selection activeCell="AF39" sqref="AF39"/>
      <pageMargins left="0.7" right="0.7" top="0.75" bottom="0.75" header="0.3" footer="0.3"/>
    </customSheetView>
  </customSheetViews>
  <hyperlinks>
    <hyperlink ref="B1" location="'1.СЗН'!A1" display=" &quot;Содействие занятости населения города Когалыма&quot;"/>
    <hyperlink ref="B2" location="'2.АПК'!A1" display=" &quot;Развитие агропромышленного комплекса в городе Когалыме&quot;"/>
    <hyperlink ref="B3" location="'3.БЖД'!A1" display=" &quot;Безопасность жизнедеятельности населения города Когалыма&quot;"/>
    <hyperlink ref="B4" location="'4.УМИ'!A1" display=" &quot;Управление муниципальным имуществом города Когалыма&quot;"/>
    <hyperlink ref="B5" location="'5.Проф. прав.'!A1" display="Профилактика правонарушений и обеспечение отдельных прав граждан в городе Когалыме"/>
    <hyperlink ref="B6" location="'6.Экстримизм'!A1" display="Укрепление межнационального и межконфессионального согласия, профилактика экстремизма и терроризма в городе Когалыме"/>
    <hyperlink ref="B7" location="'7.МП КП'!A1" display=" &quot;Культурное пространство города Когалыма&quot;"/>
    <hyperlink ref="B8" location="'8.МП РМС'!A1" display="Развитие муниципальной службы  в городе Когалыме"/>
    <hyperlink ref="B9" location="'9.МП РИГО'!A1" display="Развитие институтов гражданского общества города Когалыма"/>
    <hyperlink ref="B10" location="'10.МП РФКиС'!A1" display="Развитие физической культуры и спорта в городе Когалыме"/>
    <hyperlink ref="B11" location="'11.МП РО'!A1" display=" &quot;Развитие образования в городе Когалыме&quot;"/>
    <hyperlink ref="B12" location="'12.МП УМФ'!A1" display=" &quot;Управление муниципальными финансами в городе Когалыме&quot;"/>
    <hyperlink ref="B13" location="'13.МП РЖС'!A1" display="Развитие жилищной сферы в городе Когалыме"/>
    <hyperlink ref="B14" location="'14.МП СЭР'!A1" display=" &quot;Социально - экономическое развитие и инвестиции муниципального образования город Когалым&quot; "/>
    <hyperlink ref="B15" location="'15.МП ЭБ'!A1" display="«Экологическая безопасность города Когалыма» "/>
    <hyperlink ref="B16" location="'16.МП РЖКК'!A1" display="«Развитие жилищно-коммунального комплекса в городе Когалыме» "/>
    <hyperlink ref="B17" location="'17.МП РТС'!A1" display="«Развитие транспортной системы города Когалыма» "/>
    <hyperlink ref="B18" location="'18.МП ФКГС'!A1" display="Формирование комфортной городской среды в городе Когалыме "/>
    <hyperlink ref="B19" location="'19.МП СОГХ'!A1" display="«Содержание объектов городского хозяйства и инженерной инфраструктуры в городе Когалыме»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zoomScale="70" zoomScaleNormal="70" zoomScaleSheetLayoutView="70" workbookViewId="0">
      <pane xSplit="2" ySplit="10" topLeftCell="C38" activePane="bottomRight" state="frozen"/>
      <selection activeCell="F284" sqref="F284:G284"/>
      <selection pane="topRight" activeCell="F284" sqref="F284:G284"/>
      <selection pane="bottomLeft" activeCell="F284" sqref="F284:G284"/>
      <selection pane="bottomRight" activeCell="A49" sqref="A49"/>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0"/>
    <col min="34" max="16384" width="9.140625" style="10"/>
  </cols>
  <sheetData>
    <row r="1" spans="1:33" ht="18.75" customHeight="1" x14ac:dyDescent="0.3">
      <c r="A1" s="923"/>
      <c r="B1" s="923"/>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158"/>
      <c r="AF1" s="159"/>
    </row>
    <row r="2" spans="1:33" ht="18.75" customHeight="1" x14ac:dyDescent="0.3">
      <c r="A2" s="923"/>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158"/>
      <c r="AF2" s="159"/>
    </row>
    <row r="3" spans="1:33" ht="18.75" customHeight="1" x14ac:dyDescent="0.3">
      <c r="A3" s="923"/>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158"/>
      <c r="AF3" s="159"/>
    </row>
    <row r="4" spans="1:33" s="164" customFormat="1" ht="18.75" customHeight="1" x14ac:dyDescent="0.25">
      <c r="A4" s="924" t="s">
        <v>462</v>
      </c>
      <c r="B4" s="924"/>
      <c r="C4" s="924"/>
      <c r="D4" s="924"/>
      <c r="E4" s="924"/>
      <c r="F4" s="924"/>
      <c r="G4" s="924"/>
      <c r="H4" s="924"/>
      <c r="I4" s="924"/>
      <c r="J4" s="924"/>
      <c r="K4" s="924"/>
      <c r="L4" s="924"/>
      <c r="M4" s="924"/>
      <c r="N4" s="924"/>
      <c r="O4" s="924"/>
      <c r="P4" s="924"/>
      <c r="Q4" s="924"/>
      <c r="R4" s="924"/>
      <c r="S4" s="924"/>
      <c r="T4" s="924"/>
      <c r="U4" s="924"/>
      <c r="V4" s="924"/>
      <c r="W4" s="924"/>
      <c r="X4" s="924"/>
      <c r="Y4" s="924"/>
      <c r="Z4" s="924"/>
      <c r="AA4" s="924"/>
      <c r="AB4" s="924"/>
      <c r="AC4" s="924"/>
      <c r="AD4" s="924"/>
      <c r="AE4" s="161"/>
      <c r="AF4" s="162"/>
      <c r="AG4" s="163"/>
    </row>
    <row r="5" spans="1:33" ht="18.75" customHeight="1" x14ac:dyDescent="0.3">
      <c r="A5" s="165"/>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925"/>
      <c r="AC5" s="925"/>
      <c r="AD5" s="925"/>
      <c r="AE5" s="166"/>
      <c r="AF5" s="167"/>
    </row>
    <row r="6" spans="1:33" ht="37.5" customHeight="1" x14ac:dyDescent="0.3">
      <c r="A6" s="912" t="s">
        <v>163</v>
      </c>
      <c r="B6" s="95" t="s">
        <v>3</v>
      </c>
      <c r="C6" s="95" t="s">
        <v>3</v>
      </c>
      <c r="D6" s="95" t="s">
        <v>4</v>
      </c>
      <c r="E6" s="95" t="s">
        <v>5</v>
      </c>
      <c r="F6" s="913" t="s">
        <v>6</v>
      </c>
      <c r="G6" s="914"/>
      <c r="H6" s="913" t="s">
        <v>7</v>
      </c>
      <c r="I6" s="915"/>
      <c r="J6" s="913" t="s">
        <v>8</v>
      </c>
      <c r="K6" s="915"/>
      <c r="L6" s="913" t="s">
        <v>9</v>
      </c>
      <c r="M6" s="915"/>
      <c r="N6" s="913" t="s">
        <v>10</v>
      </c>
      <c r="O6" s="915"/>
      <c r="P6" s="913" t="s">
        <v>11</v>
      </c>
      <c r="Q6" s="915"/>
      <c r="R6" s="913" t="s">
        <v>12</v>
      </c>
      <c r="S6" s="915"/>
      <c r="T6" s="913" t="s">
        <v>13</v>
      </c>
      <c r="U6" s="915"/>
      <c r="V6" s="913" t="s">
        <v>14</v>
      </c>
      <c r="W6" s="915"/>
      <c r="X6" s="913" t="s">
        <v>15</v>
      </c>
      <c r="Y6" s="915"/>
      <c r="Z6" s="913" t="s">
        <v>16</v>
      </c>
      <c r="AA6" s="915"/>
      <c r="AB6" s="913" t="s">
        <v>17</v>
      </c>
      <c r="AC6" s="915"/>
      <c r="AD6" s="916" t="s">
        <v>18</v>
      </c>
      <c r="AE6" s="916"/>
      <c r="AF6" s="902" t="s">
        <v>19</v>
      </c>
    </row>
    <row r="7" spans="1:33" ht="37.5" x14ac:dyDescent="0.3">
      <c r="A7" s="912"/>
      <c r="B7" s="3">
        <v>2024</v>
      </c>
      <c r="C7" s="4">
        <v>45352</v>
      </c>
      <c r="D7" s="4">
        <v>45352</v>
      </c>
      <c r="E7" s="4">
        <v>45352</v>
      </c>
      <c r="F7" s="5" t="s">
        <v>20</v>
      </c>
      <c r="G7" s="5" t="s">
        <v>21</v>
      </c>
      <c r="H7" s="5" t="s">
        <v>22</v>
      </c>
      <c r="I7" s="96" t="s">
        <v>164</v>
      </c>
      <c r="J7" s="5" t="s">
        <v>22</v>
      </c>
      <c r="K7" s="96" t="s">
        <v>164</v>
      </c>
      <c r="L7" s="5" t="s">
        <v>22</v>
      </c>
      <c r="M7" s="96" t="s">
        <v>164</v>
      </c>
      <c r="N7" s="5" t="s">
        <v>22</v>
      </c>
      <c r="O7" s="96" t="s">
        <v>164</v>
      </c>
      <c r="P7" s="5" t="s">
        <v>22</v>
      </c>
      <c r="Q7" s="96" t="s">
        <v>164</v>
      </c>
      <c r="R7" s="5" t="s">
        <v>22</v>
      </c>
      <c r="S7" s="96" t="s">
        <v>164</v>
      </c>
      <c r="T7" s="5" t="s">
        <v>22</v>
      </c>
      <c r="U7" s="96" t="s">
        <v>164</v>
      </c>
      <c r="V7" s="5" t="s">
        <v>22</v>
      </c>
      <c r="W7" s="96" t="s">
        <v>164</v>
      </c>
      <c r="X7" s="5" t="s">
        <v>22</v>
      </c>
      <c r="Y7" s="96" t="s">
        <v>164</v>
      </c>
      <c r="Z7" s="5" t="s">
        <v>22</v>
      </c>
      <c r="AA7" s="96" t="s">
        <v>164</v>
      </c>
      <c r="AB7" s="5" t="s">
        <v>22</v>
      </c>
      <c r="AC7" s="96" t="s">
        <v>164</v>
      </c>
      <c r="AD7" s="5" t="s">
        <v>22</v>
      </c>
      <c r="AE7" s="96" t="s">
        <v>164</v>
      </c>
      <c r="AF7" s="903"/>
    </row>
    <row r="8" spans="1:33" x14ac:dyDescent="0.3">
      <c r="A8" s="168">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69" customFormat="1" x14ac:dyDescent="0.3">
      <c r="A9" s="920" t="s">
        <v>220</v>
      </c>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2"/>
    </row>
    <row r="10" spans="1:33" s="169" customFormat="1" x14ac:dyDescent="0.3">
      <c r="A10" s="920" t="s">
        <v>54</v>
      </c>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2"/>
    </row>
    <row r="11" spans="1:33" ht="93.75" x14ac:dyDescent="0.3">
      <c r="A11" s="170" t="s">
        <v>598</v>
      </c>
      <c r="B11" s="171">
        <f t="shared" ref="B11:J11" si="0">B12</f>
        <v>362.5</v>
      </c>
      <c r="C11" s="172">
        <f t="shared" si="0"/>
        <v>0</v>
      </c>
      <c r="D11" s="172">
        <f>D12</f>
        <v>0</v>
      </c>
      <c r="E11" s="171">
        <f t="shared" si="0"/>
        <v>0</v>
      </c>
      <c r="F11" s="173">
        <f t="shared" si="0"/>
        <v>0</v>
      </c>
      <c r="G11" s="173">
        <f t="shared" si="0"/>
        <v>0</v>
      </c>
      <c r="H11" s="171">
        <f>H12</f>
        <v>0</v>
      </c>
      <c r="I11" s="171">
        <f>I12</f>
        <v>0</v>
      </c>
      <c r="J11" s="171">
        <f t="shared" si="0"/>
        <v>0</v>
      </c>
      <c r="K11" s="173">
        <f>K12</f>
        <v>0</v>
      </c>
      <c r="L11" s="171">
        <f>L12</f>
        <v>140</v>
      </c>
      <c r="M11" s="173"/>
      <c r="N11" s="171">
        <f>N12</f>
        <v>0</v>
      </c>
      <c r="O11" s="173"/>
      <c r="P11" s="171">
        <f>P12</f>
        <v>0</v>
      </c>
      <c r="Q11" s="173"/>
      <c r="R11" s="171">
        <f>R12</f>
        <v>0</v>
      </c>
      <c r="S11" s="173"/>
      <c r="T11" s="171">
        <f>T12</f>
        <v>0</v>
      </c>
      <c r="U11" s="173"/>
      <c r="V11" s="171">
        <f>V12</f>
        <v>0</v>
      </c>
      <c r="W11" s="173"/>
      <c r="X11" s="171">
        <f>X12</f>
        <v>0</v>
      </c>
      <c r="Y11" s="173"/>
      <c r="Z11" s="171">
        <f>Z12</f>
        <v>0</v>
      </c>
      <c r="AA11" s="173"/>
      <c r="AB11" s="171">
        <f>AB12</f>
        <v>222.5</v>
      </c>
      <c r="AC11" s="173"/>
      <c r="AD11" s="171">
        <f>AD12</f>
        <v>0</v>
      </c>
      <c r="AE11" s="174"/>
      <c r="AF11" s="175"/>
      <c r="AG11" s="176">
        <f>AD11+AB11+Z11+X11+V11+T11+R11+P11+N11+L11+J11+H11-B11</f>
        <v>0</v>
      </c>
    </row>
    <row r="12" spans="1:33" s="178" customFormat="1" x14ac:dyDescent="0.3">
      <c r="A12" s="177" t="s">
        <v>31</v>
      </c>
      <c r="B12" s="171">
        <f>B13+B14+B15+B16</f>
        <v>362.5</v>
      </c>
      <c r="C12" s="171">
        <f>C13+C14+C15+C16</f>
        <v>0</v>
      </c>
      <c r="D12" s="171">
        <f>D13+D14+D15+D16</f>
        <v>0</v>
      </c>
      <c r="E12" s="171">
        <f t="shared" ref="E12:J12" si="1">E13+E14+E15+E16</f>
        <v>0</v>
      </c>
      <c r="F12" s="171">
        <f t="shared" si="1"/>
        <v>0</v>
      </c>
      <c r="G12" s="171">
        <f t="shared" si="1"/>
        <v>0</v>
      </c>
      <c r="H12" s="171">
        <f>H13+H14+H15+H16</f>
        <v>0</v>
      </c>
      <c r="I12" s="171">
        <f t="shared" si="1"/>
        <v>0</v>
      </c>
      <c r="J12" s="171">
        <f t="shared" si="1"/>
        <v>0</v>
      </c>
      <c r="K12" s="171">
        <f>K13+K14+K15+K16</f>
        <v>0</v>
      </c>
      <c r="L12" s="171">
        <f>L13+L14+L15+L16</f>
        <v>140</v>
      </c>
      <c r="M12" s="171"/>
      <c r="N12" s="171">
        <f>N13+N14+N15+N16</f>
        <v>0</v>
      </c>
      <c r="O12" s="171"/>
      <c r="P12" s="171">
        <f>P13+P14+P15+P16</f>
        <v>0</v>
      </c>
      <c r="Q12" s="171"/>
      <c r="R12" s="171">
        <f>R13+R14+R15+R16</f>
        <v>0</v>
      </c>
      <c r="S12" s="171"/>
      <c r="T12" s="171">
        <f>T13+T14+T15+T16</f>
        <v>0</v>
      </c>
      <c r="U12" s="171"/>
      <c r="V12" s="171">
        <f>V13+V14+V15+V16</f>
        <v>0</v>
      </c>
      <c r="W12" s="171"/>
      <c r="X12" s="171">
        <f>X13+X14+X15+X16</f>
        <v>0</v>
      </c>
      <c r="Y12" s="171"/>
      <c r="Z12" s="171">
        <f>Z13+Z14+Z15+Z16</f>
        <v>0</v>
      </c>
      <c r="AA12" s="171"/>
      <c r="AB12" s="171">
        <f>AB13+AB14+AB15+AB16</f>
        <v>222.5</v>
      </c>
      <c r="AC12" s="171"/>
      <c r="AD12" s="171">
        <f>AD13+AD14+AD15+AD16</f>
        <v>0</v>
      </c>
      <c r="AE12" s="171"/>
      <c r="AF12" s="175"/>
      <c r="AG12" s="176">
        <f t="shared" ref="AG12:AG75" si="2">AD12+AB12+Z12+X12+V12+T12+R12+P12+N12+L12+J12+H12-B12</f>
        <v>0</v>
      </c>
    </row>
    <row r="13" spans="1:33" x14ac:dyDescent="0.3">
      <c r="A13" s="179" t="s">
        <v>169</v>
      </c>
      <c r="B13" s="180">
        <f>H13+J13+L13+N13+P13+R13+T13+V13+X13+Z13+AB13+AD13</f>
        <v>0</v>
      </c>
      <c r="C13" s="181">
        <f>H13+J13</f>
        <v>0</v>
      </c>
      <c r="D13" s="181">
        <f>I13</f>
        <v>0</v>
      </c>
      <c r="E13" s="180">
        <v>0</v>
      </c>
      <c r="F13" s="182">
        <v>0</v>
      </c>
      <c r="G13" s="180">
        <v>0</v>
      </c>
      <c r="H13" s="180">
        <v>0</v>
      </c>
      <c r="I13" s="180">
        <v>0</v>
      </c>
      <c r="J13" s="180">
        <v>0</v>
      </c>
      <c r="K13" s="180">
        <v>0</v>
      </c>
      <c r="L13" s="180"/>
      <c r="M13" s="180"/>
      <c r="N13" s="180"/>
      <c r="O13" s="180"/>
      <c r="P13" s="180"/>
      <c r="Q13" s="180"/>
      <c r="R13" s="180"/>
      <c r="S13" s="180"/>
      <c r="T13" s="180"/>
      <c r="U13" s="180"/>
      <c r="V13" s="180"/>
      <c r="W13" s="180"/>
      <c r="X13" s="180"/>
      <c r="Y13" s="180"/>
      <c r="Z13" s="180"/>
      <c r="AA13" s="180"/>
      <c r="AB13" s="180"/>
      <c r="AC13" s="180"/>
      <c r="AD13" s="180"/>
      <c r="AE13" s="180"/>
      <c r="AF13" s="183"/>
      <c r="AG13" s="176">
        <f t="shared" si="2"/>
        <v>0</v>
      </c>
    </row>
    <row r="14" spans="1:33" x14ac:dyDescent="0.3">
      <c r="A14" s="179" t="s">
        <v>32</v>
      </c>
      <c r="B14" s="180">
        <f>H14+J14+L14+N14+P14+R14+T14+V14+X14+Z14+AB14+AD14</f>
        <v>0</v>
      </c>
      <c r="C14" s="181">
        <f>H14+J14</f>
        <v>0</v>
      </c>
      <c r="D14" s="181">
        <f>I14</f>
        <v>0</v>
      </c>
      <c r="E14" s="180">
        <v>0</v>
      </c>
      <c r="F14" s="182">
        <v>0</v>
      </c>
      <c r="G14" s="180">
        <v>0</v>
      </c>
      <c r="H14" s="180">
        <v>0</v>
      </c>
      <c r="I14" s="180">
        <v>0</v>
      </c>
      <c r="J14" s="180">
        <v>0</v>
      </c>
      <c r="K14" s="180">
        <v>0</v>
      </c>
      <c r="L14" s="180"/>
      <c r="M14" s="180"/>
      <c r="N14" s="180"/>
      <c r="O14" s="180"/>
      <c r="P14" s="180"/>
      <c r="Q14" s="180"/>
      <c r="R14" s="180"/>
      <c r="S14" s="180"/>
      <c r="T14" s="180"/>
      <c r="U14" s="180"/>
      <c r="V14" s="180"/>
      <c r="W14" s="180"/>
      <c r="X14" s="180"/>
      <c r="Y14" s="180"/>
      <c r="Z14" s="180"/>
      <c r="AA14" s="180"/>
      <c r="AB14" s="180"/>
      <c r="AC14" s="180"/>
      <c r="AD14" s="180"/>
      <c r="AE14" s="180"/>
      <c r="AF14" s="183"/>
      <c r="AG14" s="176">
        <f t="shared" si="2"/>
        <v>0</v>
      </c>
    </row>
    <row r="15" spans="1:33" x14ac:dyDescent="0.3">
      <c r="A15" s="179" t="s">
        <v>33</v>
      </c>
      <c r="B15" s="180">
        <f>H15+J15+L15+N15+P15+R15+T15+V15+X15+Z15+AB15+AD15</f>
        <v>362.5</v>
      </c>
      <c r="C15" s="181">
        <f>H15+J15</f>
        <v>0</v>
      </c>
      <c r="D15" s="181">
        <f>I15</f>
        <v>0</v>
      </c>
      <c r="E15" s="182">
        <f>I15</f>
        <v>0</v>
      </c>
      <c r="F15" s="182">
        <v>0</v>
      </c>
      <c r="G15" s="182">
        <v>0</v>
      </c>
      <c r="H15" s="182">
        <v>0</v>
      </c>
      <c r="I15" s="182">
        <v>0</v>
      </c>
      <c r="J15" s="182">
        <v>0</v>
      </c>
      <c r="K15" s="182">
        <v>0</v>
      </c>
      <c r="L15" s="182">
        <v>140</v>
      </c>
      <c r="M15" s="182"/>
      <c r="N15" s="182"/>
      <c r="O15" s="182"/>
      <c r="P15" s="182"/>
      <c r="Q15" s="182"/>
      <c r="R15" s="182"/>
      <c r="S15" s="182"/>
      <c r="T15" s="182"/>
      <c r="U15" s="182"/>
      <c r="V15" s="182"/>
      <c r="W15" s="182"/>
      <c r="X15" s="184"/>
      <c r="Y15" s="182"/>
      <c r="Z15" s="182"/>
      <c r="AA15" s="182"/>
      <c r="AB15" s="182">
        <v>222.5</v>
      </c>
      <c r="AC15" s="182"/>
      <c r="AD15" s="184"/>
      <c r="AE15" s="184"/>
      <c r="AF15" s="183"/>
      <c r="AG15" s="176">
        <f t="shared" si="2"/>
        <v>0</v>
      </c>
    </row>
    <row r="16" spans="1:33" x14ac:dyDescent="0.3">
      <c r="A16" s="179" t="s">
        <v>221</v>
      </c>
      <c r="B16" s="180">
        <f>H16+J16+L16+N16+P16+R16+T16+V16+X16+Z16+AB16+AD16</f>
        <v>0</v>
      </c>
      <c r="C16" s="181">
        <f>H16+J16</f>
        <v>0</v>
      </c>
      <c r="D16" s="181">
        <f>I16</f>
        <v>0</v>
      </c>
      <c r="E16" s="180">
        <v>0</v>
      </c>
      <c r="F16" s="182">
        <v>0</v>
      </c>
      <c r="G16" s="180">
        <v>0</v>
      </c>
      <c r="H16" s="180">
        <v>0</v>
      </c>
      <c r="I16" s="180">
        <v>0</v>
      </c>
      <c r="J16" s="180">
        <v>0</v>
      </c>
      <c r="K16" s="180">
        <v>0</v>
      </c>
      <c r="L16" s="180"/>
      <c r="M16" s="180"/>
      <c r="N16" s="180"/>
      <c r="O16" s="180"/>
      <c r="P16" s="180"/>
      <c r="Q16" s="180"/>
      <c r="R16" s="180"/>
      <c r="S16" s="180"/>
      <c r="T16" s="180"/>
      <c r="U16" s="180"/>
      <c r="V16" s="180"/>
      <c r="W16" s="180"/>
      <c r="X16" s="180"/>
      <c r="Y16" s="180"/>
      <c r="Z16" s="180"/>
      <c r="AA16" s="180"/>
      <c r="AB16" s="180"/>
      <c r="AC16" s="180"/>
      <c r="AD16" s="180"/>
      <c r="AE16" s="180"/>
      <c r="AF16" s="183"/>
      <c r="AG16" s="176">
        <f t="shared" si="2"/>
        <v>0</v>
      </c>
    </row>
    <row r="17" spans="1:33" s="178" customFormat="1" ht="23.25" customHeight="1" x14ac:dyDescent="0.3">
      <c r="A17" s="917" t="s">
        <v>222</v>
      </c>
      <c r="B17" s="918"/>
      <c r="C17" s="918"/>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9"/>
      <c r="AG17" s="176">
        <f t="shared" si="2"/>
        <v>0</v>
      </c>
    </row>
    <row r="18" spans="1:33" s="169" customFormat="1" x14ac:dyDescent="0.3">
      <c r="A18" s="920" t="s">
        <v>54</v>
      </c>
      <c r="B18" s="921"/>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2"/>
      <c r="AG18" s="176">
        <f t="shared" si="2"/>
        <v>0</v>
      </c>
    </row>
    <row r="19" spans="1:33" ht="75" x14ac:dyDescent="0.3">
      <c r="A19" s="185" t="s">
        <v>223</v>
      </c>
      <c r="B19" s="171">
        <f t="shared" ref="B19:H19" si="3">B20</f>
        <v>0</v>
      </c>
      <c r="C19" s="172">
        <f t="shared" si="3"/>
        <v>0</v>
      </c>
      <c r="D19" s="172">
        <f t="shared" si="3"/>
        <v>0</v>
      </c>
      <c r="E19" s="173">
        <f>E20</f>
        <v>0</v>
      </c>
      <c r="F19" s="172">
        <f t="shared" si="3"/>
        <v>0</v>
      </c>
      <c r="G19" s="172">
        <f t="shared" si="3"/>
        <v>0</v>
      </c>
      <c r="H19" s="171">
        <f t="shared" si="3"/>
        <v>0</v>
      </c>
      <c r="I19" s="173">
        <f>I20</f>
        <v>0</v>
      </c>
      <c r="J19" s="171">
        <f>J20</f>
        <v>0</v>
      </c>
      <c r="K19" s="173">
        <f>K20</f>
        <v>0</v>
      </c>
      <c r="L19" s="171">
        <f>L20</f>
        <v>0</v>
      </c>
      <c r="M19" s="173"/>
      <c r="N19" s="171">
        <f>N20</f>
        <v>0</v>
      </c>
      <c r="O19" s="173"/>
      <c r="P19" s="171">
        <f>P20</f>
        <v>0</v>
      </c>
      <c r="Q19" s="173"/>
      <c r="R19" s="171">
        <f>R20</f>
        <v>0</v>
      </c>
      <c r="S19" s="173"/>
      <c r="T19" s="171">
        <f>T20</f>
        <v>0</v>
      </c>
      <c r="U19" s="173"/>
      <c r="V19" s="171">
        <f>V20</f>
        <v>0</v>
      </c>
      <c r="W19" s="173"/>
      <c r="X19" s="171">
        <f>X20</f>
        <v>0</v>
      </c>
      <c r="Y19" s="173"/>
      <c r="Z19" s="171">
        <f>Z20</f>
        <v>0</v>
      </c>
      <c r="AA19" s="173"/>
      <c r="AB19" s="171">
        <f>AB20</f>
        <v>0</v>
      </c>
      <c r="AC19" s="173"/>
      <c r="AD19" s="171">
        <f>AD20</f>
        <v>0</v>
      </c>
      <c r="AE19" s="174"/>
      <c r="AF19" s="175"/>
      <c r="AG19" s="176">
        <f t="shared" si="2"/>
        <v>0</v>
      </c>
    </row>
    <row r="20" spans="1:33" s="178" customFormat="1" x14ac:dyDescent="0.3">
      <c r="A20" s="177" t="s">
        <v>31</v>
      </c>
      <c r="B20" s="171">
        <f>B21+B22+B23+B24</f>
        <v>0</v>
      </c>
      <c r="C20" s="171">
        <f>C21+C22+C23+C24</f>
        <v>0</v>
      </c>
      <c r="D20" s="171">
        <f t="shared" ref="D20:J20" si="4">D21+D22+D23+D24</f>
        <v>0</v>
      </c>
      <c r="E20" s="171">
        <f>E21+E22+E23+E24</f>
        <v>0</v>
      </c>
      <c r="F20" s="171">
        <f t="shared" si="4"/>
        <v>0</v>
      </c>
      <c r="G20" s="171">
        <f t="shared" si="4"/>
        <v>0</v>
      </c>
      <c r="H20" s="171">
        <f t="shared" si="4"/>
        <v>0</v>
      </c>
      <c r="I20" s="171">
        <f t="shared" si="4"/>
        <v>0</v>
      </c>
      <c r="J20" s="171">
        <f t="shared" si="4"/>
        <v>0</v>
      </c>
      <c r="K20" s="171">
        <f>K21+K22+K23+K24</f>
        <v>0</v>
      </c>
      <c r="L20" s="171">
        <f>L21+L22+L23+L24</f>
        <v>0</v>
      </c>
      <c r="M20" s="171"/>
      <c r="N20" s="171">
        <f>N21+N22+N23+N24</f>
        <v>0</v>
      </c>
      <c r="O20" s="171"/>
      <c r="P20" s="171">
        <f>P21+P22+P23+P24</f>
        <v>0</v>
      </c>
      <c r="Q20" s="171"/>
      <c r="R20" s="171">
        <f>R21+R22+R23+R24</f>
        <v>0</v>
      </c>
      <c r="S20" s="171"/>
      <c r="T20" s="171">
        <f>T21+T22+T23+T24</f>
        <v>0</v>
      </c>
      <c r="U20" s="171"/>
      <c r="V20" s="171">
        <f>V21+V22+V23+V24</f>
        <v>0</v>
      </c>
      <c r="W20" s="171"/>
      <c r="X20" s="171">
        <f>X21+X22+X23+X24</f>
        <v>0</v>
      </c>
      <c r="Y20" s="171"/>
      <c r="Z20" s="171">
        <f>Z21+Z22+Z23+Z24</f>
        <v>0</v>
      </c>
      <c r="AA20" s="171"/>
      <c r="AB20" s="171">
        <f>AB21+AB22+AB23+AB24</f>
        <v>0</v>
      </c>
      <c r="AC20" s="171"/>
      <c r="AD20" s="171">
        <f>AD21+AD22+AD23+AD24</f>
        <v>0</v>
      </c>
      <c r="AE20" s="171"/>
      <c r="AF20" s="175"/>
      <c r="AG20" s="176">
        <f t="shared" si="2"/>
        <v>0</v>
      </c>
    </row>
    <row r="21" spans="1:33" x14ac:dyDescent="0.3">
      <c r="A21" s="179" t="s">
        <v>169</v>
      </c>
      <c r="B21" s="180">
        <f>H21+J21+L21+N21+P21+R21+T21+V21+X21+Z21+AB21+AD21</f>
        <v>0</v>
      </c>
      <c r="C21" s="181">
        <f>H21+J21</f>
        <v>0</v>
      </c>
      <c r="D21" s="180">
        <f>I21</f>
        <v>0</v>
      </c>
      <c r="E21" s="180">
        <v>0</v>
      </c>
      <c r="F21" s="180">
        <v>0</v>
      </c>
      <c r="G21" s="180">
        <v>0</v>
      </c>
      <c r="H21" s="180">
        <v>0</v>
      </c>
      <c r="I21" s="180">
        <v>0</v>
      </c>
      <c r="J21" s="180">
        <v>0</v>
      </c>
      <c r="K21" s="180">
        <v>0</v>
      </c>
      <c r="L21" s="180"/>
      <c r="M21" s="180"/>
      <c r="N21" s="180"/>
      <c r="O21" s="180"/>
      <c r="P21" s="180"/>
      <c r="Q21" s="180"/>
      <c r="R21" s="180"/>
      <c r="S21" s="180"/>
      <c r="T21" s="180"/>
      <c r="U21" s="180"/>
      <c r="V21" s="180"/>
      <c r="W21" s="180"/>
      <c r="X21" s="180"/>
      <c r="Y21" s="180"/>
      <c r="Z21" s="180"/>
      <c r="AA21" s="180"/>
      <c r="AB21" s="180"/>
      <c r="AC21" s="180"/>
      <c r="AD21" s="180"/>
      <c r="AE21" s="180"/>
      <c r="AF21" s="183"/>
      <c r="AG21" s="176">
        <f t="shared" si="2"/>
        <v>0</v>
      </c>
    </row>
    <row r="22" spans="1:33" x14ac:dyDescent="0.3">
      <c r="A22" s="179" t="s">
        <v>32</v>
      </c>
      <c r="B22" s="180">
        <f>H22+J22+L22+N22+P22+R22+T22+V22+X22+Z22+AB22+AD22</f>
        <v>0</v>
      </c>
      <c r="C22" s="181">
        <f>H22+J22</f>
        <v>0</v>
      </c>
      <c r="D22" s="180">
        <f>I22</f>
        <v>0</v>
      </c>
      <c r="E22" s="180">
        <v>0</v>
      </c>
      <c r="F22" s="180">
        <v>0</v>
      </c>
      <c r="G22" s="180">
        <v>0</v>
      </c>
      <c r="H22" s="180">
        <v>0</v>
      </c>
      <c r="I22" s="180">
        <v>0</v>
      </c>
      <c r="J22" s="180">
        <v>0</v>
      </c>
      <c r="K22" s="180">
        <v>0</v>
      </c>
      <c r="L22" s="180"/>
      <c r="M22" s="180"/>
      <c r="N22" s="180"/>
      <c r="O22" s="180"/>
      <c r="P22" s="180"/>
      <c r="Q22" s="180"/>
      <c r="R22" s="180"/>
      <c r="S22" s="180"/>
      <c r="T22" s="180"/>
      <c r="U22" s="180"/>
      <c r="V22" s="180"/>
      <c r="W22" s="180"/>
      <c r="X22" s="180"/>
      <c r="Y22" s="180"/>
      <c r="Z22" s="180"/>
      <c r="AA22" s="180"/>
      <c r="AB22" s="180"/>
      <c r="AC22" s="180"/>
      <c r="AD22" s="180"/>
      <c r="AE22" s="180"/>
      <c r="AF22" s="183"/>
      <c r="AG22" s="176">
        <f t="shared" si="2"/>
        <v>0</v>
      </c>
    </row>
    <row r="23" spans="1:33" x14ac:dyDescent="0.3">
      <c r="A23" s="179" t="s">
        <v>33</v>
      </c>
      <c r="B23" s="180">
        <f>H23+J23+L23+N23+P23+R23+T23+V23+X23+Z23+AB23+AD23</f>
        <v>0</v>
      </c>
      <c r="C23" s="181">
        <f>H23+J23</f>
        <v>0</v>
      </c>
      <c r="D23" s="180">
        <f>I23</f>
        <v>0</v>
      </c>
      <c r="E23" s="182">
        <f>I23</f>
        <v>0</v>
      </c>
      <c r="F23" s="182">
        <v>0</v>
      </c>
      <c r="G23" s="182">
        <v>0</v>
      </c>
      <c r="H23" s="182">
        <v>0</v>
      </c>
      <c r="I23" s="182">
        <v>0</v>
      </c>
      <c r="J23" s="182">
        <v>0</v>
      </c>
      <c r="K23" s="182">
        <v>0</v>
      </c>
      <c r="L23" s="182"/>
      <c r="M23" s="182"/>
      <c r="N23" s="182"/>
      <c r="O23" s="182"/>
      <c r="P23" s="182"/>
      <c r="Q23" s="182"/>
      <c r="R23" s="182"/>
      <c r="S23" s="182"/>
      <c r="T23" s="182"/>
      <c r="U23" s="182"/>
      <c r="V23" s="182"/>
      <c r="W23" s="182"/>
      <c r="X23" s="182"/>
      <c r="Y23" s="182"/>
      <c r="Z23" s="182"/>
      <c r="AA23" s="182"/>
      <c r="AB23" s="182"/>
      <c r="AC23" s="182"/>
      <c r="AD23" s="182"/>
      <c r="AE23" s="184"/>
      <c r="AF23" s="183"/>
      <c r="AG23" s="176">
        <f t="shared" si="2"/>
        <v>0</v>
      </c>
    </row>
    <row r="24" spans="1:33" x14ac:dyDescent="0.3">
      <c r="A24" s="179" t="s">
        <v>221</v>
      </c>
      <c r="B24" s="180">
        <f>H24+J24+L24+N24+P24+R24+T24+V24+X24+Z24+AB24+AD24</f>
        <v>0</v>
      </c>
      <c r="C24" s="181">
        <f>H24+J24</f>
        <v>0</v>
      </c>
      <c r="D24" s="180">
        <f>I24</f>
        <v>0</v>
      </c>
      <c r="E24" s="180">
        <v>0</v>
      </c>
      <c r="F24" s="180">
        <v>0</v>
      </c>
      <c r="G24" s="180">
        <v>0</v>
      </c>
      <c r="H24" s="180">
        <v>0</v>
      </c>
      <c r="I24" s="180">
        <v>0</v>
      </c>
      <c r="J24" s="180">
        <v>0</v>
      </c>
      <c r="K24" s="180">
        <v>0</v>
      </c>
      <c r="L24" s="180"/>
      <c r="M24" s="180"/>
      <c r="N24" s="180"/>
      <c r="O24" s="180"/>
      <c r="P24" s="180"/>
      <c r="Q24" s="180"/>
      <c r="R24" s="180"/>
      <c r="S24" s="180"/>
      <c r="T24" s="180"/>
      <c r="U24" s="180"/>
      <c r="V24" s="180"/>
      <c r="W24" s="180"/>
      <c r="X24" s="180"/>
      <c r="Y24" s="180"/>
      <c r="Z24" s="180"/>
      <c r="AA24" s="180"/>
      <c r="AB24" s="180"/>
      <c r="AC24" s="180"/>
      <c r="AD24" s="180"/>
      <c r="AE24" s="180"/>
      <c r="AF24" s="183"/>
      <c r="AG24" s="176">
        <f t="shared" si="2"/>
        <v>0</v>
      </c>
    </row>
    <row r="25" spans="1:33" s="178" customFormat="1" ht="120.75" customHeight="1" x14ac:dyDescent="0.3">
      <c r="A25" s="185" t="s">
        <v>224</v>
      </c>
      <c r="B25" s="171">
        <f>B26</f>
        <v>0</v>
      </c>
      <c r="C25" s="172">
        <f>C26</f>
        <v>0</v>
      </c>
      <c r="D25" s="172">
        <f>D26</f>
        <v>0</v>
      </c>
      <c r="E25" s="171">
        <f>E26</f>
        <v>0</v>
      </c>
      <c r="F25" s="172">
        <f>F26</f>
        <v>0</v>
      </c>
      <c r="G25" s="173">
        <v>0</v>
      </c>
      <c r="H25" s="171">
        <f>H26</f>
        <v>0</v>
      </c>
      <c r="I25" s="171">
        <f>I26</f>
        <v>0</v>
      </c>
      <c r="J25" s="171">
        <f>J26</f>
        <v>0</v>
      </c>
      <c r="K25" s="171">
        <f>K26</f>
        <v>0</v>
      </c>
      <c r="L25" s="171">
        <f>L26</f>
        <v>0</v>
      </c>
      <c r="M25" s="173"/>
      <c r="N25" s="171">
        <f>N26</f>
        <v>0</v>
      </c>
      <c r="O25" s="173"/>
      <c r="P25" s="171">
        <f>P26</f>
        <v>0</v>
      </c>
      <c r="Q25" s="173"/>
      <c r="R25" s="171">
        <f>R26</f>
        <v>0</v>
      </c>
      <c r="S25" s="173"/>
      <c r="T25" s="171">
        <f>T26</f>
        <v>0</v>
      </c>
      <c r="U25" s="173"/>
      <c r="V25" s="171">
        <f>V26</f>
        <v>0</v>
      </c>
      <c r="W25" s="173"/>
      <c r="X25" s="171">
        <f>X26</f>
        <v>0</v>
      </c>
      <c r="Y25" s="173"/>
      <c r="Z25" s="171">
        <f>Z26</f>
        <v>0</v>
      </c>
      <c r="AA25" s="173"/>
      <c r="AB25" s="171">
        <f>AB26</f>
        <v>0</v>
      </c>
      <c r="AC25" s="173"/>
      <c r="AD25" s="171">
        <f>AD26</f>
        <v>0</v>
      </c>
      <c r="AE25" s="174"/>
      <c r="AF25" s="175"/>
      <c r="AG25" s="176">
        <f t="shared" si="2"/>
        <v>0</v>
      </c>
    </row>
    <row r="26" spans="1:33" s="178" customFormat="1" x14ac:dyDescent="0.3">
      <c r="A26" s="177" t="s">
        <v>31</v>
      </c>
      <c r="B26" s="171">
        <f t="shared" ref="B26:J26" si="5">B27+B28+B29+B30</f>
        <v>0</v>
      </c>
      <c r="C26" s="171">
        <f t="shared" si="5"/>
        <v>0</v>
      </c>
      <c r="D26" s="171">
        <f t="shared" si="5"/>
        <v>0</v>
      </c>
      <c r="E26" s="171">
        <f>E27+E28+E29+E30</f>
        <v>0</v>
      </c>
      <c r="F26" s="171">
        <f t="shared" si="5"/>
        <v>0</v>
      </c>
      <c r="G26" s="171">
        <f t="shared" si="5"/>
        <v>0</v>
      </c>
      <c r="H26" s="171">
        <f t="shared" si="5"/>
        <v>0</v>
      </c>
      <c r="I26" s="171">
        <f t="shared" si="5"/>
        <v>0</v>
      </c>
      <c r="J26" s="171">
        <f t="shared" si="5"/>
        <v>0</v>
      </c>
      <c r="K26" s="171">
        <f t="shared" ref="K26" si="6">K27+K28+K29+K30</f>
        <v>0</v>
      </c>
      <c r="L26" s="171">
        <f>L27+L28+L29+L30</f>
        <v>0</v>
      </c>
      <c r="M26" s="171"/>
      <c r="N26" s="171">
        <f>N27+N28+N29+N30</f>
        <v>0</v>
      </c>
      <c r="O26" s="171"/>
      <c r="P26" s="171">
        <f>P27+P28+P29+P30</f>
        <v>0</v>
      </c>
      <c r="Q26" s="171"/>
      <c r="R26" s="171">
        <f>R27+R28+R29+R30</f>
        <v>0</v>
      </c>
      <c r="S26" s="171"/>
      <c r="T26" s="171">
        <f>T27+T28+T29+T30</f>
        <v>0</v>
      </c>
      <c r="U26" s="171"/>
      <c r="V26" s="171">
        <f>V27+V28+V29+V30</f>
        <v>0</v>
      </c>
      <c r="W26" s="171"/>
      <c r="X26" s="171">
        <f>X27+X28+X29+X30</f>
        <v>0</v>
      </c>
      <c r="Y26" s="171"/>
      <c r="Z26" s="171">
        <f>Z27+Z28+Z29+Z30</f>
        <v>0</v>
      </c>
      <c r="AA26" s="171"/>
      <c r="AB26" s="171">
        <f>AB27+AB28+AB29+AB30</f>
        <v>0</v>
      </c>
      <c r="AC26" s="171"/>
      <c r="AD26" s="171">
        <f>AD27+AD28+AD29+AD30</f>
        <v>0</v>
      </c>
      <c r="AE26" s="171"/>
      <c r="AF26" s="175"/>
      <c r="AG26" s="176">
        <f t="shared" si="2"/>
        <v>0</v>
      </c>
    </row>
    <row r="27" spans="1:33" x14ac:dyDescent="0.3">
      <c r="A27" s="179" t="s">
        <v>169</v>
      </c>
      <c r="B27" s="180">
        <f>H27+J27+L27+N27+P27+R27+T27+V27+X27+Z27+AB27+AD27</f>
        <v>0</v>
      </c>
      <c r="C27" s="180">
        <f>H27+J27</f>
        <v>0</v>
      </c>
      <c r="D27" s="186">
        <f>I27</f>
        <v>0</v>
      </c>
      <c r="E27" s="180">
        <v>0</v>
      </c>
      <c r="F27" s="180">
        <v>0</v>
      </c>
      <c r="G27" s="180">
        <v>0</v>
      </c>
      <c r="H27" s="180">
        <v>0</v>
      </c>
      <c r="I27" s="180">
        <v>0</v>
      </c>
      <c r="J27" s="180">
        <v>0</v>
      </c>
      <c r="K27" s="180">
        <v>0</v>
      </c>
      <c r="L27" s="180">
        <v>0</v>
      </c>
      <c r="M27" s="180"/>
      <c r="N27" s="180">
        <v>0</v>
      </c>
      <c r="O27" s="180"/>
      <c r="P27" s="180">
        <v>0</v>
      </c>
      <c r="Q27" s="180"/>
      <c r="R27" s="180">
        <v>0</v>
      </c>
      <c r="S27" s="180"/>
      <c r="T27" s="180">
        <v>0</v>
      </c>
      <c r="U27" s="180"/>
      <c r="V27" s="180">
        <v>0</v>
      </c>
      <c r="W27" s="180"/>
      <c r="X27" s="180">
        <v>0</v>
      </c>
      <c r="Y27" s="180"/>
      <c r="Z27" s="180">
        <v>0</v>
      </c>
      <c r="AA27" s="180"/>
      <c r="AB27" s="180">
        <v>0</v>
      </c>
      <c r="AC27" s="180"/>
      <c r="AD27" s="180">
        <v>0</v>
      </c>
      <c r="AE27" s="180"/>
      <c r="AF27" s="183"/>
      <c r="AG27" s="176">
        <f t="shared" si="2"/>
        <v>0</v>
      </c>
    </row>
    <row r="28" spans="1:33" x14ac:dyDescent="0.3">
      <c r="A28" s="179" t="s">
        <v>32</v>
      </c>
      <c r="B28" s="180">
        <f>H28+J28+L28+N28+P28+R28+T28+V28+X28+Z28+AB28+AD28</f>
        <v>0</v>
      </c>
      <c r="C28" s="180">
        <f>H28+J28</f>
        <v>0</v>
      </c>
      <c r="D28" s="186">
        <f>I28</f>
        <v>0</v>
      </c>
      <c r="E28" s="180">
        <v>0</v>
      </c>
      <c r="F28" s="180">
        <v>0</v>
      </c>
      <c r="G28" s="180">
        <v>0</v>
      </c>
      <c r="H28" s="180">
        <v>0</v>
      </c>
      <c r="I28" s="180">
        <v>0</v>
      </c>
      <c r="J28" s="180">
        <v>0</v>
      </c>
      <c r="K28" s="180">
        <v>0</v>
      </c>
      <c r="L28" s="180">
        <v>0</v>
      </c>
      <c r="M28" s="180"/>
      <c r="N28" s="180">
        <v>0</v>
      </c>
      <c r="O28" s="180"/>
      <c r="P28" s="180">
        <v>0</v>
      </c>
      <c r="Q28" s="180"/>
      <c r="R28" s="180">
        <v>0</v>
      </c>
      <c r="S28" s="180"/>
      <c r="T28" s="180">
        <v>0</v>
      </c>
      <c r="U28" s="180"/>
      <c r="V28" s="180">
        <v>0</v>
      </c>
      <c r="W28" s="180"/>
      <c r="X28" s="180">
        <v>0</v>
      </c>
      <c r="Y28" s="180"/>
      <c r="Z28" s="180">
        <v>0</v>
      </c>
      <c r="AA28" s="180"/>
      <c r="AB28" s="180">
        <v>0</v>
      </c>
      <c r="AC28" s="180"/>
      <c r="AD28" s="180">
        <v>0</v>
      </c>
      <c r="AE28" s="180"/>
      <c r="AF28" s="183"/>
      <c r="AG28" s="176">
        <f t="shared" si="2"/>
        <v>0</v>
      </c>
    </row>
    <row r="29" spans="1:33" x14ac:dyDescent="0.3">
      <c r="A29" s="179" t="s">
        <v>33</v>
      </c>
      <c r="B29" s="180">
        <f>H29+J29+L29+N29+P29+R29+T29+V29+X29+Z29+AB29+AD29</f>
        <v>0</v>
      </c>
      <c r="C29" s="180">
        <f>H29+J29</f>
        <v>0</v>
      </c>
      <c r="D29" s="186">
        <f>I29</f>
        <v>0</v>
      </c>
      <c r="E29" s="182">
        <f>I29</f>
        <v>0</v>
      </c>
      <c r="F29" s="182">
        <v>0</v>
      </c>
      <c r="G29" s="182">
        <v>0</v>
      </c>
      <c r="H29" s="182">
        <v>0</v>
      </c>
      <c r="I29" s="182">
        <v>0</v>
      </c>
      <c r="J29" s="182">
        <v>0</v>
      </c>
      <c r="K29" s="182">
        <v>0</v>
      </c>
      <c r="L29" s="182">
        <v>0</v>
      </c>
      <c r="M29" s="182"/>
      <c r="N29" s="182">
        <v>0</v>
      </c>
      <c r="O29" s="182"/>
      <c r="P29" s="182">
        <v>0</v>
      </c>
      <c r="Q29" s="182"/>
      <c r="R29" s="182">
        <v>0</v>
      </c>
      <c r="S29" s="182"/>
      <c r="T29" s="182">
        <v>0</v>
      </c>
      <c r="U29" s="182"/>
      <c r="V29" s="182">
        <v>0</v>
      </c>
      <c r="W29" s="182"/>
      <c r="X29" s="182">
        <v>0</v>
      </c>
      <c r="Y29" s="182"/>
      <c r="Z29" s="182">
        <v>0</v>
      </c>
      <c r="AA29" s="182"/>
      <c r="AB29" s="182">
        <v>0</v>
      </c>
      <c r="AC29" s="182"/>
      <c r="AD29" s="182">
        <v>0</v>
      </c>
      <c r="AE29" s="184"/>
      <c r="AF29" s="183"/>
      <c r="AG29" s="176">
        <f t="shared" si="2"/>
        <v>0</v>
      </c>
    </row>
    <row r="30" spans="1:33" x14ac:dyDescent="0.3">
      <c r="A30" s="179" t="s">
        <v>221</v>
      </c>
      <c r="B30" s="180">
        <f>H30+J30+L30+N30+P30+R30+T30+V30+X30+Z30+AB30+AD30</f>
        <v>0</v>
      </c>
      <c r="C30" s="180">
        <f>H30+J30</f>
        <v>0</v>
      </c>
      <c r="D30" s="186">
        <f>I30</f>
        <v>0</v>
      </c>
      <c r="E30" s="180">
        <v>0</v>
      </c>
      <c r="F30" s="180">
        <v>0</v>
      </c>
      <c r="G30" s="180">
        <v>0</v>
      </c>
      <c r="H30" s="180">
        <v>0</v>
      </c>
      <c r="I30" s="180">
        <v>0</v>
      </c>
      <c r="J30" s="180">
        <v>0</v>
      </c>
      <c r="K30" s="180">
        <v>0</v>
      </c>
      <c r="L30" s="180">
        <v>0</v>
      </c>
      <c r="M30" s="180"/>
      <c r="N30" s="180">
        <v>0</v>
      </c>
      <c r="O30" s="180"/>
      <c r="P30" s="180">
        <v>0</v>
      </c>
      <c r="Q30" s="180"/>
      <c r="R30" s="180">
        <v>0</v>
      </c>
      <c r="S30" s="180"/>
      <c r="T30" s="180">
        <v>0</v>
      </c>
      <c r="U30" s="180"/>
      <c r="V30" s="180">
        <v>0</v>
      </c>
      <c r="W30" s="180"/>
      <c r="X30" s="180">
        <v>0</v>
      </c>
      <c r="Y30" s="180"/>
      <c r="Z30" s="180">
        <v>0</v>
      </c>
      <c r="AA30" s="180"/>
      <c r="AB30" s="180">
        <v>0</v>
      </c>
      <c r="AC30" s="180"/>
      <c r="AD30" s="180">
        <v>0</v>
      </c>
      <c r="AE30" s="180"/>
      <c r="AF30" s="183"/>
      <c r="AG30" s="176">
        <f t="shared" si="2"/>
        <v>0</v>
      </c>
    </row>
    <row r="31" spans="1:33" s="178" customFormat="1" ht="75" x14ac:dyDescent="0.3">
      <c r="A31" s="98" t="s">
        <v>225</v>
      </c>
      <c r="B31" s="171">
        <f t="shared" ref="B31:AD31" si="7">B32</f>
        <v>29265.500000000004</v>
      </c>
      <c r="C31" s="171">
        <f t="shared" si="7"/>
        <v>5138.5405900000005</v>
      </c>
      <c r="D31" s="171">
        <f t="shared" si="7"/>
        <v>1817.13</v>
      </c>
      <c r="E31" s="171">
        <f t="shared" si="7"/>
        <v>1817.13</v>
      </c>
      <c r="F31" s="173">
        <f t="shared" si="7"/>
        <v>6.2091199535288988</v>
      </c>
      <c r="G31" s="173">
        <f t="shared" si="7"/>
        <v>35.36276435251434</v>
      </c>
      <c r="H31" s="171">
        <f t="shared" si="7"/>
        <v>3054.7245900000003</v>
      </c>
      <c r="I31" s="171">
        <f t="shared" si="7"/>
        <v>1817.13</v>
      </c>
      <c r="J31" s="171">
        <f t="shared" si="7"/>
        <v>2083.8159999999998</v>
      </c>
      <c r="K31" s="171">
        <f t="shared" si="7"/>
        <v>929.9</v>
      </c>
      <c r="L31" s="171">
        <f t="shared" si="7"/>
        <v>1096.366</v>
      </c>
      <c r="M31" s="171"/>
      <c r="N31" s="171">
        <f t="shared" si="7"/>
        <v>4874.0909999999994</v>
      </c>
      <c r="O31" s="171"/>
      <c r="P31" s="171">
        <f t="shared" si="7"/>
        <v>985.86599999999999</v>
      </c>
      <c r="Q31" s="171"/>
      <c r="R31" s="171">
        <f t="shared" si="7"/>
        <v>1316.1659999999999</v>
      </c>
      <c r="S31" s="171"/>
      <c r="T31" s="171">
        <f t="shared" si="7"/>
        <v>5193.2574100000002</v>
      </c>
      <c r="U31" s="171"/>
      <c r="V31" s="171">
        <f t="shared" si="7"/>
        <v>748.96600000000001</v>
      </c>
      <c r="W31" s="171"/>
      <c r="X31" s="171">
        <f t="shared" si="7"/>
        <v>838.96600000000001</v>
      </c>
      <c r="Y31" s="171"/>
      <c r="Z31" s="171">
        <f t="shared" si="7"/>
        <v>2544.4409999999998</v>
      </c>
      <c r="AA31" s="171"/>
      <c r="AB31" s="171">
        <f t="shared" si="7"/>
        <v>787.96600000000001</v>
      </c>
      <c r="AC31" s="171"/>
      <c r="AD31" s="171">
        <f t="shared" si="7"/>
        <v>5740.8739999999998</v>
      </c>
      <c r="AE31" s="171"/>
      <c r="AF31" s="187"/>
      <c r="AG31" s="176">
        <f t="shared" si="2"/>
        <v>0</v>
      </c>
    </row>
    <row r="32" spans="1:33" s="178" customFormat="1" x14ac:dyDescent="0.3">
      <c r="A32" s="188" t="s">
        <v>31</v>
      </c>
      <c r="B32" s="171">
        <f>B33+B34+B35+B36</f>
        <v>29265.500000000004</v>
      </c>
      <c r="C32" s="171">
        <f>C33+C34+C35+C36</f>
        <v>5138.5405900000005</v>
      </c>
      <c r="D32" s="171">
        <f>D33+D34+D35+D36</f>
        <v>1817.13</v>
      </c>
      <c r="E32" s="171">
        <f>E33+E34+E35+E36</f>
        <v>1817.13</v>
      </c>
      <c r="F32" s="171">
        <f>F33+F34+F35+F36</f>
        <v>6.2091199535288988</v>
      </c>
      <c r="G32" s="171">
        <f>E32/C32*100</f>
        <v>35.36276435251434</v>
      </c>
      <c r="H32" s="171">
        <f>H33+H34+H35+H36</f>
        <v>3054.7245900000003</v>
      </c>
      <c r="I32" s="171">
        <f>I33+I34+I35+I36</f>
        <v>1817.13</v>
      </c>
      <c r="J32" s="171">
        <f t="shared" ref="J32:AD32" si="8">J33+J34+J35+J36</f>
        <v>2083.8159999999998</v>
      </c>
      <c r="K32" s="171">
        <f>K33+K34+K35+K36</f>
        <v>929.9</v>
      </c>
      <c r="L32" s="171">
        <f t="shared" si="8"/>
        <v>1096.366</v>
      </c>
      <c r="M32" s="171"/>
      <c r="N32" s="171">
        <f t="shared" si="8"/>
        <v>4874.0909999999994</v>
      </c>
      <c r="O32" s="171"/>
      <c r="P32" s="171">
        <f t="shared" si="8"/>
        <v>985.86599999999999</v>
      </c>
      <c r="Q32" s="171"/>
      <c r="R32" s="171">
        <f t="shared" si="8"/>
        <v>1316.1659999999999</v>
      </c>
      <c r="S32" s="171"/>
      <c r="T32" s="171">
        <f t="shared" si="8"/>
        <v>5193.2574100000002</v>
      </c>
      <c r="U32" s="171"/>
      <c r="V32" s="171">
        <f t="shared" si="8"/>
        <v>748.96600000000001</v>
      </c>
      <c r="W32" s="171"/>
      <c r="X32" s="171">
        <f t="shared" si="8"/>
        <v>838.96600000000001</v>
      </c>
      <c r="Y32" s="171"/>
      <c r="Z32" s="171">
        <f t="shared" si="8"/>
        <v>2544.4409999999998</v>
      </c>
      <c r="AA32" s="171"/>
      <c r="AB32" s="171">
        <f t="shared" si="8"/>
        <v>787.96600000000001</v>
      </c>
      <c r="AC32" s="171"/>
      <c r="AD32" s="171">
        <f t="shared" si="8"/>
        <v>5740.8739999999998</v>
      </c>
      <c r="AE32" s="171"/>
      <c r="AF32" s="189"/>
      <c r="AG32" s="176">
        <f t="shared" si="2"/>
        <v>0</v>
      </c>
    </row>
    <row r="33" spans="1:33" x14ac:dyDescent="0.3">
      <c r="A33" s="179" t="s">
        <v>169</v>
      </c>
      <c r="B33" s="180">
        <f t="shared" ref="B33:E36" si="9">B39+B45+B51+B57</f>
        <v>0</v>
      </c>
      <c r="C33" s="180">
        <f t="shared" si="9"/>
        <v>0</v>
      </c>
      <c r="D33" s="180">
        <f t="shared" si="9"/>
        <v>0</v>
      </c>
      <c r="E33" s="180">
        <f t="shared" si="9"/>
        <v>0</v>
      </c>
      <c r="F33" s="180">
        <v>0</v>
      </c>
      <c r="G33" s="180">
        <v>0</v>
      </c>
      <c r="H33" s="180">
        <f t="shared" ref="H33:AE36" si="10">H39+H45+H51+H57</f>
        <v>0</v>
      </c>
      <c r="I33" s="180">
        <f t="shared" si="10"/>
        <v>0</v>
      </c>
      <c r="J33" s="180">
        <f t="shared" si="10"/>
        <v>0</v>
      </c>
      <c r="K33" s="180">
        <f t="shared" si="10"/>
        <v>0</v>
      </c>
      <c r="L33" s="180">
        <f t="shared" si="10"/>
        <v>0</v>
      </c>
      <c r="M33" s="180">
        <f t="shared" si="10"/>
        <v>0</v>
      </c>
      <c r="N33" s="180">
        <f t="shared" si="10"/>
        <v>0</v>
      </c>
      <c r="O33" s="180">
        <f t="shared" si="10"/>
        <v>0</v>
      </c>
      <c r="P33" s="180">
        <f t="shared" si="10"/>
        <v>0</v>
      </c>
      <c r="Q33" s="180">
        <f t="shared" si="10"/>
        <v>0</v>
      </c>
      <c r="R33" s="180">
        <f t="shared" si="10"/>
        <v>0</v>
      </c>
      <c r="S33" s="180">
        <f t="shared" si="10"/>
        <v>0</v>
      </c>
      <c r="T33" s="180">
        <f t="shared" si="10"/>
        <v>0</v>
      </c>
      <c r="U33" s="180">
        <f t="shared" si="10"/>
        <v>0</v>
      </c>
      <c r="V33" s="180">
        <f t="shared" si="10"/>
        <v>0</v>
      </c>
      <c r="W33" s="180">
        <f t="shared" si="10"/>
        <v>0</v>
      </c>
      <c r="X33" s="180">
        <f t="shared" si="10"/>
        <v>0</v>
      </c>
      <c r="Y33" s="180">
        <f t="shared" si="10"/>
        <v>0</v>
      </c>
      <c r="Z33" s="180">
        <f t="shared" si="10"/>
        <v>0</v>
      </c>
      <c r="AA33" s="180">
        <f t="shared" si="10"/>
        <v>0</v>
      </c>
      <c r="AB33" s="180">
        <f t="shared" si="10"/>
        <v>0</v>
      </c>
      <c r="AC33" s="180">
        <f t="shared" si="10"/>
        <v>0</v>
      </c>
      <c r="AD33" s="180">
        <f t="shared" si="10"/>
        <v>0</v>
      </c>
      <c r="AE33" s="180">
        <f t="shared" si="10"/>
        <v>0</v>
      </c>
      <c r="AF33" s="190"/>
      <c r="AG33" s="176">
        <f t="shared" si="2"/>
        <v>0</v>
      </c>
    </row>
    <row r="34" spans="1:33" x14ac:dyDescent="0.3">
      <c r="A34" s="179" t="s">
        <v>32</v>
      </c>
      <c r="B34" s="180">
        <f t="shared" si="9"/>
        <v>0</v>
      </c>
      <c r="C34" s="180">
        <f t="shared" si="9"/>
        <v>0</v>
      </c>
      <c r="D34" s="180">
        <f t="shared" si="9"/>
        <v>0</v>
      </c>
      <c r="E34" s="180">
        <f t="shared" si="9"/>
        <v>0</v>
      </c>
      <c r="F34" s="180">
        <v>0</v>
      </c>
      <c r="G34" s="180">
        <v>0</v>
      </c>
      <c r="H34" s="180">
        <f t="shared" si="10"/>
        <v>0</v>
      </c>
      <c r="I34" s="180">
        <f t="shared" si="10"/>
        <v>0</v>
      </c>
      <c r="J34" s="180">
        <f t="shared" si="10"/>
        <v>0</v>
      </c>
      <c r="K34" s="180">
        <f t="shared" si="10"/>
        <v>0</v>
      </c>
      <c r="L34" s="180">
        <f t="shared" si="10"/>
        <v>0</v>
      </c>
      <c r="M34" s="180">
        <f t="shared" si="10"/>
        <v>0</v>
      </c>
      <c r="N34" s="180">
        <f t="shared" si="10"/>
        <v>0</v>
      </c>
      <c r="O34" s="180">
        <f t="shared" si="10"/>
        <v>0</v>
      </c>
      <c r="P34" s="180">
        <f t="shared" si="10"/>
        <v>0</v>
      </c>
      <c r="Q34" s="180">
        <f t="shared" si="10"/>
        <v>0</v>
      </c>
      <c r="R34" s="180">
        <f t="shared" si="10"/>
        <v>0</v>
      </c>
      <c r="S34" s="180">
        <f t="shared" si="10"/>
        <v>0</v>
      </c>
      <c r="T34" s="180">
        <f t="shared" si="10"/>
        <v>0</v>
      </c>
      <c r="U34" s="180">
        <f t="shared" si="10"/>
        <v>0</v>
      </c>
      <c r="V34" s="180">
        <f t="shared" si="10"/>
        <v>0</v>
      </c>
      <c r="W34" s="180">
        <f t="shared" si="10"/>
        <v>0</v>
      </c>
      <c r="X34" s="180">
        <f t="shared" si="10"/>
        <v>0</v>
      </c>
      <c r="Y34" s="180">
        <f t="shared" si="10"/>
        <v>0</v>
      </c>
      <c r="Z34" s="180">
        <f t="shared" si="10"/>
        <v>0</v>
      </c>
      <c r="AA34" s="180">
        <f t="shared" si="10"/>
        <v>0</v>
      </c>
      <c r="AB34" s="180">
        <f t="shared" si="10"/>
        <v>0</v>
      </c>
      <c r="AC34" s="180">
        <f t="shared" si="10"/>
        <v>0</v>
      </c>
      <c r="AD34" s="180">
        <f t="shared" si="10"/>
        <v>0</v>
      </c>
      <c r="AE34" s="180">
        <f t="shared" si="10"/>
        <v>0</v>
      </c>
      <c r="AF34" s="190"/>
      <c r="AG34" s="176">
        <f t="shared" si="2"/>
        <v>0</v>
      </c>
    </row>
    <row r="35" spans="1:33" x14ac:dyDescent="0.3">
      <c r="A35" s="179" t="s">
        <v>33</v>
      </c>
      <c r="B35" s="180">
        <f t="shared" si="9"/>
        <v>29265.500000000004</v>
      </c>
      <c r="C35" s="180">
        <f>C41+C47+C53+C59</f>
        <v>5138.5405900000005</v>
      </c>
      <c r="D35" s="180">
        <f t="shared" si="9"/>
        <v>1817.13</v>
      </c>
      <c r="E35" s="180">
        <f t="shared" si="9"/>
        <v>1817.13</v>
      </c>
      <c r="F35" s="180">
        <f>E35/B35*100</f>
        <v>6.2091199535288988</v>
      </c>
      <c r="G35" s="180">
        <f>E35/C35*100</f>
        <v>35.36276435251434</v>
      </c>
      <c r="H35" s="180">
        <f t="shared" si="10"/>
        <v>3054.7245900000003</v>
      </c>
      <c r="I35" s="180">
        <f t="shared" si="10"/>
        <v>1817.13</v>
      </c>
      <c r="J35" s="180">
        <f t="shared" si="10"/>
        <v>2083.8159999999998</v>
      </c>
      <c r="K35" s="180">
        <f t="shared" si="10"/>
        <v>929.9</v>
      </c>
      <c r="L35" s="180">
        <f t="shared" si="10"/>
        <v>1096.366</v>
      </c>
      <c r="M35" s="180">
        <f t="shared" si="10"/>
        <v>0</v>
      </c>
      <c r="N35" s="180">
        <f t="shared" si="10"/>
        <v>4874.0909999999994</v>
      </c>
      <c r="O35" s="180">
        <f t="shared" si="10"/>
        <v>0</v>
      </c>
      <c r="P35" s="180">
        <f t="shared" si="10"/>
        <v>985.86599999999999</v>
      </c>
      <c r="Q35" s="180">
        <f t="shared" si="10"/>
        <v>0</v>
      </c>
      <c r="R35" s="180">
        <f t="shared" si="10"/>
        <v>1316.1659999999999</v>
      </c>
      <c r="S35" s="180">
        <f t="shared" si="10"/>
        <v>0</v>
      </c>
      <c r="T35" s="180">
        <f t="shared" si="10"/>
        <v>5193.2574100000002</v>
      </c>
      <c r="U35" s="180">
        <f t="shared" si="10"/>
        <v>0</v>
      </c>
      <c r="V35" s="180">
        <f t="shared" si="10"/>
        <v>748.96600000000001</v>
      </c>
      <c r="W35" s="180">
        <f t="shared" si="10"/>
        <v>0</v>
      </c>
      <c r="X35" s="180">
        <f t="shared" si="10"/>
        <v>838.96600000000001</v>
      </c>
      <c r="Y35" s="180">
        <f t="shared" si="10"/>
        <v>0</v>
      </c>
      <c r="Z35" s="180">
        <f t="shared" si="10"/>
        <v>2544.4409999999998</v>
      </c>
      <c r="AA35" s="180">
        <f t="shared" si="10"/>
        <v>0</v>
      </c>
      <c r="AB35" s="180">
        <f t="shared" si="10"/>
        <v>787.96600000000001</v>
      </c>
      <c r="AC35" s="180">
        <f t="shared" si="10"/>
        <v>0</v>
      </c>
      <c r="AD35" s="180">
        <f t="shared" si="10"/>
        <v>5740.8739999999998</v>
      </c>
      <c r="AE35" s="180">
        <f t="shared" si="10"/>
        <v>0</v>
      </c>
      <c r="AF35" s="190"/>
      <c r="AG35" s="176">
        <f t="shared" si="2"/>
        <v>0</v>
      </c>
    </row>
    <row r="36" spans="1:33" x14ac:dyDescent="0.3">
      <c r="A36" s="179" t="s">
        <v>221</v>
      </c>
      <c r="B36" s="180">
        <f t="shared" si="9"/>
        <v>0</v>
      </c>
      <c r="C36" s="180">
        <f t="shared" si="9"/>
        <v>0</v>
      </c>
      <c r="D36" s="180">
        <f t="shared" si="9"/>
        <v>0</v>
      </c>
      <c r="E36" s="180">
        <f t="shared" si="9"/>
        <v>0</v>
      </c>
      <c r="F36" s="180">
        <v>0</v>
      </c>
      <c r="G36" s="180">
        <v>0</v>
      </c>
      <c r="H36" s="180">
        <f t="shared" si="10"/>
        <v>0</v>
      </c>
      <c r="I36" s="180">
        <f t="shared" si="10"/>
        <v>0</v>
      </c>
      <c r="J36" s="180">
        <f t="shared" si="10"/>
        <v>0</v>
      </c>
      <c r="K36" s="180">
        <f t="shared" si="10"/>
        <v>0</v>
      </c>
      <c r="L36" s="180">
        <f t="shared" si="10"/>
        <v>0</v>
      </c>
      <c r="M36" s="180">
        <f t="shared" si="10"/>
        <v>0</v>
      </c>
      <c r="N36" s="180">
        <f t="shared" si="10"/>
        <v>0</v>
      </c>
      <c r="O36" s="180">
        <f t="shared" si="10"/>
        <v>0</v>
      </c>
      <c r="P36" s="180">
        <f t="shared" si="10"/>
        <v>0</v>
      </c>
      <c r="Q36" s="180">
        <f t="shared" si="10"/>
        <v>0</v>
      </c>
      <c r="R36" s="180">
        <f t="shared" si="10"/>
        <v>0</v>
      </c>
      <c r="S36" s="180">
        <f t="shared" si="10"/>
        <v>0</v>
      </c>
      <c r="T36" s="180">
        <f t="shared" si="10"/>
        <v>0</v>
      </c>
      <c r="U36" s="180">
        <f t="shared" si="10"/>
        <v>0</v>
      </c>
      <c r="V36" s="180">
        <f t="shared" si="10"/>
        <v>0</v>
      </c>
      <c r="W36" s="180">
        <f t="shared" si="10"/>
        <v>0</v>
      </c>
      <c r="X36" s="180">
        <f t="shared" si="10"/>
        <v>0</v>
      </c>
      <c r="Y36" s="180">
        <f t="shared" si="10"/>
        <v>0</v>
      </c>
      <c r="Z36" s="180">
        <f t="shared" si="10"/>
        <v>0</v>
      </c>
      <c r="AA36" s="180">
        <f t="shared" si="10"/>
        <v>0</v>
      </c>
      <c r="AB36" s="180">
        <f t="shared" si="10"/>
        <v>0</v>
      </c>
      <c r="AC36" s="180">
        <f t="shared" si="10"/>
        <v>0</v>
      </c>
      <c r="AD36" s="180">
        <f t="shared" si="10"/>
        <v>0</v>
      </c>
      <c r="AE36" s="180">
        <f t="shared" si="10"/>
        <v>0</v>
      </c>
      <c r="AF36" s="190"/>
      <c r="AG36" s="176">
        <f t="shared" si="2"/>
        <v>0</v>
      </c>
    </row>
    <row r="37" spans="1:33" ht="37.5" x14ac:dyDescent="0.3">
      <c r="A37" s="191" t="s">
        <v>226</v>
      </c>
      <c r="B37" s="192">
        <f>B38</f>
        <v>166.6</v>
      </c>
      <c r="C37" s="192">
        <f>C38</f>
        <v>89.333590000000001</v>
      </c>
      <c r="D37" s="192">
        <f>D38</f>
        <v>59.39</v>
      </c>
      <c r="E37" s="193">
        <f>E38</f>
        <v>59.39</v>
      </c>
      <c r="F37" s="194">
        <v>0</v>
      </c>
      <c r="G37" s="194">
        <v>0</v>
      </c>
      <c r="H37" s="192">
        <f>H38</f>
        <v>60.98359</v>
      </c>
      <c r="I37" s="193">
        <f>I38</f>
        <v>59.39</v>
      </c>
      <c r="J37" s="192">
        <f>J38</f>
        <v>28.35</v>
      </c>
      <c r="K37" s="192">
        <f>K38</f>
        <v>29.94</v>
      </c>
      <c r="L37" s="192">
        <f>L38</f>
        <v>0</v>
      </c>
      <c r="M37" s="193"/>
      <c r="N37" s="192">
        <f>N38</f>
        <v>0</v>
      </c>
      <c r="O37" s="193"/>
      <c r="P37" s="192">
        <f>P38</f>
        <v>0</v>
      </c>
      <c r="Q37" s="193"/>
      <c r="R37" s="192">
        <f>R38</f>
        <v>0</v>
      </c>
      <c r="S37" s="193"/>
      <c r="T37" s="192">
        <f>T38</f>
        <v>77.266409999999993</v>
      </c>
      <c r="U37" s="193"/>
      <c r="V37" s="192">
        <f>V38</f>
        <v>0</v>
      </c>
      <c r="W37" s="193"/>
      <c r="X37" s="192">
        <f>X38</f>
        <v>0</v>
      </c>
      <c r="Y37" s="193"/>
      <c r="Z37" s="192">
        <f>Z38</f>
        <v>0</v>
      </c>
      <c r="AA37" s="193"/>
      <c r="AB37" s="192">
        <f>AB38</f>
        <v>0</v>
      </c>
      <c r="AC37" s="193"/>
      <c r="AD37" s="192">
        <f>AD38</f>
        <v>0</v>
      </c>
      <c r="AE37" s="195"/>
      <c r="AF37" s="196"/>
      <c r="AG37" s="176">
        <f t="shared" si="2"/>
        <v>0</v>
      </c>
    </row>
    <row r="38" spans="1:33" s="178" customFormat="1" x14ac:dyDescent="0.3">
      <c r="A38" s="197" t="s">
        <v>31</v>
      </c>
      <c r="B38" s="198">
        <f>B39+B40+B41+B42</f>
        <v>166.6</v>
      </c>
      <c r="C38" s="198">
        <f>C39+C40+C41+C42</f>
        <v>89.333590000000001</v>
      </c>
      <c r="D38" s="198">
        <f>D39+D40+D41+D42</f>
        <v>59.39</v>
      </c>
      <c r="E38" s="198">
        <f>E39+E40+E41+E42</f>
        <v>59.39</v>
      </c>
      <c r="F38" s="199">
        <v>0</v>
      </c>
      <c r="G38" s="199">
        <v>0</v>
      </c>
      <c r="H38" s="198">
        <f>H39+H40+H41+H42</f>
        <v>60.98359</v>
      </c>
      <c r="I38" s="198">
        <f>I39+I40+I41+I42</f>
        <v>59.39</v>
      </c>
      <c r="J38" s="198">
        <f>J39+J40+J41+J42</f>
        <v>28.35</v>
      </c>
      <c r="K38" s="198">
        <f>K39+K40+K41+K42</f>
        <v>29.94</v>
      </c>
      <c r="L38" s="198">
        <f>L39+L40+L41+L42</f>
        <v>0</v>
      </c>
      <c r="M38" s="198"/>
      <c r="N38" s="198">
        <f>N39+N40+N41+N42</f>
        <v>0</v>
      </c>
      <c r="O38" s="198"/>
      <c r="P38" s="198">
        <f>P39+P40+P41+P42</f>
        <v>0</v>
      </c>
      <c r="Q38" s="198"/>
      <c r="R38" s="198">
        <f>R39+R40+R41+R42</f>
        <v>0</v>
      </c>
      <c r="S38" s="198"/>
      <c r="T38" s="198">
        <f>T39+T40+T41+T42</f>
        <v>77.266409999999993</v>
      </c>
      <c r="U38" s="198"/>
      <c r="V38" s="198">
        <f>V39+V40+V41+V42</f>
        <v>0</v>
      </c>
      <c r="W38" s="198"/>
      <c r="X38" s="198">
        <f>X39+X40+X41+X42</f>
        <v>0</v>
      </c>
      <c r="Y38" s="198"/>
      <c r="Z38" s="198">
        <f>Z39+Z40+Z41+Z42</f>
        <v>0</v>
      </c>
      <c r="AA38" s="198"/>
      <c r="AB38" s="198">
        <f>AB39+AB40+AB41+AB42</f>
        <v>0</v>
      </c>
      <c r="AC38" s="198"/>
      <c r="AD38" s="198">
        <f>AD39+AD40+AD41+AD42</f>
        <v>0</v>
      </c>
      <c r="AE38" s="198"/>
      <c r="AF38" s="196"/>
      <c r="AG38" s="176">
        <f t="shared" si="2"/>
        <v>0</v>
      </c>
    </row>
    <row r="39" spans="1:33" x14ac:dyDescent="0.3">
      <c r="A39" s="200" t="s">
        <v>169</v>
      </c>
      <c r="B39" s="192">
        <f>H39+J39+L39+N39+P39+R39+T39+V39+X39+Z39+AB39+AD39</f>
        <v>0</v>
      </c>
      <c r="C39" s="192">
        <f>H39+J39</f>
        <v>0</v>
      </c>
      <c r="D39" s="192">
        <f t="shared" ref="D39:D72" si="11">E39</f>
        <v>0</v>
      </c>
      <c r="E39" s="192">
        <v>0</v>
      </c>
      <c r="F39" s="194">
        <v>0</v>
      </c>
      <c r="G39" s="194">
        <v>0</v>
      </c>
      <c r="H39" s="192">
        <v>0</v>
      </c>
      <c r="I39" s="192">
        <v>0</v>
      </c>
      <c r="J39" s="192">
        <v>0</v>
      </c>
      <c r="K39" s="192">
        <v>0</v>
      </c>
      <c r="L39" s="192"/>
      <c r="M39" s="192"/>
      <c r="N39" s="192"/>
      <c r="O39" s="192"/>
      <c r="P39" s="192"/>
      <c r="Q39" s="192"/>
      <c r="R39" s="192"/>
      <c r="S39" s="192"/>
      <c r="T39" s="192"/>
      <c r="U39" s="192"/>
      <c r="V39" s="192"/>
      <c r="W39" s="192"/>
      <c r="X39" s="192"/>
      <c r="Y39" s="192"/>
      <c r="Z39" s="192"/>
      <c r="AA39" s="192"/>
      <c r="AB39" s="192"/>
      <c r="AC39" s="192"/>
      <c r="AD39" s="192"/>
      <c r="AE39" s="192"/>
      <c r="AF39" s="196"/>
      <c r="AG39" s="176">
        <f t="shared" si="2"/>
        <v>0</v>
      </c>
    </row>
    <row r="40" spans="1:33" x14ac:dyDescent="0.3">
      <c r="A40" s="200" t="s">
        <v>32</v>
      </c>
      <c r="B40" s="192">
        <f>H40+J40+L40+N40+P40+R40+T40+V40+X40+Z40+AB40+AD40</f>
        <v>0</v>
      </c>
      <c r="C40" s="192">
        <f>H40+J40</f>
        <v>0</v>
      </c>
      <c r="D40" s="192">
        <f t="shared" si="11"/>
        <v>0</v>
      </c>
      <c r="E40" s="192">
        <v>0</v>
      </c>
      <c r="F40" s="194">
        <v>0</v>
      </c>
      <c r="G40" s="194">
        <v>0</v>
      </c>
      <c r="H40" s="192">
        <v>0</v>
      </c>
      <c r="I40" s="192">
        <v>0</v>
      </c>
      <c r="J40" s="192">
        <v>0</v>
      </c>
      <c r="K40" s="192">
        <v>0</v>
      </c>
      <c r="L40" s="192"/>
      <c r="M40" s="192"/>
      <c r="N40" s="192"/>
      <c r="O40" s="192"/>
      <c r="P40" s="192"/>
      <c r="Q40" s="192"/>
      <c r="R40" s="192"/>
      <c r="S40" s="192"/>
      <c r="T40" s="192"/>
      <c r="U40" s="192"/>
      <c r="V40" s="192"/>
      <c r="W40" s="192"/>
      <c r="X40" s="192"/>
      <c r="Y40" s="192"/>
      <c r="Z40" s="192"/>
      <c r="AA40" s="192"/>
      <c r="AB40" s="192"/>
      <c r="AC40" s="192"/>
      <c r="AD40" s="192"/>
      <c r="AE40" s="192"/>
      <c r="AF40" s="196"/>
      <c r="AG40" s="176">
        <f t="shared" si="2"/>
        <v>0</v>
      </c>
    </row>
    <row r="41" spans="1:33" x14ac:dyDescent="0.3">
      <c r="A41" s="200" t="s">
        <v>33</v>
      </c>
      <c r="B41" s="192">
        <f>H41+J41+L41+N41+P41+R41+T41+V41+X41+Z41+AB41+AD41</f>
        <v>166.6</v>
      </c>
      <c r="C41" s="192">
        <f>H41+J41</f>
        <v>89.333590000000001</v>
      </c>
      <c r="D41" s="201">
        <f>E41</f>
        <v>59.39</v>
      </c>
      <c r="E41" s="193">
        <f>I41</f>
        <v>59.39</v>
      </c>
      <c r="F41" s="194">
        <v>0</v>
      </c>
      <c r="G41" s="194">
        <v>0</v>
      </c>
      <c r="H41" s="192">
        <v>60.98359</v>
      </c>
      <c r="I41" s="192">
        <v>59.39</v>
      </c>
      <c r="J41" s="192">
        <v>28.35</v>
      </c>
      <c r="K41" s="192">
        <v>29.94</v>
      </c>
      <c r="L41" s="192"/>
      <c r="M41" s="192"/>
      <c r="N41" s="192"/>
      <c r="O41" s="192"/>
      <c r="P41" s="192"/>
      <c r="Q41" s="192"/>
      <c r="R41" s="192"/>
      <c r="S41" s="192"/>
      <c r="T41" s="192">
        <v>77.266409999999993</v>
      </c>
      <c r="U41" s="192"/>
      <c r="V41" s="192"/>
      <c r="W41" s="192"/>
      <c r="X41" s="192"/>
      <c r="Y41" s="192"/>
      <c r="Z41" s="192"/>
      <c r="AA41" s="192"/>
      <c r="AB41" s="192"/>
      <c r="AC41" s="192"/>
      <c r="AD41" s="192"/>
      <c r="AE41" s="192"/>
      <c r="AF41" s="196"/>
      <c r="AG41" s="176">
        <f t="shared" si="2"/>
        <v>0</v>
      </c>
    </row>
    <row r="42" spans="1:33" x14ac:dyDescent="0.3">
      <c r="A42" s="200" t="s">
        <v>221</v>
      </c>
      <c r="B42" s="192">
        <f>H42+J42+L42+N42+P42+R42+T42+V42+X42+Z42+AB42+AD42</f>
        <v>0</v>
      </c>
      <c r="C42" s="192">
        <f>H42+J42</f>
        <v>0</v>
      </c>
      <c r="D42" s="192">
        <f t="shared" si="11"/>
        <v>0</v>
      </c>
      <c r="E42" s="192">
        <v>0</v>
      </c>
      <c r="F42" s="194">
        <v>0</v>
      </c>
      <c r="G42" s="194">
        <v>0</v>
      </c>
      <c r="H42" s="192">
        <v>0</v>
      </c>
      <c r="I42" s="192">
        <v>0</v>
      </c>
      <c r="J42" s="192">
        <v>0</v>
      </c>
      <c r="K42" s="192">
        <v>0</v>
      </c>
      <c r="L42" s="192"/>
      <c r="M42" s="192"/>
      <c r="N42" s="192"/>
      <c r="O42" s="192"/>
      <c r="P42" s="192"/>
      <c r="Q42" s="192"/>
      <c r="R42" s="192"/>
      <c r="S42" s="192"/>
      <c r="T42" s="192"/>
      <c r="U42" s="192"/>
      <c r="V42" s="192"/>
      <c r="W42" s="192"/>
      <c r="X42" s="192"/>
      <c r="Y42" s="192"/>
      <c r="Z42" s="192"/>
      <c r="AA42" s="192"/>
      <c r="AB42" s="192"/>
      <c r="AC42" s="192"/>
      <c r="AD42" s="192"/>
      <c r="AE42" s="192"/>
      <c r="AF42" s="196"/>
      <c r="AG42" s="176">
        <f t="shared" si="2"/>
        <v>0</v>
      </c>
    </row>
    <row r="43" spans="1:33" ht="56.25" x14ac:dyDescent="0.3">
      <c r="A43" s="202" t="s">
        <v>227</v>
      </c>
      <c r="B43" s="192">
        <f>B44</f>
        <v>1799.6000000000001</v>
      </c>
      <c r="C43" s="192">
        <f t="shared" ref="C43:K43" si="12">C44</f>
        <v>390.73199999999997</v>
      </c>
      <c r="D43" s="192">
        <f t="shared" si="12"/>
        <v>320.79000000000002</v>
      </c>
      <c r="E43" s="192">
        <f t="shared" si="12"/>
        <v>320.79000000000002</v>
      </c>
      <c r="F43" s="192">
        <f t="shared" si="12"/>
        <v>17.825627917314961</v>
      </c>
      <c r="G43" s="192">
        <f t="shared" si="12"/>
        <v>82.099751236141401</v>
      </c>
      <c r="H43" s="192">
        <f t="shared" si="12"/>
        <v>341.666</v>
      </c>
      <c r="I43" s="192">
        <f t="shared" si="12"/>
        <v>320.79000000000002</v>
      </c>
      <c r="J43" s="192">
        <f t="shared" si="12"/>
        <v>49.066000000000003</v>
      </c>
      <c r="K43" s="192">
        <f t="shared" si="12"/>
        <v>89.85</v>
      </c>
      <c r="L43" s="192"/>
      <c r="M43" s="193"/>
      <c r="N43" s="192"/>
      <c r="O43" s="193"/>
      <c r="P43" s="192"/>
      <c r="Q43" s="193"/>
      <c r="R43" s="192"/>
      <c r="S43" s="193"/>
      <c r="T43" s="192"/>
      <c r="U43" s="193"/>
      <c r="V43" s="192"/>
      <c r="W43" s="193"/>
      <c r="X43" s="192"/>
      <c r="Y43" s="193"/>
      <c r="Z43" s="192"/>
      <c r="AA43" s="193"/>
      <c r="AB43" s="192"/>
      <c r="AC43" s="193"/>
      <c r="AD43" s="192"/>
      <c r="AE43" s="195"/>
      <c r="AF43" s="196"/>
      <c r="AG43" s="176">
        <f t="shared" si="2"/>
        <v>-1408.8680000000002</v>
      </c>
    </row>
    <row r="44" spans="1:33" s="178" customFormat="1" x14ac:dyDescent="0.3">
      <c r="A44" s="197" t="s">
        <v>31</v>
      </c>
      <c r="B44" s="198">
        <f>B45+B46+B47+B48</f>
        <v>1799.6000000000001</v>
      </c>
      <c r="C44" s="198">
        <f>C45+C46+C47+C48</f>
        <v>390.73199999999997</v>
      </c>
      <c r="D44" s="198">
        <f>D45+D46+D47+D48</f>
        <v>320.79000000000002</v>
      </c>
      <c r="E44" s="198">
        <f>E45+E46+E47+E48</f>
        <v>320.79000000000002</v>
      </c>
      <c r="F44" s="199">
        <f>F45+F46+F47+F48</f>
        <v>17.825627917314961</v>
      </c>
      <c r="G44" s="199">
        <f>E44/C44*100</f>
        <v>82.099751236141401</v>
      </c>
      <c r="H44" s="198">
        <f>H45+H46+H47+H48</f>
        <v>341.666</v>
      </c>
      <c r="I44" s="198">
        <f>I45+I46+I47+I48</f>
        <v>320.79000000000002</v>
      </c>
      <c r="J44" s="198">
        <f>J45+J46+J47+J48</f>
        <v>49.066000000000003</v>
      </c>
      <c r="K44" s="198">
        <f>K45+K46+K47+K48</f>
        <v>89.85</v>
      </c>
      <c r="L44" s="198">
        <f>L45+L46+L47+L48</f>
        <v>308.96600000000001</v>
      </c>
      <c r="M44" s="198"/>
      <c r="N44" s="198">
        <f>N45+N46+N47+N48</f>
        <v>108.26600000000001</v>
      </c>
      <c r="O44" s="198"/>
      <c r="P44" s="198">
        <f>P45+P46+P47+P48</f>
        <v>254.96600000000001</v>
      </c>
      <c r="Q44" s="198"/>
      <c r="R44" s="198">
        <f>R45+R46+R47+R48</f>
        <v>376.76600000000002</v>
      </c>
      <c r="S44" s="198"/>
      <c r="T44" s="198">
        <f>T45+T46+T47+T48</f>
        <v>49.066000000000003</v>
      </c>
      <c r="U44" s="198"/>
      <c r="V44" s="198">
        <f>V45+V46+V47+V48</f>
        <v>49.066000000000003</v>
      </c>
      <c r="W44" s="198"/>
      <c r="X44" s="198">
        <f>X45+X46+X47+X48</f>
        <v>89.066000000000003</v>
      </c>
      <c r="Y44" s="198"/>
      <c r="Z44" s="198">
        <f>Z45+Z46+Z47+Z48</f>
        <v>49.066000000000003</v>
      </c>
      <c r="AA44" s="198"/>
      <c r="AB44" s="198">
        <f>AB45+AB46+AB47+AB48</f>
        <v>63.066000000000003</v>
      </c>
      <c r="AC44" s="198"/>
      <c r="AD44" s="198">
        <f>AD45+AD46+AD47+AD48</f>
        <v>60.573999999999998</v>
      </c>
      <c r="AE44" s="198"/>
      <c r="AF44" s="196"/>
      <c r="AG44" s="176">
        <f t="shared" si="2"/>
        <v>0</v>
      </c>
    </row>
    <row r="45" spans="1:33" x14ac:dyDescent="0.3">
      <c r="A45" s="200" t="s">
        <v>169</v>
      </c>
      <c r="B45" s="192">
        <f>H45+J45+L45+N45+P45+R45+T45+V45+X45+Z45+AB45+AD45</f>
        <v>0</v>
      </c>
      <c r="C45" s="192">
        <f>H45+J45</f>
        <v>0</v>
      </c>
      <c r="D45" s="192">
        <f t="shared" si="11"/>
        <v>0</v>
      </c>
      <c r="E45" s="192">
        <v>0</v>
      </c>
      <c r="F45" s="194">
        <v>0</v>
      </c>
      <c r="G45" s="194">
        <v>0</v>
      </c>
      <c r="H45" s="192">
        <v>0</v>
      </c>
      <c r="I45" s="192">
        <v>0</v>
      </c>
      <c r="J45" s="192">
        <v>0</v>
      </c>
      <c r="K45" s="192">
        <v>0</v>
      </c>
      <c r="L45" s="192"/>
      <c r="M45" s="192"/>
      <c r="N45" s="192"/>
      <c r="O45" s="192"/>
      <c r="P45" s="192"/>
      <c r="Q45" s="192"/>
      <c r="R45" s="192"/>
      <c r="S45" s="192"/>
      <c r="T45" s="192"/>
      <c r="U45" s="192"/>
      <c r="V45" s="192"/>
      <c r="W45" s="192"/>
      <c r="X45" s="192"/>
      <c r="Y45" s="192"/>
      <c r="Z45" s="192"/>
      <c r="AA45" s="192"/>
      <c r="AB45" s="192"/>
      <c r="AC45" s="192"/>
      <c r="AD45" s="192"/>
      <c r="AE45" s="192"/>
      <c r="AF45" s="196"/>
      <c r="AG45" s="176">
        <f t="shared" si="2"/>
        <v>0</v>
      </c>
    </row>
    <row r="46" spans="1:33" x14ac:dyDescent="0.3">
      <c r="A46" s="200" t="s">
        <v>32</v>
      </c>
      <c r="B46" s="192">
        <f>H46+J46+L46+N46+P46+R46+T46+V46+X46+Z46+AB46+AD46</f>
        <v>0</v>
      </c>
      <c r="C46" s="192">
        <f>H46+J46</f>
        <v>0</v>
      </c>
      <c r="D46" s="192">
        <f t="shared" si="11"/>
        <v>0</v>
      </c>
      <c r="E46" s="192">
        <v>0</v>
      </c>
      <c r="F46" s="194">
        <v>0</v>
      </c>
      <c r="G46" s="194">
        <v>0</v>
      </c>
      <c r="H46" s="192">
        <v>0</v>
      </c>
      <c r="I46" s="192">
        <v>0</v>
      </c>
      <c r="J46" s="192">
        <v>0</v>
      </c>
      <c r="K46" s="192">
        <v>0</v>
      </c>
      <c r="L46" s="192"/>
      <c r="M46" s="192"/>
      <c r="N46" s="192"/>
      <c r="O46" s="192"/>
      <c r="P46" s="192"/>
      <c r="Q46" s="192"/>
      <c r="R46" s="192"/>
      <c r="S46" s="192"/>
      <c r="T46" s="192"/>
      <c r="U46" s="192"/>
      <c r="V46" s="192"/>
      <c r="W46" s="192"/>
      <c r="X46" s="192"/>
      <c r="Y46" s="192"/>
      <c r="Z46" s="192"/>
      <c r="AA46" s="192"/>
      <c r="AB46" s="192"/>
      <c r="AC46" s="192"/>
      <c r="AD46" s="192"/>
      <c r="AE46" s="192"/>
      <c r="AF46" s="196"/>
      <c r="AG46" s="176">
        <f t="shared" si="2"/>
        <v>0</v>
      </c>
    </row>
    <row r="47" spans="1:33" x14ac:dyDescent="0.3">
      <c r="A47" s="200" t="s">
        <v>33</v>
      </c>
      <c r="B47" s="192">
        <f>H47+J47+L47+N47+P47+R47+T47+V47+X47+Z47+AB47+AD47</f>
        <v>1799.6000000000001</v>
      </c>
      <c r="C47" s="192">
        <f>H47+J47</f>
        <v>390.73199999999997</v>
      </c>
      <c r="D47" s="201">
        <f>E47</f>
        <v>320.79000000000002</v>
      </c>
      <c r="E47" s="193">
        <f>I47</f>
        <v>320.79000000000002</v>
      </c>
      <c r="F47" s="194">
        <f>E47/B47*100</f>
        <v>17.825627917314961</v>
      </c>
      <c r="G47" s="194">
        <f>E47/C47*100</f>
        <v>82.099751236141401</v>
      </c>
      <c r="H47" s="192">
        <v>341.666</v>
      </c>
      <c r="I47" s="192">
        <v>320.79000000000002</v>
      </c>
      <c r="J47" s="192">
        <v>49.066000000000003</v>
      </c>
      <c r="K47" s="192">
        <v>89.85</v>
      </c>
      <c r="L47" s="192">
        <v>308.96600000000001</v>
      </c>
      <c r="M47" s="192"/>
      <c r="N47" s="192">
        <v>108.26600000000001</v>
      </c>
      <c r="O47" s="192"/>
      <c r="P47" s="192">
        <v>254.96600000000001</v>
      </c>
      <c r="Q47" s="192"/>
      <c r="R47" s="192">
        <v>376.76600000000002</v>
      </c>
      <c r="S47" s="192"/>
      <c r="T47" s="192">
        <v>49.066000000000003</v>
      </c>
      <c r="U47" s="192"/>
      <c r="V47" s="192">
        <v>49.066000000000003</v>
      </c>
      <c r="W47" s="192"/>
      <c r="X47" s="192">
        <v>89.066000000000003</v>
      </c>
      <c r="Y47" s="192"/>
      <c r="Z47" s="192">
        <v>49.066000000000003</v>
      </c>
      <c r="AA47" s="192"/>
      <c r="AB47" s="192">
        <v>63.066000000000003</v>
      </c>
      <c r="AC47" s="192"/>
      <c r="AD47" s="192">
        <v>60.573999999999998</v>
      </c>
      <c r="AE47" s="192"/>
      <c r="AF47" s="196"/>
      <c r="AG47" s="176">
        <f t="shared" si="2"/>
        <v>0</v>
      </c>
    </row>
    <row r="48" spans="1:33" x14ac:dyDescent="0.3">
      <c r="A48" s="200" t="s">
        <v>221</v>
      </c>
      <c r="B48" s="192">
        <f>H48+J48+L48+N48+P48+R48+T48+V48+X48+Z48+AB48+AD48</f>
        <v>0</v>
      </c>
      <c r="C48" s="192">
        <f>H48+J48</f>
        <v>0</v>
      </c>
      <c r="D48" s="192">
        <f t="shared" si="11"/>
        <v>0</v>
      </c>
      <c r="E48" s="192">
        <v>0</v>
      </c>
      <c r="F48" s="194">
        <v>0</v>
      </c>
      <c r="G48" s="194">
        <v>0</v>
      </c>
      <c r="H48" s="192">
        <v>0</v>
      </c>
      <c r="I48" s="192">
        <v>0</v>
      </c>
      <c r="J48" s="192">
        <v>0</v>
      </c>
      <c r="K48" s="192">
        <v>0</v>
      </c>
      <c r="L48" s="192"/>
      <c r="M48" s="192"/>
      <c r="N48" s="192"/>
      <c r="O48" s="192"/>
      <c r="P48" s="192"/>
      <c r="Q48" s="192"/>
      <c r="R48" s="192"/>
      <c r="S48" s="192"/>
      <c r="T48" s="192"/>
      <c r="U48" s="192"/>
      <c r="V48" s="192"/>
      <c r="W48" s="192"/>
      <c r="X48" s="192"/>
      <c r="Y48" s="192"/>
      <c r="Z48" s="192"/>
      <c r="AA48" s="192"/>
      <c r="AB48" s="192"/>
      <c r="AC48" s="192"/>
      <c r="AD48" s="192"/>
      <c r="AE48" s="192"/>
      <c r="AF48" s="196"/>
      <c r="AG48" s="176">
        <f t="shared" si="2"/>
        <v>0</v>
      </c>
    </row>
    <row r="49" spans="1:33" ht="56.25" x14ac:dyDescent="0.3">
      <c r="A49" s="202" t="s">
        <v>228</v>
      </c>
      <c r="B49" s="192">
        <f>B50</f>
        <v>25206.400000000001</v>
      </c>
      <c r="C49" s="192">
        <f t="shared" ref="C49:K49" si="13">C50</f>
        <v>3809.875</v>
      </c>
      <c r="D49" s="192">
        <f t="shared" si="13"/>
        <v>1317.33</v>
      </c>
      <c r="E49" s="192">
        <f t="shared" si="13"/>
        <v>1317.33</v>
      </c>
      <c r="F49" s="192">
        <f t="shared" si="13"/>
        <v>5.2261727180398623</v>
      </c>
      <c r="G49" s="192">
        <f t="shared" si="13"/>
        <v>34.576724958167915</v>
      </c>
      <c r="H49" s="192">
        <f t="shared" si="13"/>
        <v>2223.1750000000002</v>
      </c>
      <c r="I49" s="192">
        <f t="shared" si="13"/>
        <v>1317.33</v>
      </c>
      <c r="J49" s="192">
        <f t="shared" si="13"/>
        <v>1586.6999999999998</v>
      </c>
      <c r="K49" s="192">
        <f t="shared" si="13"/>
        <v>691.57</v>
      </c>
      <c r="L49" s="192"/>
      <c r="M49" s="193"/>
      <c r="N49" s="192"/>
      <c r="O49" s="193"/>
      <c r="P49" s="192"/>
      <c r="Q49" s="193"/>
      <c r="R49" s="192"/>
      <c r="S49" s="193"/>
      <c r="T49" s="192"/>
      <c r="U49" s="193"/>
      <c r="V49" s="192"/>
      <c r="W49" s="193"/>
      <c r="X49" s="192"/>
      <c r="Y49" s="193"/>
      <c r="Z49" s="192"/>
      <c r="AA49" s="193"/>
      <c r="AB49" s="192"/>
      <c r="AC49" s="193"/>
      <c r="AD49" s="192"/>
      <c r="AE49" s="195"/>
      <c r="AF49" s="203"/>
      <c r="AG49" s="176">
        <f t="shared" si="2"/>
        <v>-21396.525000000001</v>
      </c>
    </row>
    <row r="50" spans="1:33" s="178" customFormat="1" x14ac:dyDescent="0.3">
      <c r="A50" s="197" t="s">
        <v>31</v>
      </c>
      <c r="B50" s="198">
        <f>B51+B52+B53+B54</f>
        <v>25206.400000000001</v>
      </c>
      <c r="C50" s="198">
        <f>C51+C52+C53+C54</f>
        <v>3809.875</v>
      </c>
      <c r="D50" s="198">
        <f>D51+D52+D53+D54</f>
        <v>1317.33</v>
      </c>
      <c r="E50" s="198">
        <f>E51+E52+E53+E54</f>
        <v>1317.33</v>
      </c>
      <c r="F50" s="199">
        <f>F51+F52+F53+F54</f>
        <v>5.2261727180398623</v>
      </c>
      <c r="G50" s="199">
        <f>E50/C50*100</f>
        <v>34.576724958167915</v>
      </c>
      <c r="H50" s="198">
        <f>H51+H52+H53+H54</f>
        <v>2223.1750000000002</v>
      </c>
      <c r="I50" s="198">
        <f>I51+I52+I53+I54</f>
        <v>1317.33</v>
      </c>
      <c r="J50" s="198">
        <f>J51+J52+J53+J54</f>
        <v>1586.6999999999998</v>
      </c>
      <c r="K50" s="198">
        <f>K51+K52+K53+K54</f>
        <v>691.57</v>
      </c>
      <c r="L50" s="198">
        <f>L51+L52+L53+L54</f>
        <v>699.9</v>
      </c>
      <c r="M50" s="198"/>
      <c r="N50" s="198">
        <f>N51+N52+N53+N54</f>
        <v>4043.8249999999998</v>
      </c>
      <c r="O50" s="198"/>
      <c r="P50" s="198">
        <f>P51+P52+P53+P54</f>
        <v>699.9</v>
      </c>
      <c r="Q50" s="198"/>
      <c r="R50" s="198">
        <f>R51+R52+R53+R54</f>
        <v>938.4</v>
      </c>
      <c r="S50" s="198"/>
      <c r="T50" s="198">
        <f>T51+T52+T53+T54</f>
        <v>4930.7250000000004</v>
      </c>
      <c r="U50" s="198"/>
      <c r="V50" s="198">
        <f>V51+V52+V53+V54</f>
        <v>699.9</v>
      </c>
      <c r="W50" s="198"/>
      <c r="X50" s="198">
        <f>X51+X52+X53+X54</f>
        <v>699.9</v>
      </c>
      <c r="Y50" s="198"/>
      <c r="Z50" s="198">
        <f>Z51+Z52+Z53+Z54</f>
        <v>2425.9749999999999</v>
      </c>
      <c r="AA50" s="198"/>
      <c r="AB50" s="198">
        <f>AB51+AB52+AB53+AB54</f>
        <v>699.9</v>
      </c>
      <c r="AC50" s="198"/>
      <c r="AD50" s="198">
        <f>AD51+AD52+AD53+AD54</f>
        <v>5558.1</v>
      </c>
      <c r="AE50" s="198"/>
      <c r="AF50" s="203"/>
      <c r="AG50" s="176">
        <f t="shared" si="2"/>
        <v>0</v>
      </c>
    </row>
    <row r="51" spans="1:33" x14ac:dyDescent="0.3">
      <c r="A51" s="200" t="s">
        <v>169</v>
      </c>
      <c r="B51" s="192">
        <f>H51+J51+L51+N51+P51+R51+T51+V51+X51+Z51+AB51+AD51</f>
        <v>0</v>
      </c>
      <c r="C51" s="192">
        <f>H51+J51</f>
        <v>0</v>
      </c>
      <c r="D51" s="192">
        <f t="shared" si="11"/>
        <v>0</v>
      </c>
      <c r="E51" s="192">
        <v>0</v>
      </c>
      <c r="F51" s="194">
        <v>0</v>
      </c>
      <c r="G51" s="194">
        <v>0</v>
      </c>
      <c r="H51" s="192">
        <v>0</v>
      </c>
      <c r="I51" s="192">
        <v>0</v>
      </c>
      <c r="J51" s="192">
        <v>0</v>
      </c>
      <c r="K51" s="192">
        <v>0</v>
      </c>
      <c r="L51" s="192"/>
      <c r="M51" s="192"/>
      <c r="N51" s="192"/>
      <c r="O51" s="192"/>
      <c r="P51" s="192"/>
      <c r="Q51" s="192"/>
      <c r="R51" s="192"/>
      <c r="S51" s="192"/>
      <c r="T51" s="192"/>
      <c r="U51" s="192"/>
      <c r="V51" s="192"/>
      <c r="W51" s="192"/>
      <c r="X51" s="192"/>
      <c r="Y51" s="192"/>
      <c r="Z51" s="192"/>
      <c r="AA51" s="192"/>
      <c r="AB51" s="192"/>
      <c r="AC51" s="192"/>
      <c r="AD51" s="192"/>
      <c r="AE51" s="192"/>
      <c r="AF51" s="203"/>
      <c r="AG51" s="176">
        <f t="shared" si="2"/>
        <v>0</v>
      </c>
    </row>
    <row r="52" spans="1:33" x14ac:dyDescent="0.3">
      <c r="A52" s="200" t="s">
        <v>32</v>
      </c>
      <c r="B52" s="192">
        <f>H52+J52+L52+N52+P52+R52+T52+V52+X52+Z52+AB52+AD52</f>
        <v>0</v>
      </c>
      <c r="C52" s="192">
        <f>H52+J52</f>
        <v>0</v>
      </c>
      <c r="D52" s="192">
        <f t="shared" si="11"/>
        <v>0</v>
      </c>
      <c r="E52" s="192">
        <v>0</v>
      </c>
      <c r="F52" s="194">
        <v>0</v>
      </c>
      <c r="G52" s="194">
        <v>0</v>
      </c>
      <c r="H52" s="192">
        <v>0</v>
      </c>
      <c r="I52" s="192">
        <v>0</v>
      </c>
      <c r="J52" s="192">
        <v>0</v>
      </c>
      <c r="K52" s="192">
        <v>0</v>
      </c>
      <c r="L52" s="192"/>
      <c r="M52" s="192"/>
      <c r="N52" s="192"/>
      <c r="O52" s="192"/>
      <c r="P52" s="192"/>
      <c r="Q52" s="192"/>
      <c r="R52" s="192"/>
      <c r="S52" s="192"/>
      <c r="T52" s="192"/>
      <c r="U52" s="192"/>
      <c r="V52" s="192"/>
      <c r="W52" s="192"/>
      <c r="X52" s="192"/>
      <c r="Y52" s="192"/>
      <c r="Z52" s="192"/>
      <c r="AA52" s="192"/>
      <c r="AB52" s="192"/>
      <c r="AC52" s="192"/>
      <c r="AD52" s="192"/>
      <c r="AE52" s="192"/>
      <c r="AF52" s="203"/>
      <c r="AG52" s="176">
        <f t="shared" si="2"/>
        <v>0</v>
      </c>
    </row>
    <row r="53" spans="1:33" x14ac:dyDescent="0.3">
      <c r="A53" s="200" t="s">
        <v>33</v>
      </c>
      <c r="B53" s="192">
        <f>H53+J53+L53+N53+P53+R53+T53+V53+X53+Z53+AB53+AD53</f>
        <v>25206.400000000001</v>
      </c>
      <c r="C53" s="192">
        <f>H53+J53</f>
        <v>3809.875</v>
      </c>
      <c r="D53" s="201">
        <f>E53</f>
        <v>1317.33</v>
      </c>
      <c r="E53" s="193">
        <f>I53</f>
        <v>1317.33</v>
      </c>
      <c r="F53" s="194">
        <f>E53/B53*100</f>
        <v>5.2261727180398623</v>
      </c>
      <c r="G53" s="194">
        <f>E53/C53*100</f>
        <v>34.576724958167915</v>
      </c>
      <c r="H53" s="192">
        <f>1523.275+699.9</f>
        <v>2223.1750000000002</v>
      </c>
      <c r="I53" s="192">
        <v>1317.33</v>
      </c>
      <c r="J53" s="192">
        <f>699.9+886.8</f>
        <v>1586.6999999999998</v>
      </c>
      <c r="K53" s="192">
        <v>691.57</v>
      </c>
      <c r="L53" s="192">
        <v>699.9</v>
      </c>
      <c r="M53" s="192"/>
      <c r="N53" s="192">
        <v>4043.8249999999998</v>
      </c>
      <c r="O53" s="192"/>
      <c r="P53" s="192">
        <v>699.9</v>
      </c>
      <c r="Q53" s="192"/>
      <c r="R53" s="192">
        <f>699.9+238.5</f>
        <v>938.4</v>
      </c>
      <c r="S53" s="192"/>
      <c r="T53" s="192">
        <v>4930.7250000000004</v>
      </c>
      <c r="U53" s="192"/>
      <c r="V53" s="192">
        <v>699.9</v>
      </c>
      <c r="W53" s="192"/>
      <c r="X53" s="192">
        <v>699.9</v>
      </c>
      <c r="Y53" s="192"/>
      <c r="Z53" s="192">
        <f>699.9+1726.075</f>
        <v>2425.9749999999999</v>
      </c>
      <c r="AA53" s="192"/>
      <c r="AB53" s="192">
        <v>699.9</v>
      </c>
      <c r="AC53" s="192"/>
      <c r="AD53" s="192">
        <v>5558.1</v>
      </c>
      <c r="AE53" s="192"/>
      <c r="AF53" s="203"/>
      <c r="AG53" s="176">
        <f t="shared" si="2"/>
        <v>0</v>
      </c>
    </row>
    <row r="54" spans="1:33" x14ac:dyDescent="0.3">
      <c r="A54" s="200" t="s">
        <v>221</v>
      </c>
      <c r="B54" s="192">
        <f>H54+J54+L54+N54+P54+R54+T54+V54+X54+Z54+AB54+AD54</f>
        <v>0</v>
      </c>
      <c r="C54" s="192">
        <f>H54</f>
        <v>0</v>
      </c>
      <c r="D54" s="192">
        <f t="shared" si="11"/>
        <v>0</v>
      </c>
      <c r="E54" s="192">
        <v>0</v>
      </c>
      <c r="F54" s="194">
        <v>0</v>
      </c>
      <c r="G54" s="194">
        <v>0</v>
      </c>
      <c r="H54" s="192">
        <v>0</v>
      </c>
      <c r="I54" s="192">
        <v>0</v>
      </c>
      <c r="J54" s="192">
        <v>0</v>
      </c>
      <c r="K54" s="192">
        <v>0</v>
      </c>
      <c r="L54" s="192"/>
      <c r="M54" s="192"/>
      <c r="N54" s="192"/>
      <c r="O54" s="192"/>
      <c r="P54" s="192"/>
      <c r="Q54" s="192"/>
      <c r="R54" s="192"/>
      <c r="S54" s="192"/>
      <c r="T54" s="192"/>
      <c r="U54" s="192"/>
      <c r="V54" s="192"/>
      <c r="W54" s="192"/>
      <c r="X54" s="192"/>
      <c r="Y54" s="192"/>
      <c r="Z54" s="192"/>
      <c r="AA54" s="192"/>
      <c r="AB54" s="192"/>
      <c r="AC54" s="192"/>
      <c r="AD54" s="192"/>
      <c r="AE54" s="192"/>
      <c r="AF54" s="203"/>
      <c r="AG54" s="176">
        <f t="shared" si="2"/>
        <v>0</v>
      </c>
    </row>
    <row r="55" spans="1:33" ht="37.5" x14ac:dyDescent="0.3">
      <c r="A55" s="202" t="s">
        <v>229</v>
      </c>
      <c r="B55" s="192">
        <f>B56</f>
        <v>2092.9</v>
      </c>
      <c r="C55" s="192">
        <f t="shared" ref="C55:K55" si="14">C56</f>
        <v>848.59999999999991</v>
      </c>
      <c r="D55" s="192">
        <f t="shared" si="14"/>
        <v>119.62</v>
      </c>
      <c r="E55" s="192">
        <f t="shared" si="14"/>
        <v>119.62</v>
      </c>
      <c r="F55" s="192">
        <f t="shared" si="14"/>
        <v>5.7155143580677521</v>
      </c>
      <c r="G55" s="192">
        <f t="shared" si="14"/>
        <v>14.096158378505777</v>
      </c>
      <c r="H55" s="192">
        <f t="shared" si="14"/>
        <v>428.9</v>
      </c>
      <c r="I55" s="192">
        <f t="shared" si="14"/>
        <v>119.62</v>
      </c>
      <c r="J55" s="192">
        <f t="shared" si="14"/>
        <v>419.7</v>
      </c>
      <c r="K55" s="192">
        <f t="shared" si="14"/>
        <v>118.54</v>
      </c>
      <c r="L55" s="192"/>
      <c r="M55" s="193"/>
      <c r="N55" s="192"/>
      <c r="O55" s="193"/>
      <c r="P55" s="192"/>
      <c r="Q55" s="193"/>
      <c r="R55" s="192"/>
      <c r="S55" s="193"/>
      <c r="T55" s="192"/>
      <c r="U55" s="193"/>
      <c r="V55" s="192"/>
      <c r="W55" s="193"/>
      <c r="X55" s="192"/>
      <c r="Y55" s="193"/>
      <c r="Z55" s="192"/>
      <c r="AA55" s="193"/>
      <c r="AB55" s="192"/>
      <c r="AC55" s="193"/>
      <c r="AD55" s="192"/>
      <c r="AE55" s="195"/>
      <c r="AF55" s="196"/>
      <c r="AG55" s="176">
        <f t="shared" si="2"/>
        <v>-1244.3000000000002</v>
      </c>
    </row>
    <row r="56" spans="1:33" s="178" customFormat="1" x14ac:dyDescent="0.3">
      <c r="A56" s="197" t="s">
        <v>31</v>
      </c>
      <c r="B56" s="198">
        <f>B57+B58+B59+B60</f>
        <v>2092.9</v>
      </c>
      <c r="C56" s="198">
        <f>C57+C58+C59+C60</f>
        <v>848.59999999999991</v>
      </c>
      <c r="D56" s="198">
        <f>D57+D58+D59+D60</f>
        <v>119.62</v>
      </c>
      <c r="E56" s="198">
        <f>E57+E58+E59+E60</f>
        <v>119.62</v>
      </c>
      <c r="F56" s="199">
        <f>F57+F58+F59+F60</f>
        <v>5.7155143580677521</v>
      </c>
      <c r="G56" s="199">
        <f>E56/C56*100</f>
        <v>14.096158378505777</v>
      </c>
      <c r="H56" s="198">
        <f>H57+H58+H59+H60</f>
        <v>428.9</v>
      </c>
      <c r="I56" s="198">
        <f>I57+I58+I59+I60</f>
        <v>119.62</v>
      </c>
      <c r="J56" s="198">
        <f>J57+J58+J59+J60</f>
        <v>419.7</v>
      </c>
      <c r="K56" s="198">
        <f>K57+K58+K59+K60</f>
        <v>118.54</v>
      </c>
      <c r="L56" s="198">
        <f>L57+L58+L59+L60</f>
        <v>87.5</v>
      </c>
      <c r="M56" s="198"/>
      <c r="N56" s="198">
        <f>N57+N58+N59+N60</f>
        <v>722</v>
      </c>
      <c r="O56" s="198"/>
      <c r="P56" s="198">
        <f>P57+P58+P59+P60</f>
        <v>31</v>
      </c>
      <c r="Q56" s="198"/>
      <c r="R56" s="198">
        <f>R57+R58+R59+R60</f>
        <v>1</v>
      </c>
      <c r="S56" s="198"/>
      <c r="T56" s="198">
        <f>T57+T58+T59+T60</f>
        <v>136.19999999999999</v>
      </c>
      <c r="U56" s="198"/>
      <c r="V56" s="198">
        <f>V57+V58+V59+V60</f>
        <v>0</v>
      </c>
      <c r="W56" s="198"/>
      <c r="X56" s="198">
        <f>X57+X58+X59+X60</f>
        <v>50</v>
      </c>
      <c r="Y56" s="198"/>
      <c r="Z56" s="198">
        <f>Z57+Z58+Z59+Z60</f>
        <v>69.400000000000006</v>
      </c>
      <c r="AA56" s="198"/>
      <c r="AB56" s="198">
        <f>AB57+AB58+AB59+AB60</f>
        <v>25</v>
      </c>
      <c r="AC56" s="198"/>
      <c r="AD56" s="198">
        <f>AD57+AD58+AD59+AD60</f>
        <v>122.2</v>
      </c>
      <c r="AE56" s="198"/>
      <c r="AF56" s="196"/>
      <c r="AG56" s="176">
        <f t="shared" si="2"/>
        <v>0</v>
      </c>
    </row>
    <row r="57" spans="1:33" x14ac:dyDescent="0.3">
      <c r="A57" s="200" t="s">
        <v>169</v>
      </c>
      <c r="B57" s="192">
        <f>H57+J57+L57+N57+P57+R57+T57+V57+X57+Z57+AB57+AD57</f>
        <v>0</v>
      </c>
      <c r="C57" s="192">
        <f>H57+J57</f>
        <v>0</v>
      </c>
      <c r="D57" s="192">
        <f t="shared" si="11"/>
        <v>0</v>
      </c>
      <c r="E57" s="192">
        <v>0</v>
      </c>
      <c r="F57" s="194">
        <v>0</v>
      </c>
      <c r="G57" s="194">
        <v>0</v>
      </c>
      <c r="H57" s="192">
        <v>0</v>
      </c>
      <c r="I57" s="192">
        <v>0</v>
      </c>
      <c r="J57" s="192">
        <v>0</v>
      </c>
      <c r="K57" s="192">
        <v>0</v>
      </c>
      <c r="L57" s="192"/>
      <c r="M57" s="192"/>
      <c r="N57" s="192"/>
      <c r="O57" s="192"/>
      <c r="P57" s="192"/>
      <c r="Q57" s="192"/>
      <c r="R57" s="192"/>
      <c r="S57" s="192"/>
      <c r="T57" s="192"/>
      <c r="U57" s="192"/>
      <c r="V57" s="192"/>
      <c r="W57" s="192"/>
      <c r="X57" s="192"/>
      <c r="Y57" s="192"/>
      <c r="Z57" s="192"/>
      <c r="AA57" s="192"/>
      <c r="AB57" s="192"/>
      <c r="AC57" s="192"/>
      <c r="AD57" s="192"/>
      <c r="AE57" s="192"/>
      <c r="AF57" s="196"/>
      <c r="AG57" s="176">
        <f t="shared" si="2"/>
        <v>0</v>
      </c>
    </row>
    <row r="58" spans="1:33" x14ac:dyDescent="0.3">
      <c r="A58" s="200" t="s">
        <v>32</v>
      </c>
      <c r="B58" s="192">
        <f>H58+J58+L58+N58+P58+R58+T58+V58+X58+Z58+AB58+AD58</f>
        <v>0</v>
      </c>
      <c r="C58" s="192">
        <f>H58+J58</f>
        <v>0</v>
      </c>
      <c r="D58" s="192">
        <f t="shared" si="11"/>
        <v>0</v>
      </c>
      <c r="E58" s="192">
        <v>0</v>
      </c>
      <c r="F58" s="194">
        <v>0</v>
      </c>
      <c r="G58" s="194">
        <v>0</v>
      </c>
      <c r="H58" s="192">
        <v>0</v>
      </c>
      <c r="I58" s="192">
        <v>0</v>
      </c>
      <c r="J58" s="192">
        <v>0</v>
      </c>
      <c r="K58" s="192">
        <v>0</v>
      </c>
      <c r="L58" s="192"/>
      <c r="M58" s="192"/>
      <c r="N58" s="192"/>
      <c r="O58" s="192"/>
      <c r="P58" s="192"/>
      <c r="Q58" s="192"/>
      <c r="R58" s="192"/>
      <c r="S58" s="192"/>
      <c r="T58" s="192"/>
      <c r="U58" s="192"/>
      <c r="V58" s="192"/>
      <c r="W58" s="192"/>
      <c r="X58" s="192"/>
      <c r="Y58" s="192"/>
      <c r="Z58" s="192"/>
      <c r="AA58" s="192"/>
      <c r="AB58" s="192"/>
      <c r="AC58" s="192"/>
      <c r="AD58" s="192"/>
      <c r="AE58" s="192"/>
      <c r="AF58" s="196"/>
      <c r="AG58" s="176">
        <f t="shared" si="2"/>
        <v>0</v>
      </c>
    </row>
    <row r="59" spans="1:33" x14ac:dyDescent="0.3">
      <c r="A59" s="200" t="s">
        <v>33</v>
      </c>
      <c r="B59" s="192">
        <f>H59+J59+L59+N59+P59+R59+T59+V59+X59+Z59+AB59+AD59</f>
        <v>2092.9</v>
      </c>
      <c r="C59" s="192">
        <f>H59+J59</f>
        <v>848.59999999999991</v>
      </c>
      <c r="D59" s="201">
        <f>E59</f>
        <v>119.62</v>
      </c>
      <c r="E59" s="193">
        <f>I59</f>
        <v>119.62</v>
      </c>
      <c r="F59" s="194">
        <f>E59/B59*100</f>
        <v>5.7155143580677521</v>
      </c>
      <c r="G59" s="194">
        <f>E59/C59*100</f>
        <v>14.096158378505777</v>
      </c>
      <c r="H59" s="192">
        <f>95.9+333</f>
        <v>428.9</v>
      </c>
      <c r="I59" s="192">
        <v>119.62</v>
      </c>
      <c r="J59" s="192">
        <v>419.7</v>
      </c>
      <c r="K59" s="192">
        <v>118.54</v>
      </c>
      <c r="L59" s="192">
        <v>87.5</v>
      </c>
      <c r="M59" s="192"/>
      <c r="N59" s="192">
        <v>722</v>
      </c>
      <c r="O59" s="192"/>
      <c r="P59" s="192">
        <v>31</v>
      </c>
      <c r="Q59" s="192"/>
      <c r="R59" s="192">
        <v>1</v>
      </c>
      <c r="S59" s="192"/>
      <c r="T59" s="192">
        <v>136.19999999999999</v>
      </c>
      <c r="U59" s="192"/>
      <c r="V59" s="192">
        <v>0</v>
      </c>
      <c r="W59" s="192"/>
      <c r="X59" s="192">
        <v>50</v>
      </c>
      <c r="Y59" s="192"/>
      <c r="Z59" s="192">
        <v>69.400000000000006</v>
      </c>
      <c r="AA59" s="192"/>
      <c r="AB59" s="192">
        <v>25</v>
      </c>
      <c r="AC59" s="192"/>
      <c r="AD59" s="192">
        <v>122.2</v>
      </c>
      <c r="AE59" s="192"/>
      <c r="AF59" s="196"/>
      <c r="AG59" s="176">
        <f t="shared" si="2"/>
        <v>0</v>
      </c>
    </row>
    <row r="60" spans="1:33" x14ac:dyDescent="0.3">
      <c r="A60" s="200" t="s">
        <v>221</v>
      </c>
      <c r="B60" s="192">
        <f>H60+J60+L60+N60+P60+R60+T60+V60+X60+Z60+AB60+AD60</f>
        <v>0</v>
      </c>
      <c r="C60" s="192">
        <f>H60+J60</f>
        <v>0</v>
      </c>
      <c r="D60" s="192">
        <f t="shared" si="11"/>
        <v>0</v>
      </c>
      <c r="E60" s="192">
        <v>0</v>
      </c>
      <c r="F60" s="194">
        <v>0</v>
      </c>
      <c r="G60" s="194">
        <v>0</v>
      </c>
      <c r="H60" s="192">
        <v>0</v>
      </c>
      <c r="I60" s="192">
        <v>0</v>
      </c>
      <c r="J60" s="192">
        <v>0</v>
      </c>
      <c r="K60" s="192">
        <v>0</v>
      </c>
      <c r="L60" s="192"/>
      <c r="M60" s="192"/>
      <c r="N60" s="192"/>
      <c r="O60" s="192"/>
      <c r="P60" s="192"/>
      <c r="Q60" s="192"/>
      <c r="R60" s="192"/>
      <c r="S60" s="192"/>
      <c r="T60" s="192"/>
      <c r="U60" s="192"/>
      <c r="V60" s="192"/>
      <c r="W60" s="192"/>
      <c r="X60" s="192"/>
      <c r="Y60" s="192"/>
      <c r="Z60" s="192"/>
      <c r="AA60" s="192"/>
      <c r="AB60" s="192"/>
      <c r="AC60" s="192"/>
      <c r="AD60" s="192"/>
      <c r="AE60" s="192"/>
      <c r="AF60" s="196"/>
      <c r="AG60" s="176">
        <f t="shared" si="2"/>
        <v>0</v>
      </c>
    </row>
    <row r="61" spans="1:33" s="178" customFormat="1" ht="75" x14ac:dyDescent="0.3">
      <c r="A61" s="204" t="s">
        <v>230</v>
      </c>
      <c r="B61" s="171">
        <f>B62</f>
        <v>771.07999999999993</v>
      </c>
      <c r="C61" s="171">
        <f>C62</f>
        <v>232.88</v>
      </c>
      <c r="D61" s="171">
        <f>D62</f>
        <v>0</v>
      </c>
      <c r="E61" s="173">
        <f>E62</f>
        <v>0</v>
      </c>
      <c r="F61" s="171">
        <v>0</v>
      </c>
      <c r="G61" s="171">
        <v>0</v>
      </c>
      <c r="H61" s="171">
        <f>H62</f>
        <v>227.4</v>
      </c>
      <c r="I61" s="173">
        <f>I62</f>
        <v>0</v>
      </c>
      <c r="J61" s="171">
        <f>J62</f>
        <v>5.48</v>
      </c>
      <c r="K61" s="171">
        <f>K62</f>
        <v>0</v>
      </c>
      <c r="L61" s="171">
        <f>L62</f>
        <v>95.2</v>
      </c>
      <c r="M61" s="173"/>
      <c r="N61" s="171">
        <f>N62</f>
        <v>0</v>
      </c>
      <c r="O61" s="173"/>
      <c r="P61" s="171">
        <f>P62</f>
        <v>242.8</v>
      </c>
      <c r="Q61" s="173"/>
      <c r="R61" s="171">
        <f>R62</f>
        <v>0</v>
      </c>
      <c r="S61" s="173"/>
      <c r="T61" s="171">
        <f>T62</f>
        <v>0</v>
      </c>
      <c r="U61" s="173"/>
      <c r="V61" s="171">
        <f>V62</f>
        <v>0</v>
      </c>
      <c r="W61" s="173"/>
      <c r="X61" s="171">
        <f>X62</f>
        <v>200.2</v>
      </c>
      <c r="Y61" s="173"/>
      <c r="Z61" s="171">
        <f>Z62</f>
        <v>0</v>
      </c>
      <c r="AA61" s="173"/>
      <c r="AB61" s="171">
        <f>AB62</f>
        <v>0</v>
      </c>
      <c r="AC61" s="173"/>
      <c r="AD61" s="171">
        <f>AD62</f>
        <v>0</v>
      </c>
      <c r="AE61" s="174"/>
      <c r="AF61" s="175"/>
      <c r="AG61" s="176">
        <f t="shared" si="2"/>
        <v>0</v>
      </c>
    </row>
    <row r="62" spans="1:33" s="178" customFormat="1" x14ac:dyDescent="0.3">
      <c r="A62" s="188" t="s">
        <v>31</v>
      </c>
      <c r="B62" s="171">
        <f>B63+B64+B65+B66</f>
        <v>771.07999999999993</v>
      </c>
      <c r="C62" s="171">
        <f>C63+C64+C65+C66</f>
        <v>232.88</v>
      </c>
      <c r="D62" s="171">
        <f>D63+D64+D65+D66</f>
        <v>0</v>
      </c>
      <c r="E62" s="171">
        <f>E63+E64+E65+E66</f>
        <v>0</v>
      </c>
      <c r="F62" s="171">
        <v>0</v>
      </c>
      <c r="G62" s="171">
        <v>0</v>
      </c>
      <c r="H62" s="171">
        <f>H63+H64+H65+H66</f>
        <v>227.4</v>
      </c>
      <c r="I62" s="171">
        <f>I63+I64+I65+I66</f>
        <v>0</v>
      </c>
      <c r="J62" s="171">
        <f>J63+J64+J65+J66</f>
        <v>5.48</v>
      </c>
      <c r="K62" s="171">
        <f>K63+K64+K65+K66</f>
        <v>0</v>
      </c>
      <c r="L62" s="171">
        <f>L63+L64+L65+L66</f>
        <v>95.2</v>
      </c>
      <c r="M62" s="171"/>
      <c r="N62" s="171">
        <f>N63+N64+N65+N66</f>
        <v>0</v>
      </c>
      <c r="O62" s="171"/>
      <c r="P62" s="171">
        <f>P63+P64+P65+P66</f>
        <v>242.8</v>
      </c>
      <c r="Q62" s="171"/>
      <c r="R62" s="171">
        <f>R63+R64+R65+R66</f>
        <v>0</v>
      </c>
      <c r="S62" s="171"/>
      <c r="T62" s="171">
        <f>T63+T64+T65+T66</f>
        <v>0</v>
      </c>
      <c r="U62" s="171"/>
      <c r="V62" s="171">
        <f>V63+V64+V65+V66</f>
        <v>0</v>
      </c>
      <c r="W62" s="171"/>
      <c r="X62" s="171">
        <f>X63+X64+X65+X66</f>
        <v>200.2</v>
      </c>
      <c r="Y62" s="171"/>
      <c r="Z62" s="171">
        <f>Z63+Z64+Z65+Z66</f>
        <v>0</v>
      </c>
      <c r="AA62" s="171"/>
      <c r="AB62" s="171">
        <f>AB63+AB64+AB65+AB66</f>
        <v>0</v>
      </c>
      <c r="AC62" s="171"/>
      <c r="AD62" s="171">
        <f>AD63+AD64+AD65+AD66</f>
        <v>0</v>
      </c>
      <c r="AE62" s="171"/>
      <c r="AF62" s="175"/>
      <c r="AG62" s="176">
        <f t="shared" si="2"/>
        <v>0</v>
      </c>
    </row>
    <row r="63" spans="1:33" x14ac:dyDescent="0.3">
      <c r="A63" s="179" t="s">
        <v>169</v>
      </c>
      <c r="B63" s="180">
        <f>H63+J63+L63+N63+P63+R63+T63+V63+X63+Z63+AB63+AD63</f>
        <v>0</v>
      </c>
      <c r="C63" s="180">
        <f>H63+J63</f>
        <v>0</v>
      </c>
      <c r="D63" s="180">
        <f t="shared" si="11"/>
        <v>0</v>
      </c>
      <c r="E63" s="180">
        <v>0</v>
      </c>
      <c r="F63" s="180">
        <v>0</v>
      </c>
      <c r="G63" s="180">
        <v>0</v>
      </c>
      <c r="H63" s="180">
        <v>0</v>
      </c>
      <c r="I63" s="180">
        <v>0</v>
      </c>
      <c r="J63" s="180">
        <v>0</v>
      </c>
      <c r="K63" s="180">
        <v>0</v>
      </c>
      <c r="L63" s="180"/>
      <c r="M63" s="180"/>
      <c r="N63" s="180"/>
      <c r="O63" s="180"/>
      <c r="P63" s="180"/>
      <c r="Q63" s="180"/>
      <c r="R63" s="180"/>
      <c r="S63" s="180"/>
      <c r="T63" s="180"/>
      <c r="U63" s="180"/>
      <c r="V63" s="180"/>
      <c r="W63" s="180"/>
      <c r="X63" s="180"/>
      <c r="Y63" s="180"/>
      <c r="Z63" s="180"/>
      <c r="AA63" s="180"/>
      <c r="AB63" s="180"/>
      <c r="AC63" s="180"/>
      <c r="AD63" s="180"/>
      <c r="AE63" s="180"/>
      <c r="AF63" s="183"/>
      <c r="AG63" s="176">
        <f t="shared" si="2"/>
        <v>0</v>
      </c>
    </row>
    <row r="64" spans="1:33" x14ac:dyDescent="0.3">
      <c r="A64" s="179" t="s">
        <v>32</v>
      </c>
      <c r="B64" s="180">
        <f>H64+J64+L64+N64+P64+R64+T64+V64+X64+Z64+AB64+AD64</f>
        <v>0</v>
      </c>
      <c r="C64" s="180">
        <f>H64+J64</f>
        <v>0</v>
      </c>
      <c r="D64" s="180">
        <f t="shared" si="11"/>
        <v>0</v>
      </c>
      <c r="E64" s="180">
        <v>0</v>
      </c>
      <c r="F64" s="180">
        <v>0</v>
      </c>
      <c r="G64" s="180">
        <v>0</v>
      </c>
      <c r="H64" s="180">
        <v>0</v>
      </c>
      <c r="I64" s="180">
        <v>0</v>
      </c>
      <c r="J64" s="180">
        <v>0</v>
      </c>
      <c r="K64" s="180">
        <v>0</v>
      </c>
      <c r="L64" s="180"/>
      <c r="M64" s="180"/>
      <c r="N64" s="180"/>
      <c r="O64" s="180"/>
      <c r="P64" s="180"/>
      <c r="Q64" s="180"/>
      <c r="R64" s="180"/>
      <c r="S64" s="180"/>
      <c r="T64" s="180"/>
      <c r="U64" s="180"/>
      <c r="V64" s="180"/>
      <c r="W64" s="180"/>
      <c r="X64" s="180"/>
      <c r="Y64" s="180"/>
      <c r="Z64" s="180"/>
      <c r="AA64" s="180"/>
      <c r="AB64" s="180"/>
      <c r="AC64" s="180"/>
      <c r="AD64" s="180"/>
      <c r="AE64" s="180"/>
      <c r="AF64" s="183"/>
      <c r="AG64" s="176">
        <f t="shared" si="2"/>
        <v>0</v>
      </c>
    </row>
    <row r="65" spans="1:33" x14ac:dyDescent="0.3">
      <c r="A65" s="179" t="s">
        <v>33</v>
      </c>
      <c r="B65" s="180">
        <f>H65+J65+L65+N65+P65+R65+T65+V65+X65+Z65+AB65+AD65</f>
        <v>771.07999999999993</v>
      </c>
      <c r="C65" s="180">
        <f>H65+J65</f>
        <v>232.88</v>
      </c>
      <c r="D65" s="181">
        <f>E65</f>
        <v>0</v>
      </c>
      <c r="E65" s="182">
        <f>I65</f>
        <v>0</v>
      </c>
      <c r="F65" s="180">
        <f>E65/B65*100</f>
        <v>0</v>
      </c>
      <c r="G65" s="180">
        <v>0</v>
      </c>
      <c r="H65" s="180">
        <v>227.4</v>
      </c>
      <c r="I65" s="180">
        <v>0</v>
      </c>
      <c r="J65" s="180">
        <v>5.48</v>
      </c>
      <c r="K65" s="180">
        <v>0</v>
      </c>
      <c r="L65" s="180">
        <v>95.2</v>
      </c>
      <c r="M65" s="180"/>
      <c r="N65" s="180"/>
      <c r="O65" s="180"/>
      <c r="P65" s="180">
        <v>242.8</v>
      </c>
      <c r="Q65" s="180"/>
      <c r="R65" s="180"/>
      <c r="S65" s="180"/>
      <c r="T65" s="180"/>
      <c r="U65" s="180"/>
      <c r="V65" s="180"/>
      <c r="W65" s="180"/>
      <c r="X65" s="180">
        <v>200.2</v>
      </c>
      <c r="Y65" s="180"/>
      <c r="Z65" s="180"/>
      <c r="AA65" s="180"/>
      <c r="AB65" s="180"/>
      <c r="AC65" s="180"/>
      <c r="AD65" s="180"/>
      <c r="AE65" s="180"/>
      <c r="AF65" s="183"/>
      <c r="AG65" s="176">
        <f t="shared" si="2"/>
        <v>0</v>
      </c>
    </row>
    <row r="66" spans="1:33" x14ac:dyDescent="0.3">
      <c r="A66" s="179" t="s">
        <v>221</v>
      </c>
      <c r="B66" s="180">
        <f>H66+J66+L66+N66+P66+R66+T66+V66+X66+Z66+AB66+AD66</f>
        <v>0</v>
      </c>
      <c r="C66" s="180">
        <f>H66+J66</f>
        <v>0</v>
      </c>
      <c r="D66" s="180">
        <f t="shared" si="11"/>
        <v>0</v>
      </c>
      <c r="E66" s="180">
        <v>0</v>
      </c>
      <c r="F66" s="180">
        <v>0</v>
      </c>
      <c r="G66" s="180">
        <v>0</v>
      </c>
      <c r="H66" s="180">
        <v>0</v>
      </c>
      <c r="I66" s="180">
        <v>0</v>
      </c>
      <c r="J66" s="180">
        <v>0</v>
      </c>
      <c r="K66" s="180">
        <v>0</v>
      </c>
      <c r="L66" s="180"/>
      <c r="M66" s="180"/>
      <c r="N66" s="180"/>
      <c r="O66" s="180"/>
      <c r="P66" s="180"/>
      <c r="Q66" s="180"/>
      <c r="R66" s="180"/>
      <c r="S66" s="180"/>
      <c r="T66" s="180"/>
      <c r="U66" s="180"/>
      <c r="V66" s="180"/>
      <c r="W66" s="180"/>
      <c r="X66" s="180"/>
      <c r="Y66" s="180"/>
      <c r="Z66" s="180"/>
      <c r="AA66" s="180"/>
      <c r="AB66" s="180"/>
      <c r="AC66" s="180"/>
      <c r="AD66" s="180"/>
      <c r="AE66" s="180"/>
      <c r="AF66" s="183"/>
      <c r="AG66" s="176">
        <f t="shared" si="2"/>
        <v>0</v>
      </c>
    </row>
    <row r="67" spans="1:33" s="178" customFormat="1" ht="75" x14ac:dyDescent="0.3">
      <c r="A67" s="204" t="s">
        <v>231</v>
      </c>
      <c r="B67" s="171">
        <f>B68</f>
        <v>118788.89699999998</v>
      </c>
      <c r="C67" s="171">
        <f>C68</f>
        <v>25594.866000000002</v>
      </c>
      <c r="D67" s="171">
        <f>D68</f>
        <v>8722.14</v>
      </c>
      <c r="E67" s="171">
        <f>E68</f>
        <v>8722.14</v>
      </c>
      <c r="F67" s="171">
        <f>E67/B67*100</f>
        <v>7.3425549190847361</v>
      </c>
      <c r="G67" s="171">
        <f>E67/C67*100</f>
        <v>34.077693549948648</v>
      </c>
      <c r="H67" s="171">
        <f>H68</f>
        <v>15363.626</v>
      </c>
      <c r="I67" s="171">
        <f>I68</f>
        <v>8722.14</v>
      </c>
      <c r="J67" s="171">
        <f t="shared" ref="J67:AD67" si="15">J68</f>
        <v>10231.24</v>
      </c>
      <c r="K67" s="171">
        <f>K68</f>
        <v>10924.62</v>
      </c>
      <c r="L67" s="171">
        <f t="shared" si="15"/>
        <v>8238.3040000000001</v>
      </c>
      <c r="M67" s="171"/>
      <c r="N67" s="171">
        <f t="shared" si="15"/>
        <v>11698.712</v>
      </c>
      <c r="O67" s="171"/>
      <c r="P67" s="171">
        <f t="shared" si="15"/>
        <v>9179.1959999999999</v>
      </c>
      <c r="Q67" s="171"/>
      <c r="R67" s="171">
        <f t="shared" si="15"/>
        <v>7993.1729999999998</v>
      </c>
      <c r="S67" s="171"/>
      <c r="T67" s="171">
        <f t="shared" si="15"/>
        <v>11436.621999999999</v>
      </c>
      <c r="U67" s="171"/>
      <c r="V67" s="171">
        <f t="shared" si="15"/>
        <v>8819.4140000000007</v>
      </c>
      <c r="W67" s="171"/>
      <c r="X67" s="171">
        <f t="shared" si="15"/>
        <v>7971.4210000000003</v>
      </c>
      <c r="Y67" s="171"/>
      <c r="Z67" s="171">
        <f t="shared" si="15"/>
        <v>11918.214</v>
      </c>
      <c r="AA67" s="171"/>
      <c r="AB67" s="171">
        <f t="shared" si="15"/>
        <v>8964.8549999999996</v>
      </c>
      <c r="AC67" s="171"/>
      <c r="AD67" s="171">
        <f t="shared" si="15"/>
        <v>6974.12</v>
      </c>
      <c r="AE67" s="171"/>
      <c r="AF67" s="205"/>
      <c r="AG67" s="176">
        <f t="shared" si="2"/>
        <v>0</v>
      </c>
    </row>
    <row r="68" spans="1:33" s="178" customFormat="1" x14ac:dyDescent="0.3">
      <c r="A68" s="188" t="s">
        <v>31</v>
      </c>
      <c r="B68" s="171">
        <f>B69+B70+B71+B72</f>
        <v>118788.89699999998</v>
      </c>
      <c r="C68" s="171">
        <f>C69+C70+C71+C72</f>
        <v>25594.866000000002</v>
      </c>
      <c r="D68" s="171">
        <f>D69+D70+D71+D72</f>
        <v>8722.14</v>
      </c>
      <c r="E68" s="171">
        <f>E69+E70+E71+E72</f>
        <v>8722.14</v>
      </c>
      <c r="F68" s="171">
        <f>F69+F70+F71+F72</f>
        <v>7.3425549190847361</v>
      </c>
      <c r="G68" s="171">
        <f>E68/C68*100</f>
        <v>34.077693549948648</v>
      </c>
      <c r="H68" s="171">
        <f>H69+H70+H71+H72</f>
        <v>15363.626</v>
      </c>
      <c r="I68" s="171">
        <f>I69+I70+I71+I72</f>
        <v>8722.14</v>
      </c>
      <c r="J68" s="171">
        <f t="shared" ref="J68:AD68" si="16">J69+J70+J71+J72</f>
        <v>10231.24</v>
      </c>
      <c r="K68" s="171">
        <f>K69+K70+K71+K72</f>
        <v>10924.62</v>
      </c>
      <c r="L68" s="171">
        <f t="shared" si="16"/>
        <v>8238.3040000000001</v>
      </c>
      <c r="M68" s="171"/>
      <c r="N68" s="171">
        <f t="shared" si="16"/>
        <v>11698.712</v>
      </c>
      <c r="O68" s="171"/>
      <c r="P68" s="171">
        <f t="shared" si="16"/>
        <v>9179.1959999999999</v>
      </c>
      <c r="Q68" s="171"/>
      <c r="R68" s="171">
        <f t="shared" si="16"/>
        <v>7993.1729999999998</v>
      </c>
      <c r="S68" s="171"/>
      <c r="T68" s="171">
        <f t="shared" si="16"/>
        <v>11436.621999999999</v>
      </c>
      <c r="U68" s="171"/>
      <c r="V68" s="171">
        <f t="shared" si="16"/>
        <v>8819.4140000000007</v>
      </c>
      <c r="W68" s="171"/>
      <c r="X68" s="171">
        <f>X69+X70+X71+X72</f>
        <v>7971.4210000000003</v>
      </c>
      <c r="Y68" s="171"/>
      <c r="Z68" s="171">
        <f t="shared" si="16"/>
        <v>11918.214</v>
      </c>
      <c r="AA68" s="171"/>
      <c r="AB68" s="171">
        <f t="shared" si="16"/>
        <v>8964.8549999999996</v>
      </c>
      <c r="AC68" s="171"/>
      <c r="AD68" s="171">
        <f t="shared" si="16"/>
        <v>6974.12</v>
      </c>
      <c r="AE68" s="171"/>
      <c r="AF68" s="205"/>
      <c r="AG68" s="176">
        <f t="shared" si="2"/>
        <v>0</v>
      </c>
    </row>
    <row r="69" spans="1:33" x14ac:dyDescent="0.3">
      <c r="A69" s="179" t="s">
        <v>169</v>
      </c>
      <c r="B69" s="180">
        <f>H69+J69+L69+N69+P69+R69+T69+V69+X69+Z69+AB69+AD69</f>
        <v>0</v>
      </c>
      <c r="C69" s="180">
        <f>H69+J69</f>
        <v>0</v>
      </c>
      <c r="D69" s="180">
        <f>E69</f>
        <v>0</v>
      </c>
      <c r="E69" s="180">
        <v>0</v>
      </c>
      <c r="F69" s="180">
        <v>0</v>
      </c>
      <c r="G69" s="180">
        <v>0</v>
      </c>
      <c r="H69" s="180">
        <v>0</v>
      </c>
      <c r="I69" s="180">
        <v>0</v>
      </c>
      <c r="J69" s="180">
        <v>0</v>
      </c>
      <c r="K69" s="180">
        <v>0</v>
      </c>
      <c r="L69" s="180"/>
      <c r="M69" s="180"/>
      <c r="N69" s="180"/>
      <c r="O69" s="180"/>
      <c r="P69" s="180"/>
      <c r="Q69" s="180"/>
      <c r="R69" s="180"/>
      <c r="S69" s="180"/>
      <c r="T69" s="180"/>
      <c r="U69" s="180"/>
      <c r="V69" s="180"/>
      <c r="W69" s="180"/>
      <c r="X69" s="180"/>
      <c r="Y69" s="180"/>
      <c r="Z69" s="180"/>
      <c r="AA69" s="180"/>
      <c r="AB69" s="180"/>
      <c r="AC69" s="180"/>
      <c r="AD69" s="180"/>
      <c r="AE69" s="180"/>
      <c r="AF69" s="206"/>
      <c r="AG69" s="176">
        <f t="shared" si="2"/>
        <v>0</v>
      </c>
    </row>
    <row r="70" spans="1:33" x14ac:dyDescent="0.3">
      <c r="A70" s="179" t="s">
        <v>32</v>
      </c>
      <c r="B70" s="180">
        <f>H70+J70+L70+N70+P70+R70+T70+V70+X70+Z70+AB70+AD70</f>
        <v>0</v>
      </c>
      <c r="C70" s="180">
        <f>H70+J70</f>
        <v>0</v>
      </c>
      <c r="D70" s="180">
        <f t="shared" si="11"/>
        <v>0</v>
      </c>
      <c r="E70" s="180">
        <v>0</v>
      </c>
      <c r="F70" s="180">
        <v>0</v>
      </c>
      <c r="G70" s="180">
        <v>0</v>
      </c>
      <c r="H70" s="180">
        <v>0</v>
      </c>
      <c r="I70" s="180">
        <v>0</v>
      </c>
      <c r="J70" s="180">
        <v>0</v>
      </c>
      <c r="K70" s="180">
        <v>0</v>
      </c>
      <c r="L70" s="180"/>
      <c r="M70" s="180"/>
      <c r="N70" s="180"/>
      <c r="O70" s="180"/>
      <c r="P70" s="180"/>
      <c r="Q70" s="180"/>
      <c r="R70" s="180"/>
      <c r="S70" s="180"/>
      <c r="T70" s="180"/>
      <c r="U70" s="180"/>
      <c r="V70" s="180"/>
      <c r="W70" s="180"/>
      <c r="X70" s="180"/>
      <c r="Y70" s="180"/>
      <c r="Z70" s="180"/>
      <c r="AA70" s="180"/>
      <c r="AB70" s="180"/>
      <c r="AC70" s="180"/>
      <c r="AD70" s="180"/>
      <c r="AE70" s="180"/>
      <c r="AF70" s="206"/>
      <c r="AG70" s="176">
        <f t="shared" si="2"/>
        <v>0</v>
      </c>
    </row>
    <row r="71" spans="1:33" x14ac:dyDescent="0.3">
      <c r="A71" s="179" t="s">
        <v>33</v>
      </c>
      <c r="B71" s="180">
        <f>H71+J71+L71+N71+P71+R71+T71+V71+X71+Z71+AB71+AD71</f>
        <v>118788.89699999998</v>
      </c>
      <c r="C71" s="180">
        <f>H71+J71</f>
        <v>25594.866000000002</v>
      </c>
      <c r="D71" s="181">
        <f>E71</f>
        <v>8722.14</v>
      </c>
      <c r="E71" s="182">
        <f>I71</f>
        <v>8722.14</v>
      </c>
      <c r="F71" s="180">
        <f>E71/B71*100</f>
        <v>7.3425549190847361</v>
      </c>
      <c r="G71" s="180">
        <f>E71/C71*100</f>
        <v>34.077693549948648</v>
      </c>
      <c r="H71" s="180">
        <v>15363.626</v>
      </c>
      <c r="I71" s="180">
        <v>8722.14</v>
      </c>
      <c r="J71" s="180">
        <v>10231.24</v>
      </c>
      <c r="K71" s="180">
        <v>10924.62</v>
      </c>
      <c r="L71" s="180">
        <v>8238.3040000000001</v>
      </c>
      <c r="M71" s="180"/>
      <c r="N71" s="180">
        <v>11698.712</v>
      </c>
      <c r="O71" s="180"/>
      <c r="P71" s="180">
        <v>9179.1959999999999</v>
      </c>
      <c r="Q71" s="180"/>
      <c r="R71" s="180">
        <v>7993.1729999999998</v>
      </c>
      <c r="S71" s="180"/>
      <c r="T71" s="180">
        <v>11436.621999999999</v>
      </c>
      <c r="U71" s="180"/>
      <c r="V71" s="180">
        <v>8819.4140000000007</v>
      </c>
      <c r="W71" s="180"/>
      <c r="X71" s="180">
        <v>7971.4210000000003</v>
      </c>
      <c r="Y71" s="180"/>
      <c r="Z71" s="180">
        <v>11918.214</v>
      </c>
      <c r="AA71" s="180"/>
      <c r="AB71" s="180">
        <v>8964.8549999999996</v>
      </c>
      <c r="AC71" s="180"/>
      <c r="AD71" s="180">
        <v>6974.12</v>
      </c>
      <c r="AE71" s="180"/>
      <c r="AF71" s="206"/>
      <c r="AG71" s="176">
        <f t="shared" si="2"/>
        <v>0</v>
      </c>
    </row>
    <row r="72" spans="1:33" x14ac:dyDescent="0.3">
      <c r="A72" s="179" t="s">
        <v>221</v>
      </c>
      <c r="B72" s="180">
        <f>H72+J72+L72+N72+P72+R72+T72+V72+X72+Z72+AB72+AD72</f>
        <v>0</v>
      </c>
      <c r="C72" s="180">
        <f>H72+J72</f>
        <v>0</v>
      </c>
      <c r="D72" s="180">
        <f t="shared" si="11"/>
        <v>0</v>
      </c>
      <c r="E72" s="180">
        <v>0</v>
      </c>
      <c r="F72" s="180">
        <v>0</v>
      </c>
      <c r="G72" s="180">
        <v>0</v>
      </c>
      <c r="H72" s="180">
        <v>0</v>
      </c>
      <c r="I72" s="180">
        <v>0</v>
      </c>
      <c r="J72" s="180">
        <v>0</v>
      </c>
      <c r="K72" s="180">
        <v>0</v>
      </c>
      <c r="L72" s="180"/>
      <c r="M72" s="180"/>
      <c r="N72" s="180"/>
      <c r="O72" s="180"/>
      <c r="P72" s="180"/>
      <c r="Q72" s="180"/>
      <c r="R72" s="180"/>
      <c r="S72" s="180"/>
      <c r="T72" s="180"/>
      <c r="U72" s="180"/>
      <c r="V72" s="180"/>
      <c r="W72" s="180"/>
      <c r="X72" s="180"/>
      <c r="Y72" s="180"/>
      <c r="Z72" s="180"/>
      <c r="AA72" s="180"/>
      <c r="AB72" s="180"/>
      <c r="AC72" s="180"/>
      <c r="AD72" s="180"/>
      <c r="AE72" s="180"/>
      <c r="AF72" s="206"/>
      <c r="AG72" s="176">
        <f t="shared" si="2"/>
        <v>0</v>
      </c>
    </row>
    <row r="73" spans="1:33" s="178" customFormat="1" ht="56.25" x14ac:dyDescent="0.3">
      <c r="A73" s="207" t="s">
        <v>232</v>
      </c>
      <c r="B73" s="171">
        <f t="shared" ref="B73:AD73" si="17">B74</f>
        <v>8892.5040000000008</v>
      </c>
      <c r="C73" s="171">
        <f t="shared" si="17"/>
        <v>1962.2809999999999</v>
      </c>
      <c r="D73" s="171">
        <f>D74</f>
        <v>586.09</v>
      </c>
      <c r="E73" s="171">
        <f>E74</f>
        <v>586.09</v>
      </c>
      <c r="F73" s="171">
        <f>E73/B73*100</f>
        <v>6.5908320086220922</v>
      </c>
      <c r="G73" s="171">
        <f>E73/C73*100</f>
        <v>29.867791615981609</v>
      </c>
      <c r="H73" s="171">
        <f t="shared" si="17"/>
        <v>688.42100000000005</v>
      </c>
      <c r="I73" s="171">
        <f t="shared" si="17"/>
        <v>586.09</v>
      </c>
      <c r="J73" s="171">
        <f t="shared" si="17"/>
        <v>1073.8600000000001</v>
      </c>
      <c r="K73" s="171">
        <f>K74</f>
        <v>981.59</v>
      </c>
      <c r="L73" s="171">
        <f t="shared" si="17"/>
        <v>355.8</v>
      </c>
      <c r="M73" s="171"/>
      <c r="N73" s="171">
        <f t="shared" si="17"/>
        <v>755.70799999999997</v>
      </c>
      <c r="O73" s="171"/>
      <c r="P73" s="171">
        <f t="shared" si="17"/>
        <v>722.00099999999998</v>
      </c>
      <c r="Q73" s="171"/>
      <c r="R73" s="171">
        <f t="shared" si="17"/>
        <v>662.14499999999998</v>
      </c>
      <c r="S73" s="171"/>
      <c r="T73" s="171">
        <f t="shared" si="17"/>
        <v>732.11599999999999</v>
      </c>
      <c r="U73" s="171"/>
      <c r="V73" s="171">
        <f t="shared" si="17"/>
        <v>806.75699999999995</v>
      </c>
      <c r="W73" s="171"/>
      <c r="X73" s="171">
        <f t="shared" si="17"/>
        <v>584.42000000000007</v>
      </c>
      <c r="Y73" s="171"/>
      <c r="Z73" s="171">
        <f t="shared" si="17"/>
        <v>978.37</v>
      </c>
      <c r="AA73" s="171"/>
      <c r="AB73" s="171">
        <f t="shared" si="17"/>
        <v>676.66200000000003</v>
      </c>
      <c r="AC73" s="171"/>
      <c r="AD73" s="171">
        <f t="shared" si="17"/>
        <v>856.24400000000003</v>
      </c>
      <c r="AE73" s="171"/>
      <c r="AF73" s="175"/>
      <c r="AG73" s="176">
        <f t="shared" si="2"/>
        <v>0</v>
      </c>
    </row>
    <row r="74" spans="1:33" s="178" customFormat="1" x14ac:dyDescent="0.3">
      <c r="A74" s="188" t="s">
        <v>31</v>
      </c>
      <c r="B74" s="171">
        <f t="shared" ref="B74:AD74" si="18">B75+B76+B77+B78</f>
        <v>8892.5040000000008</v>
      </c>
      <c r="C74" s="171">
        <f t="shared" si="18"/>
        <v>1962.2809999999999</v>
      </c>
      <c r="D74" s="171">
        <f>D75+D76+D77+D78</f>
        <v>586.09</v>
      </c>
      <c r="E74" s="171">
        <f>E75+E76+E77+E78</f>
        <v>586.09</v>
      </c>
      <c r="F74" s="171">
        <f>E74/B74*100</f>
        <v>6.5908320086220922</v>
      </c>
      <c r="G74" s="171">
        <f>E74/C74*100</f>
        <v>29.867791615981609</v>
      </c>
      <c r="H74" s="171">
        <f t="shared" si="18"/>
        <v>688.42100000000005</v>
      </c>
      <c r="I74" s="171">
        <f t="shared" si="18"/>
        <v>586.09</v>
      </c>
      <c r="J74" s="171">
        <f t="shared" si="18"/>
        <v>1073.8600000000001</v>
      </c>
      <c r="K74" s="171">
        <f t="shared" si="18"/>
        <v>981.59</v>
      </c>
      <c r="L74" s="171">
        <f t="shared" si="18"/>
        <v>355.8</v>
      </c>
      <c r="M74" s="171"/>
      <c r="N74" s="171">
        <f t="shared" si="18"/>
        <v>755.70799999999997</v>
      </c>
      <c r="O74" s="171"/>
      <c r="P74" s="171">
        <f t="shared" si="18"/>
        <v>722.00099999999998</v>
      </c>
      <c r="Q74" s="171"/>
      <c r="R74" s="171">
        <f t="shared" si="18"/>
        <v>662.14499999999998</v>
      </c>
      <c r="S74" s="171"/>
      <c r="T74" s="171">
        <f t="shared" si="18"/>
        <v>732.11599999999999</v>
      </c>
      <c r="U74" s="171"/>
      <c r="V74" s="171">
        <f t="shared" si="18"/>
        <v>806.75699999999995</v>
      </c>
      <c r="W74" s="171"/>
      <c r="X74" s="171">
        <f t="shared" si="18"/>
        <v>584.42000000000007</v>
      </c>
      <c r="Y74" s="171"/>
      <c r="Z74" s="171">
        <f t="shared" si="18"/>
        <v>978.37</v>
      </c>
      <c r="AA74" s="171"/>
      <c r="AB74" s="171">
        <f t="shared" si="18"/>
        <v>676.66200000000003</v>
      </c>
      <c r="AC74" s="171"/>
      <c r="AD74" s="171">
        <f t="shared" si="18"/>
        <v>856.24400000000003</v>
      </c>
      <c r="AE74" s="171"/>
      <c r="AF74" s="175"/>
      <c r="AG74" s="176">
        <f t="shared" si="2"/>
        <v>0</v>
      </c>
    </row>
    <row r="75" spans="1:33" x14ac:dyDescent="0.3">
      <c r="A75" s="179" t="s">
        <v>169</v>
      </c>
      <c r="B75" s="180">
        <f>H75+J75+L75+N75+P75+R75+T75+V75+X75+Z75+AB75+AD75</f>
        <v>6100.7040000000006</v>
      </c>
      <c r="C75" s="180">
        <f>H75+J75</f>
        <v>1312.2809999999999</v>
      </c>
      <c r="D75" s="180">
        <f t="shared" ref="D75:D76" si="19">E75</f>
        <v>415.91</v>
      </c>
      <c r="E75" s="182">
        <f>I75</f>
        <v>415.91</v>
      </c>
      <c r="F75" s="180">
        <f>E75/B75*100</f>
        <v>6.8174099251496214</v>
      </c>
      <c r="G75" s="180">
        <f>E75/C75*100</f>
        <v>31.693669267481589</v>
      </c>
      <c r="H75" s="180">
        <v>438.42099999999999</v>
      </c>
      <c r="I75" s="180">
        <v>415.91</v>
      </c>
      <c r="J75" s="180">
        <v>873.86</v>
      </c>
      <c r="K75" s="180">
        <v>855.95</v>
      </c>
      <c r="L75" s="180">
        <v>155.80000000000001</v>
      </c>
      <c r="M75" s="180"/>
      <c r="N75" s="180">
        <v>555.70799999999997</v>
      </c>
      <c r="O75" s="180"/>
      <c r="P75" s="180">
        <v>522.00099999999998</v>
      </c>
      <c r="Q75" s="180"/>
      <c r="R75" s="180">
        <v>462.14499999999998</v>
      </c>
      <c r="S75" s="180"/>
      <c r="T75" s="180">
        <v>532.11599999999999</v>
      </c>
      <c r="U75" s="180"/>
      <c r="V75" s="180">
        <v>606.75699999999995</v>
      </c>
      <c r="W75" s="180"/>
      <c r="X75" s="180">
        <v>384.42</v>
      </c>
      <c r="Y75" s="180"/>
      <c r="Z75" s="180">
        <v>568.47</v>
      </c>
      <c r="AA75" s="180"/>
      <c r="AB75" s="180">
        <v>476.66199999999998</v>
      </c>
      <c r="AC75" s="180"/>
      <c r="AD75" s="180">
        <v>524.34400000000005</v>
      </c>
      <c r="AE75" s="180"/>
      <c r="AF75" s="183"/>
      <c r="AG75" s="176">
        <f t="shared" si="2"/>
        <v>0</v>
      </c>
    </row>
    <row r="76" spans="1:33" x14ac:dyDescent="0.3">
      <c r="A76" s="179" t="s">
        <v>32</v>
      </c>
      <c r="B76" s="180">
        <f>H76+J76+L76+N76+P76+R76+T76+V76+X76+Z76+AB76+AD76</f>
        <v>2791.8</v>
      </c>
      <c r="C76" s="180">
        <f>H76+J76+L76</f>
        <v>650</v>
      </c>
      <c r="D76" s="180">
        <f t="shared" si="19"/>
        <v>170.18</v>
      </c>
      <c r="E76" s="182">
        <f>I76</f>
        <v>170.18</v>
      </c>
      <c r="F76" s="180">
        <f>E76/B76*100</f>
        <v>6.0957088616663082</v>
      </c>
      <c r="G76" s="180">
        <f>E76/C76*100</f>
        <v>26.181538461538462</v>
      </c>
      <c r="H76" s="180">
        <v>250</v>
      </c>
      <c r="I76" s="180">
        <v>170.18</v>
      </c>
      <c r="J76" s="180">
        <v>200</v>
      </c>
      <c r="K76" s="180">
        <v>125.64</v>
      </c>
      <c r="L76" s="180">
        <v>200</v>
      </c>
      <c r="M76" s="180"/>
      <c r="N76" s="180">
        <v>200</v>
      </c>
      <c r="O76" s="180"/>
      <c r="P76" s="180">
        <v>200</v>
      </c>
      <c r="Q76" s="180"/>
      <c r="R76" s="180">
        <v>200</v>
      </c>
      <c r="S76" s="180"/>
      <c r="T76" s="180">
        <v>200</v>
      </c>
      <c r="U76" s="180"/>
      <c r="V76" s="180">
        <v>200</v>
      </c>
      <c r="W76" s="180"/>
      <c r="X76" s="180">
        <v>200</v>
      </c>
      <c r="Y76" s="180"/>
      <c r="Z76" s="180">
        <v>409.9</v>
      </c>
      <c r="AA76" s="180"/>
      <c r="AB76" s="180">
        <v>200</v>
      </c>
      <c r="AC76" s="180"/>
      <c r="AD76" s="180">
        <v>331.9</v>
      </c>
      <c r="AE76" s="180"/>
      <c r="AF76" s="183"/>
      <c r="AG76" s="176">
        <f t="shared" ref="AG76:AG88" si="20">AD76+AB76+Z76+X76+V76+T76+R76+P76+N76+L76+J76+H76-B76</f>
        <v>0</v>
      </c>
    </row>
    <row r="77" spans="1:33" x14ac:dyDescent="0.3">
      <c r="A77" s="179" t="s">
        <v>33</v>
      </c>
      <c r="B77" s="180">
        <f>H77+J77+L77+N77+P77+R77+T77+V77+X77+Z77+AB77+AD77</f>
        <v>0</v>
      </c>
      <c r="C77" s="180">
        <f>H77+J77</f>
        <v>0</v>
      </c>
      <c r="D77" s="180">
        <v>0</v>
      </c>
      <c r="E77" s="180">
        <v>0</v>
      </c>
      <c r="F77" s="180">
        <v>0</v>
      </c>
      <c r="G77" s="180">
        <v>0</v>
      </c>
      <c r="H77" s="180">
        <v>0</v>
      </c>
      <c r="I77" s="180">
        <v>0</v>
      </c>
      <c r="J77" s="180">
        <v>0</v>
      </c>
      <c r="K77" s="180">
        <v>0</v>
      </c>
      <c r="L77" s="180"/>
      <c r="M77" s="180"/>
      <c r="N77" s="180"/>
      <c r="O77" s="180"/>
      <c r="P77" s="180"/>
      <c r="Q77" s="180"/>
      <c r="R77" s="180"/>
      <c r="S77" s="180"/>
      <c r="T77" s="180"/>
      <c r="U77" s="180"/>
      <c r="V77" s="180"/>
      <c r="W77" s="180"/>
      <c r="X77" s="180"/>
      <c r="Y77" s="180"/>
      <c r="Z77" s="180"/>
      <c r="AA77" s="180"/>
      <c r="AB77" s="180"/>
      <c r="AC77" s="180"/>
      <c r="AD77" s="180"/>
      <c r="AE77" s="180"/>
      <c r="AF77" s="183"/>
      <c r="AG77" s="176">
        <f t="shared" si="20"/>
        <v>0</v>
      </c>
    </row>
    <row r="78" spans="1:33" x14ac:dyDescent="0.3">
      <c r="A78" s="179" t="s">
        <v>221</v>
      </c>
      <c r="B78" s="180">
        <f>H78+J78+L78+N78+P78+R78+T78+V78+X78+Z78+AB78+AD78</f>
        <v>0</v>
      </c>
      <c r="C78" s="180">
        <f>H78+J78</f>
        <v>0</v>
      </c>
      <c r="D78" s="180">
        <v>0</v>
      </c>
      <c r="E78" s="180">
        <v>0</v>
      </c>
      <c r="F78" s="180">
        <v>0</v>
      </c>
      <c r="G78" s="180">
        <v>0</v>
      </c>
      <c r="H78" s="180">
        <v>0</v>
      </c>
      <c r="I78" s="180">
        <v>0</v>
      </c>
      <c r="J78" s="180">
        <v>0</v>
      </c>
      <c r="K78" s="180">
        <v>0</v>
      </c>
      <c r="L78" s="180"/>
      <c r="M78" s="180"/>
      <c r="N78" s="180"/>
      <c r="O78" s="180"/>
      <c r="P78" s="180"/>
      <c r="Q78" s="180"/>
      <c r="R78" s="180"/>
      <c r="S78" s="180"/>
      <c r="T78" s="180"/>
      <c r="U78" s="180"/>
      <c r="V78" s="180"/>
      <c r="W78" s="180"/>
      <c r="X78" s="180"/>
      <c r="Y78" s="180"/>
      <c r="Z78" s="180"/>
      <c r="AA78" s="180"/>
      <c r="AB78" s="180"/>
      <c r="AC78" s="180"/>
      <c r="AD78" s="180"/>
      <c r="AE78" s="180"/>
      <c r="AF78" s="183"/>
      <c r="AG78" s="176">
        <f t="shared" si="20"/>
        <v>0</v>
      </c>
    </row>
    <row r="79" spans="1:33" s="178" customFormat="1" x14ac:dyDescent="0.3">
      <c r="A79" s="149" t="s">
        <v>233</v>
      </c>
      <c r="B79" s="208">
        <f>B80+B81+B82+B83</f>
        <v>158080.48099999997</v>
      </c>
      <c r="C79" s="208">
        <f>C80+C81+C82+C83</f>
        <v>32928.567590000006</v>
      </c>
      <c r="D79" s="208">
        <f>D80+D81+D82+D83</f>
        <v>11125.36</v>
      </c>
      <c r="E79" s="208">
        <f>E80+E81+E82+E83</f>
        <v>11125.36</v>
      </c>
      <c r="F79" s="208">
        <f>E79/B79*100</f>
        <v>7.037782229420217</v>
      </c>
      <c r="G79" s="208">
        <f>E79/C79*100</f>
        <v>33.786346671753293</v>
      </c>
      <c r="H79" s="208">
        <f t="shared" ref="H79:AE79" si="21">H80+H81+H82+H83</f>
        <v>19334.171589999998</v>
      </c>
      <c r="I79" s="208">
        <f t="shared" si="21"/>
        <v>11125.36</v>
      </c>
      <c r="J79" s="208">
        <f t="shared" si="21"/>
        <v>13394.396000000001</v>
      </c>
      <c r="K79" s="208">
        <f t="shared" si="21"/>
        <v>12836.11</v>
      </c>
      <c r="L79" s="208">
        <f t="shared" si="21"/>
        <v>9925.67</v>
      </c>
      <c r="M79" s="208">
        <f t="shared" si="21"/>
        <v>0</v>
      </c>
      <c r="N79" s="208">
        <f t="shared" si="21"/>
        <v>17328.510999999999</v>
      </c>
      <c r="O79" s="208">
        <f t="shared" si="21"/>
        <v>0</v>
      </c>
      <c r="P79" s="208">
        <f t="shared" si="21"/>
        <v>11129.862999999999</v>
      </c>
      <c r="Q79" s="208">
        <f t="shared" si="21"/>
        <v>0</v>
      </c>
      <c r="R79" s="208">
        <f t="shared" si="21"/>
        <v>9971.4840000000004</v>
      </c>
      <c r="S79" s="208">
        <f t="shared" si="21"/>
        <v>0</v>
      </c>
      <c r="T79" s="208">
        <f t="shared" si="21"/>
        <v>17361.995410000003</v>
      </c>
      <c r="U79" s="208">
        <f t="shared" si="21"/>
        <v>0</v>
      </c>
      <c r="V79" s="208">
        <f t="shared" si="21"/>
        <v>10375.137000000001</v>
      </c>
      <c r="W79" s="208">
        <f t="shared" si="21"/>
        <v>0</v>
      </c>
      <c r="X79" s="208">
        <f t="shared" si="21"/>
        <v>9595.0069999999996</v>
      </c>
      <c r="Y79" s="208">
        <f t="shared" si="21"/>
        <v>0</v>
      </c>
      <c r="Z79" s="208">
        <f t="shared" si="21"/>
        <v>15441.025</v>
      </c>
      <c r="AA79" s="208">
        <f t="shared" si="21"/>
        <v>0</v>
      </c>
      <c r="AB79" s="208">
        <f t="shared" si="21"/>
        <v>10651.983</v>
      </c>
      <c r="AC79" s="208">
        <f t="shared" si="21"/>
        <v>0</v>
      </c>
      <c r="AD79" s="208">
        <f t="shared" si="21"/>
        <v>13571.237999999999</v>
      </c>
      <c r="AE79" s="208">
        <f t="shared" si="21"/>
        <v>0</v>
      </c>
      <c r="AF79" s="209"/>
      <c r="AG79" s="176">
        <f t="shared" si="20"/>
        <v>0</v>
      </c>
    </row>
    <row r="80" spans="1:33" s="178" customFormat="1" x14ac:dyDescent="0.3">
      <c r="A80" s="151" t="s">
        <v>169</v>
      </c>
      <c r="B80" s="210">
        <f>B75+B69+B63+B33+B27+B21+B13</f>
        <v>6100.7040000000006</v>
      </c>
      <c r="C80" s="210">
        <f t="shared" ref="C80:E81" si="22">C75</f>
        <v>1312.2809999999999</v>
      </c>
      <c r="D80" s="210">
        <f t="shared" si="22"/>
        <v>415.91</v>
      </c>
      <c r="E80" s="210">
        <f t="shared" si="22"/>
        <v>415.91</v>
      </c>
      <c r="F80" s="210">
        <f>E80/B80*100</f>
        <v>6.8174099251496214</v>
      </c>
      <c r="G80" s="210">
        <f>E80/C80*100</f>
        <v>31.693669267481589</v>
      </c>
      <c r="H80" s="210">
        <f t="shared" ref="H80:AE83" si="23">H75+H69+H63+H33+H27+H21+H13</f>
        <v>438.42099999999999</v>
      </c>
      <c r="I80" s="210">
        <f t="shared" si="23"/>
        <v>415.91</v>
      </c>
      <c r="J80" s="210">
        <f t="shared" si="23"/>
        <v>873.86</v>
      </c>
      <c r="K80" s="210">
        <f t="shared" si="23"/>
        <v>855.95</v>
      </c>
      <c r="L80" s="210">
        <f t="shared" si="23"/>
        <v>155.80000000000001</v>
      </c>
      <c r="M80" s="210">
        <f t="shared" si="23"/>
        <v>0</v>
      </c>
      <c r="N80" s="210">
        <f t="shared" si="23"/>
        <v>555.70799999999997</v>
      </c>
      <c r="O80" s="210">
        <f t="shared" si="23"/>
        <v>0</v>
      </c>
      <c r="P80" s="210">
        <f t="shared" si="23"/>
        <v>522.00099999999998</v>
      </c>
      <c r="Q80" s="210">
        <f t="shared" si="23"/>
        <v>0</v>
      </c>
      <c r="R80" s="210">
        <f t="shared" si="23"/>
        <v>462.14499999999998</v>
      </c>
      <c r="S80" s="210">
        <f t="shared" si="23"/>
        <v>0</v>
      </c>
      <c r="T80" s="210">
        <f t="shared" si="23"/>
        <v>532.11599999999999</v>
      </c>
      <c r="U80" s="210">
        <f t="shared" si="23"/>
        <v>0</v>
      </c>
      <c r="V80" s="210">
        <f t="shared" si="23"/>
        <v>606.75699999999995</v>
      </c>
      <c r="W80" s="210">
        <f t="shared" si="23"/>
        <v>0</v>
      </c>
      <c r="X80" s="210">
        <f t="shared" si="23"/>
        <v>384.42</v>
      </c>
      <c r="Y80" s="210">
        <f t="shared" si="23"/>
        <v>0</v>
      </c>
      <c r="Z80" s="210">
        <f t="shared" si="23"/>
        <v>568.47</v>
      </c>
      <c r="AA80" s="210">
        <f t="shared" si="23"/>
        <v>0</v>
      </c>
      <c r="AB80" s="210">
        <f t="shared" si="23"/>
        <v>476.66199999999998</v>
      </c>
      <c r="AC80" s="210">
        <f t="shared" si="23"/>
        <v>0</v>
      </c>
      <c r="AD80" s="210">
        <f t="shared" si="23"/>
        <v>524.34400000000005</v>
      </c>
      <c r="AE80" s="210">
        <f t="shared" si="23"/>
        <v>0</v>
      </c>
      <c r="AF80" s="211"/>
      <c r="AG80" s="176">
        <f>AD80+AB80+Z80+X80+V80+T80+R80+P80+N80+L80+J80+H80-B80</f>
        <v>0</v>
      </c>
    </row>
    <row r="81" spans="1:33" s="178" customFormat="1" x14ac:dyDescent="0.3">
      <c r="A81" s="151" t="s">
        <v>32</v>
      </c>
      <c r="B81" s="210">
        <f>B76+B70+B64+B34+B28+B22+B14</f>
        <v>2791.8</v>
      </c>
      <c r="C81" s="210">
        <f>C76</f>
        <v>650</v>
      </c>
      <c r="D81" s="210">
        <f t="shared" si="22"/>
        <v>170.18</v>
      </c>
      <c r="E81" s="210">
        <f t="shared" si="22"/>
        <v>170.18</v>
      </c>
      <c r="F81" s="210">
        <f>E81/B81*100</f>
        <v>6.0957088616663082</v>
      </c>
      <c r="G81" s="210">
        <f>E81/C81*100</f>
        <v>26.181538461538462</v>
      </c>
      <c r="H81" s="210">
        <f t="shared" si="23"/>
        <v>250</v>
      </c>
      <c r="I81" s="210">
        <f t="shared" si="23"/>
        <v>170.18</v>
      </c>
      <c r="J81" s="210">
        <f t="shared" si="23"/>
        <v>200</v>
      </c>
      <c r="K81" s="210">
        <f t="shared" si="23"/>
        <v>125.64</v>
      </c>
      <c r="L81" s="210">
        <f t="shared" si="23"/>
        <v>200</v>
      </c>
      <c r="M81" s="210">
        <f t="shared" si="23"/>
        <v>0</v>
      </c>
      <c r="N81" s="210">
        <f t="shared" si="23"/>
        <v>200</v>
      </c>
      <c r="O81" s="210">
        <f t="shared" si="23"/>
        <v>0</v>
      </c>
      <c r="P81" s="210">
        <f t="shared" si="23"/>
        <v>200</v>
      </c>
      <c r="Q81" s="210">
        <f t="shared" si="23"/>
        <v>0</v>
      </c>
      <c r="R81" s="210">
        <f t="shared" si="23"/>
        <v>200</v>
      </c>
      <c r="S81" s="210">
        <f t="shared" si="23"/>
        <v>0</v>
      </c>
      <c r="T81" s="210">
        <f t="shared" si="23"/>
        <v>200</v>
      </c>
      <c r="U81" s="210">
        <f t="shared" si="23"/>
        <v>0</v>
      </c>
      <c r="V81" s="210">
        <f t="shared" si="23"/>
        <v>200</v>
      </c>
      <c r="W81" s="210">
        <f t="shared" si="23"/>
        <v>0</v>
      </c>
      <c r="X81" s="210">
        <f t="shared" si="23"/>
        <v>200</v>
      </c>
      <c r="Y81" s="210">
        <f t="shared" si="23"/>
        <v>0</v>
      </c>
      <c r="Z81" s="210">
        <f t="shared" si="23"/>
        <v>409.9</v>
      </c>
      <c r="AA81" s="210">
        <f t="shared" si="23"/>
        <v>0</v>
      </c>
      <c r="AB81" s="210">
        <f t="shared" si="23"/>
        <v>200</v>
      </c>
      <c r="AC81" s="210">
        <f t="shared" si="23"/>
        <v>0</v>
      </c>
      <c r="AD81" s="210">
        <f t="shared" si="23"/>
        <v>331.9</v>
      </c>
      <c r="AE81" s="210">
        <f t="shared" si="23"/>
        <v>0</v>
      </c>
      <c r="AF81" s="212"/>
      <c r="AG81" s="176">
        <f t="shared" si="20"/>
        <v>0</v>
      </c>
    </row>
    <row r="82" spans="1:33" s="178" customFormat="1" x14ac:dyDescent="0.3">
      <c r="A82" s="151" t="s">
        <v>33</v>
      </c>
      <c r="B82" s="210">
        <f>B77+B71+B65+B35+B29+B23+B15</f>
        <v>149187.97699999998</v>
      </c>
      <c r="C82" s="210">
        <f t="shared" ref="C82:E83" si="24">C15+C23+C29+C35+C65+C71+C77</f>
        <v>30966.286590000003</v>
      </c>
      <c r="D82" s="210">
        <f t="shared" si="24"/>
        <v>10539.27</v>
      </c>
      <c r="E82" s="210">
        <f t="shared" si="24"/>
        <v>10539.27</v>
      </c>
      <c r="F82" s="210">
        <f>E82/B82*100</f>
        <v>7.0644231605875323</v>
      </c>
      <c r="G82" s="210">
        <f>E82/C82*100</f>
        <v>34.034658851873658</v>
      </c>
      <c r="H82" s="210">
        <f t="shared" si="23"/>
        <v>18645.75059</v>
      </c>
      <c r="I82" s="210">
        <f t="shared" si="23"/>
        <v>10539.27</v>
      </c>
      <c r="J82" s="210">
        <f t="shared" si="23"/>
        <v>12320.536</v>
      </c>
      <c r="K82" s="210">
        <f t="shared" si="23"/>
        <v>11854.52</v>
      </c>
      <c r="L82" s="210">
        <f t="shared" si="23"/>
        <v>9569.8700000000008</v>
      </c>
      <c r="M82" s="210">
        <f t="shared" si="23"/>
        <v>0</v>
      </c>
      <c r="N82" s="210">
        <f t="shared" si="23"/>
        <v>16572.803</v>
      </c>
      <c r="O82" s="210">
        <f t="shared" si="23"/>
        <v>0</v>
      </c>
      <c r="P82" s="210">
        <f t="shared" si="23"/>
        <v>10407.861999999999</v>
      </c>
      <c r="Q82" s="210">
        <f t="shared" si="23"/>
        <v>0</v>
      </c>
      <c r="R82" s="210">
        <f t="shared" si="23"/>
        <v>9309.3389999999999</v>
      </c>
      <c r="S82" s="210">
        <f t="shared" si="23"/>
        <v>0</v>
      </c>
      <c r="T82" s="210">
        <f t="shared" si="23"/>
        <v>16629.879410000001</v>
      </c>
      <c r="U82" s="210">
        <f t="shared" si="23"/>
        <v>0</v>
      </c>
      <c r="V82" s="210">
        <f t="shared" si="23"/>
        <v>9568.380000000001</v>
      </c>
      <c r="W82" s="210">
        <f t="shared" si="23"/>
        <v>0</v>
      </c>
      <c r="X82" s="210">
        <f t="shared" si="23"/>
        <v>9010.5869999999995</v>
      </c>
      <c r="Y82" s="210">
        <f t="shared" si="23"/>
        <v>0</v>
      </c>
      <c r="Z82" s="210">
        <f t="shared" si="23"/>
        <v>14462.654999999999</v>
      </c>
      <c r="AA82" s="210">
        <f t="shared" si="23"/>
        <v>0</v>
      </c>
      <c r="AB82" s="210">
        <f t="shared" si="23"/>
        <v>9975.3209999999999</v>
      </c>
      <c r="AC82" s="210">
        <f t="shared" si="23"/>
        <v>0</v>
      </c>
      <c r="AD82" s="210">
        <f t="shared" si="23"/>
        <v>12714.993999999999</v>
      </c>
      <c r="AE82" s="210">
        <f t="shared" si="23"/>
        <v>0</v>
      </c>
      <c r="AF82" s="212"/>
      <c r="AG82" s="176">
        <f t="shared" si="20"/>
        <v>0</v>
      </c>
    </row>
    <row r="83" spans="1:33" s="178" customFormat="1" x14ac:dyDescent="0.3">
      <c r="A83" s="153" t="s">
        <v>221</v>
      </c>
      <c r="B83" s="210">
        <f>B78+B72+B66+B36+B30+B24+B16</f>
        <v>0</v>
      </c>
      <c r="C83" s="210">
        <f t="shared" si="24"/>
        <v>0</v>
      </c>
      <c r="D83" s="210">
        <f t="shared" si="24"/>
        <v>0</v>
      </c>
      <c r="E83" s="210">
        <f t="shared" si="24"/>
        <v>0</v>
      </c>
      <c r="F83" s="210">
        <v>0</v>
      </c>
      <c r="G83" s="210">
        <v>0</v>
      </c>
      <c r="H83" s="210">
        <f t="shared" si="23"/>
        <v>0</v>
      </c>
      <c r="I83" s="210">
        <f t="shared" si="23"/>
        <v>0</v>
      </c>
      <c r="J83" s="210">
        <f t="shared" si="23"/>
        <v>0</v>
      </c>
      <c r="K83" s="210">
        <f t="shared" si="23"/>
        <v>0</v>
      </c>
      <c r="L83" s="210">
        <f t="shared" si="23"/>
        <v>0</v>
      </c>
      <c r="M83" s="210">
        <f t="shared" si="23"/>
        <v>0</v>
      </c>
      <c r="N83" s="210">
        <f t="shared" si="23"/>
        <v>0</v>
      </c>
      <c r="O83" s="210">
        <f t="shared" si="23"/>
        <v>0</v>
      </c>
      <c r="P83" s="210">
        <f t="shared" si="23"/>
        <v>0</v>
      </c>
      <c r="Q83" s="210">
        <f t="shared" si="23"/>
        <v>0</v>
      </c>
      <c r="R83" s="210">
        <f t="shared" si="23"/>
        <v>0</v>
      </c>
      <c r="S83" s="210">
        <f t="shared" si="23"/>
        <v>0</v>
      </c>
      <c r="T83" s="210">
        <f t="shared" si="23"/>
        <v>0</v>
      </c>
      <c r="U83" s="210">
        <f t="shared" si="23"/>
        <v>0</v>
      </c>
      <c r="V83" s="210">
        <f t="shared" si="23"/>
        <v>0</v>
      </c>
      <c r="W83" s="210">
        <f t="shared" si="23"/>
        <v>0</v>
      </c>
      <c r="X83" s="210">
        <f t="shared" si="23"/>
        <v>0</v>
      </c>
      <c r="Y83" s="210">
        <f t="shared" si="23"/>
        <v>0</v>
      </c>
      <c r="Z83" s="210">
        <f t="shared" si="23"/>
        <v>0</v>
      </c>
      <c r="AA83" s="210">
        <f t="shared" si="23"/>
        <v>0</v>
      </c>
      <c r="AB83" s="210">
        <f t="shared" si="23"/>
        <v>0</v>
      </c>
      <c r="AC83" s="210">
        <f t="shared" si="23"/>
        <v>0</v>
      </c>
      <c r="AD83" s="210">
        <f t="shared" si="23"/>
        <v>0</v>
      </c>
      <c r="AE83" s="210">
        <f t="shared" si="23"/>
        <v>0</v>
      </c>
      <c r="AF83" s="212"/>
      <c r="AG83" s="176">
        <f t="shared" si="20"/>
        <v>0</v>
      </c>
    </row>
    <row r="84" spans="1:33" s="178" customFormat="1" ht="37.5" x14ac:dyDescent="0.3">
      <c r="A84" s="149" t="s">
        <v>64</v>
      </c>
      <c r="B84" s="208">
        <f>B85+B86+B87+B88</f>
        <v>158080.48099999997</v>
      </c>
      <c r="C84" s="208">
        <f>C85+C86+C87+C88</f>
        <v>32928.567590000006</v>
      </c>
      <c r="D84" s="208">
        <f>D85+D86+D87+D88</f>
        <v>11125.36</v>
      </c>
      <c r="E84" s="208">
        <f>E85+E86+E87+E88</f>
        <v>11125.36</v>
      </c>
      <c r="F84" s="208">
        <f>E84/B84*100</f>
        <v>7.037782229420217</v>
      </c>
      <c r="G84" s="208">
        <f>E84/C84*100</f>
        <v>33.786346671753293</v>
      </c>
      <c r="H84" s="208">
        <f t="shared" ref="H84:AE84" si="25">H85+H86+H87+H88</f>
        <v>19334.171589999998</v>
      </c>
      <c r="I84" s="208">
        <f t="shared" si="25"/>
        <v>11125.36</v>
      </c>
      <c r="J84" s="208">
        <f t="shared" si="25"/>
        <v>13394.396000000001</v>
      </c>
      <c r="K84" s="208">
        <f t="shared" si="25"/>
        <v>12836.11</v>
      </c>
      <c r="L84" s="208">
        <f t="shared" si="25"/>
        <v>9925.67</v>
      </c>
      <c r="M84" s="208">
        <f t="shared" si="25"/>
        <v>0</v>
      </c>
      <c r="N84" s="208">
        <f t="shared" si="25"/>
        <v>17328.510999999999</v>
      </c>
      <c r="O84" s="208">
        <f t="shared" si="25"/>
        <v>0</v>
      </c>
      <c r="P84" s="208">
        <f t="shared" si="25"/>
        <v>11129.862999999999</v>
      </c>
      <c r="Q84" s="208">
        <f t="shared" si="25"/>
        <v>0</v>
      </c>
      <c r="R84" s="208">
        <f t="shared" si="25"/>
        <v>9971.4840000000004</v>
      </c>
      <c r="S84" s="208">
        <f t="shared" si="25"/>
        <v>0</v>
      </c>
      <c r="T84" s="208">
        <f t="shared" si="25"/>
        <v>17361.995410000003</v>
      </c>
      <c r="U84" s="208">
        <f t="shared" si="25"/>
        <v>0</v>
      </c>
      <c r="V84" s="208">
        <f t="shared" si="25"/>
        <v>10375.137000000001</v>
      </c>
      <c r="W84" s="208">
        <f t="shared" si="25"/>
        <v>0</v>
      </c>
      <c r="X84" s="208">
        <f t="shared" si="25"/>
        <v>9595.0069999999996</v>
      </c>
      <c r="Y84" s="208">
        <f t="shared" si="25"/>
        <v>0</v>
      </c>
      <c r="Z84" s="208">
        <f t="shared" si="25"/>
        <v>15441.025</v>
      </c>
      <c r="AA84" s="208">
        <f t="shared" si="25"/>
        <v>0</v>
      </c>
      <c r="AB84" s="208">
        <f t="shared" si="25"/>
        <v>10651.983</v>
      </c>
      <c r="AC84" s="208">
        <f t="shared" si="25"/>
        <v>0</v>
      </c>
      <c r="AD84" s="208">
        <f t="shared" si="25"/>
        <v>13571.237999999999</v>
      </c>
      <c r="AE84" s="208">
        <f t="shared" si="25"/>
        <v>0</v>
      </c>
      <c r="AF84" s="209"/>
      <c r="AG84" s="176">
        <f t="shared" si="20"/>
        <v>0</v>
      </c>
    </row>
    <row r="85" spans="1:33" s="178" customFormat="1" x14ac:dyDescent="0.3">
      <c r="A85" s="151" t="s">
        <v>169</v>
      </c>
      <c r="B85" s="210">
        <f t="shared" ref="B85:E88" si="26">B13+B21+B27+B33+B63+B69+B75</f>
        <v>6100.7040000000006</v>
      </c>
      <c r="C85" s="210">
        <f t="shared" si="26"/>
        <v>1312.2809999999999</v>
      </c>
      <c r="D85" s="210">
        <f t="shared" si="26"/>
        <v>415.91</v>
      </c>
      <c r="E85" s="210">
        <f t="shared" si="26"/>
        <v>415.91</v>
      </c>
      <c r="F85" s="210">
        <f>E85/B85*100</f>
        <v>6.8174099251496214</v>
      </c>
      <c r="G85" s="210">
        <f>E85/C85*100</f>
        <v>31.693669267481589</v>
      </c>
      <c r="H85" s="210">
        <f t="shared" ref="H85:AE88" si="27">H13+H21+H27+H33+H63+H69+H75</f>
        <v>438.42099999999999</v>
      </c>
      <c r="I85" s="210">
        <f t="shared" si="27"/>
        <v>415.91</v>
      </c>
      <c r="J85" s="210">
        <f t="shared" si="27"/>
        <v>873.86</v>
      </c>
      <c r="K85" s="210">
        <f t="shared" si="27"/>
        <v>855.95</v>
      </c>
      <c r="L85" s="210">
        <f t="shared" si="27"/>
        <v>155.80000000000001</v>
      </c>
      <c r="M85" s="210">
        <f t="shared" si="27"/>
        <v>0</v>
      </c>
      <c r="N85" s="210">
        <f t="shared" si="27"/>
        <v>555.70799999999997</v>
      </c>
      <c r="O85" s="210">
        <f t="shared" si="27"/>
        <v>0</v>
      </c>
      <c r="P85" s="210">
        <f t="shared" si="27"/>
        <v>522.00099999999998</v>
      </c>
      <c r="Q85" s="210">
        <f t="shared" si="27"/>
        <v>0</v>
      </c>
      <c r="R85" s="210">
        <f t="shared" si="27"/>
        <v>462.14499999999998</v>
      </c>
      <c r="S85" s="210">
        <f t="shared" si="27"/>
        <v>0</v>
      </c>
      <c r="T85" s="210">
        <f t="shared" si="27"/>
        <v>532.11599999999999</v>
      </c>
      <c r="U85" s="210">
        <f t="shared" si="27"/>
        <v>0</v>
      </c>
      <c r="V85" s="210">
        <f t="shared" si="27"/>
        <v>606.75699999999995</v>
      </c>
      <c r="W85" s="210">
        <f t="shared" si="27"/>
        <v>0</v>
      </c>
      <c r="X85" s="210">
        <f t="shared" si="27"/>
        <v>384.42</v>
      </c>
      <c r="Y85" s="210">
        <f t="shared" si="27"/>
        <v>0</v>
      </c>
      <c r="Z85" s="210">
        <f t="shared" si="27"/>
        <v>568.47</v>
      </c>
      <c r="AA85" s="210">
        <f t="shared" si="27"/>
        <v>0</v>
      </c>
      <c r="AB85" s="210">
        <f t="shared" si="27"/>
        <v>476.66199999999998</v>
      </c>
      <c r="AC85" s="210">
        <f t="shared" si="27"/>
        <v>0</v>
      </c>
      <c r="AD85" s="210">
        <f t="shared" si="27"/>
        <v>524.34400000000005</v>
      </c>
      <c r="AE85" s="210">
        <f t="shared" si="27"/>
        <v>0</v>
      </c>
      <c r="AF85" s="211"/>
      <c r="AG85" s="176">
        <f t="shared" si="20"/>
        <v>0</v>
      </c>
    </row>
    <row r="86" spans="1:33" s="178" customFormat="1" x14ac:dyDescent="0.3">
      <c r="A86" s="151" t="s">
        <v>32</v>
      </c>
      <c r="B86" s="210">
        <f t="shared" si="26"/>
        <v>2791.8</v>
      </c>
      <c r="C86" s="210">
        <f t="shared" si="26"/>
        <v>650</v>
      </c>
      <c r="D86" s="210">
        <f t="shared" si="26"/>
        <v>170.18</v>
      </c>
      <c r="E86" s="210">
        <f t="shared" si="26"/>
        <v>170.18</v>
      </c>
      <c r="F86" s="210">
        <f>E86/B86*100</f>
        <v>6.0957088616663082</v>
      </c>
      <c r="G86" s="210">
        <f>E86/C86*100</f>
        <v>26.181538461538462</v>
      </c>
      <c r="H86" s="210">
        <f t="shared" si="27"/>
        <v>250</v>
      </c>
      <c r="I86" s="210">
        <f t="shared" si="27"/>
        <v>170.18</v>
      </c>
      <c r="J86" s="210">
        <f t="shared" si="27"/>
        <v>200</v>
      </c>
      <c r="K86" s="210">
        <f t="shared" si="27"/>
        <v>125.64</v>
      </c>
      <c r="L86" s="210">
        <f t="shared" si="27"/>
        <v>200</v>
      </c>
      <c r="M86" s="210">
        <f t="shared" si="27"/>
        <v>0</v>
      </c>
      <c r="N86" s="210">
        <f t="shared" si="27"/>
        <v>200</v>
      </c>
      <c r="O86" s="210">
        <f t="shared" si="27"/>
        <v>0</v>
      </c>
      <c r="P86" s="210">
        <f t="shared" si="27"/>
        <v>200</v>
      </c>
      <c r="Q86" s="210">
        <f t="shared" si="27"/>
        <v>0</v>
      </c>
      <c r="R86" s="210">
        <f t="shared" si="27"/>
        <v>200</v>
      </c>
      <c r="S86" s="210">
        <f t="shared" si="27"/>
        <v>0</v>
      </c>
      <c r="T86" s="210">
        <f t="shared" si="27"/>
        <v>200</v>
      </c>
      <c r="U86" s="210">
        <f t="shared" si="27"/>
        <v>0</v>
      </c>
      <c r="V86" s="210">
        <f t="shared" si="27"/>
        <v>200</v>
      </c>
      <c r="W86" s="210">
        <f t="shared" si="27"/>
        <v>0</v>
      </c>
      <c r="X86" s="210">
        <f t="shared" si="27"/>
        <v>200</v>
      </c>
      <c r="Y86" s="210">
        <f t="shared" si="27"/>
        <v>0</v>
      </c>
      <c r="Z86" s="210">
        <f t="shared" si="27"/>
        <v>409.9</v>
      </c>
      <c r="AA86" s="210">
        <f t="shared" si="27"/>
        <v>0</v>
      </c>
      <c r="AB86" s="210">
        <f t="shared" si="27"/>
        <v>200</v>
      </c>
      <c r="AC86" s="210">
        <f t="shared" si="27"/>
        <v>0</v>
      </c>
      <c r="AD86" s="210">
        <f t="shared" si="27"/>
        <v>331.9</v>
      </c>
      <c r="AE86" s="210">
        <f t="shared" si="27"/>
        <v>0</v>
      </c>
      <c r="AF86" s="212"/>
      <c r="AG86" s="176">
        <f t="shared" si="20"/>
        <v>0</v>
      </c>
    </row>
    <row r="87" spans="1:33" s="178" customFormat="1" x14ac:dyDescent="0.3">
      <c r="A87" s="151" t="s">
        <v>33</v>
      </c>
      <c r="B87" s="210">
        <f t="shared" si="26"/>
        <v>149187.97699999998</v>
      </c>
      <c r="C87" s="210">
        <f t="shared" si="26"/>
        <v>30966.286590000003</v>
      </c>
      <c r="D87" s="210">
        <f t="shared" si="26"/>
        <v>10539.27</v>
      </c>
      <c r="E87" s="210">
        <f t="shared" si="26"/>
        <v>10539.27</v>
      </c>
      <c r="F87" s="210">
        <f>E87/B87*100</f>
        <v>7.0644231605875323</v>
      </c>
      <c r="G87" s="210">
        <f>E87/C87*100</f>
        <v>34.034658851873658</v>
      </c>
      <c r="H87" s="210">
        <f t="shared" si="27"/>
        <v>18645.75059</v>
      </c>
      <c r="I87" s="210">
        <f t="shared" si="27"/>
        <v>10539.27</v>
      </c>
      <c r="J87" s="210">
        <f t="shared" si="27"/>
        <v>12320.536</v>
      </c>
      <c r="K87" s="210">
        <f t="shared" si="27"/>
        <v>11854.52</v>
      </c>
      <c r="L87" s="210">
        <f t="shared" si="27"/>
        <v>9569.8700000000008</v>
      </c>
      <c r="M87" s="210">
        <f t="shared" si="27"/>
        <v>0</v>
      </c>
      <c r="N87" s="210">
        <f t="shared" si="27"/>
        <v>16572.803</v>
      </c>
      <c r="O87" s="210">
        <f t="shared" si="27"/>
        <v>0</v>
      </c>
      <c r="P87" s="210">
        <f t="shared" si="27"/>
        <v>10407.861999999999</v>
      </c>
      <c r="Q87" s="210">
        <f t="shared" si="27"/>
        <v>0</v>
      </c>
      <c r="R87" s="210">
        <f t="shared" si="27"/>
        <v>9309.3389999999999</v>
      </c>
      <c r="S87" s="210">
        <f t="shared" si="27"/>
        <v>0</v>
      </c>
      <c r="T87" s="210">
        <f t="shared" si="27"/>
        <v>16629.879410000001</v>
      </c>
      <c r="U87" s="210">
        <f t="shared" si="27"/>
        <v>0</v>
      </c>
      <c r="V87" s="210">
        <f t="shared" si="27"/>
        <v>9568.380000000001</v>
      </c>
      <c r="W87" s="210">
        <f t="shared" si="27"/>
        <v>0</v>
      </c>
      <c r="X87" s="210">
        <f t="shared" si="27"/>
        <v>9010.5869999999995</v>
      </c>
      <c r="Y87" s="210">
        <f t="shared" si="27"/>
        <v>0</v>
      </c>
      <c r="Z87" s="210">
        <f t="shared" si="27"/>
        <v>14462.654999999999</v>
      </c>
      <c r="AA87" s="210">
        <f t="shared" si="27"/>
        <v>0</v>
      </c>
      <c r="AB87" s="210">
        <f t="shared" si="27"/>
        <v>9975.3209999999999</v>
      </c>
      <c r="AC87" s="210">
        <f t="shared" si="27"/>
        <v>0</v>
      </c>
      <c r="AD87" s="210">
        <f t="shared" si="27"/>
        <v>12714.993999999999</v>
      </c>
      <c r="AE87" s="210">
        <f t="shared" si="27"/>
        <v>0</v>
      </c>
      <c r="AF87" s="212"/>
      <c r="AG87" s="176">
        <f t="shared" si="20"/>
        <v>0</v>
      </c>
    </row>
    <row r="88" spans="1:33" s="178" customFormat="1" x14ac:dyDescent="0.3">
      <c r="A88" s="153" t="s">
        <v>221</v>
      </c>
      <c r="B88" s="210">
        <f t="shared" si="26"/>
        <v>0</v>
      </c>
      <c r="C88" s="210">
        <f t="shared" si="26"/>
        <v>0</v>
      </c>
      <c r="D88" s="210">
        <f t="shared" si="26"/>
        <v>0</v>
      </c>
      <c r="E88" s="210">
        <f t="shared" si="26"/>
        <v>0</v>
      </c>
      <c r="F88" s="210">
        <v>0</v>
      </c>
      <c r="G88" s="210">
        <v>0</v>
      </c>
      <c r="H88" s="210">
        <f t="shared" si="27"/>
        <v>0</v>
      </c>
      <c r="I88" s="210">
        <f t="shared" si="27"/>
        <v>0</v>
      </c>
      <c r="J88" s="210">
        <f t="shared" si="27"/>
        <v>0</v>
      </c>
      <c r="K88" s="210">
        <f t="shared" si="27"/>
        <v>0</v>
      </c>
      <c r="L88" s="210">
        <f t="shared" si="27"/>
        <v>0</v>
      </c>
      <c r="M88" s="210">
        <f t="shared" si="27"/>
        <v>0</v>
      </c>
      <c r="N88" s="210">
        <f t="shared" si="27"/>
        <v>0</v>
      </c>
      <c r="O88" s="210">
        <f t="shared" si="27"/>
        <v>0</v>
      </c>
      <c r="P88" s="210">
        <f t="shared" si="27"/>
        <v>0</v>
      </c>
      <c r="Q88" s="210">
        <f t="shared" si="27"/>
        <v>0</v>
      </c>
      <c r="R88" s="210">
        <f t="shared" si="27"/>
        <v>0</v>
      </c>
      <c r="S88" s="210">
        <f t="shared" si="27"/>
        <v>0</v>
      </c>
      <c r="T88" s="210">
        <f t="shared" si="27"/>
        <v>0</v>
      </c>
      <c r="U88" s="210">
        <f t="shared" si="27"/>
        <v>0</v>
      </c>
      <c r="V88" s="210">
        <f t="shared" si="27"/>
        <v>0</v>
      </c>
      <c r="W88" s="210">
        <f t="shared" si="27"/>
        <v>0</v>
      </c>
      <c r="X88" s="210">
        <f t="shared" si="27"/>
        <v>0</v>
      </c>
      <c r="Y88" s="210">
        <f t="shared" si="27"/>
        <v>0</v>
      </c>
      <c r="Z88" s="210">
        <f t="shared" si="27"/>
        <v>0</v>
      </c>
      <c r="AA88" s="210">
        <f t="shared" si="27"/>
        <v>0</v>
      </c>
      <c r="AB88" s="210">
        <f t="shared" si="27"/>
        <v>0</v>
      </c>
      <c r="AC88" s="210">
        <f t="shared" si="27"/>
        <v>0</v>
      </c>
      <c r="AD88" s="210">
        <f t="shared" si="27"/>
        <v>0</v>
      </c>
      <c r="AE88" s="210">
        <f t="shared" si="27"/>
        <v>0</v>
      </c>
      <c r="AF88" s="212"/>
      <c r="AG88" s="176">
        <f t="shared" si="20"/>
        <v>0</v>
      </c>
    </row>
    <row r="89" spans="1:33" s="160" customFormat="1" x14ac:dyDescent="0.3">
      <c r="B89" s="176">
        <f>B79-B11-B19-B25-B31-B61-B67-B73</f>
        <v>-1.4551915228366852E-11</v>
      </c>
      <c r="C89" s="176">
        <f t="shared" ref="C89:AD89" si="28">C79-C11-C19-C25-C31-C61-C67-C73</f>
        <v>2.7284841053187847E-12</v>
      </c>
      <c r="D89" s="176">
        <f t="shared" si="28"/>
        <v>0</v>
      </c>
      <c r="E89" s="176">
        <f t="shared" si="28"/>
        <v>0</v>
      </c>
      <c r="F89" s="176">
        <f t="shared" si="28"/>
        <v>-13.104724651815509</v>
      </c>
      <c r="G89" s="176">
        <f>G79-G11-G19-G25-G31-G61-G67-G73</f>
        <v>-65.521902846691304</v>
      </c>
      <c r="H89" s="176">
        <f t="shared" si="28"/>
        <v>-1.5916157281026244E-12</v>
      </c>
      <c r="I89" s="176">
        <f t="shared" si="28"/>
        <v>0</v>
      </c>
      <c r="J89" s="176">
        <f t="shared" si="28"/>
        <v>2.2737367544323206E-12</v>
      </c>
      <c r="K89" s="176">
        <f t="shared" si="28"/>
        <v>0</v>
      </c>
      <c r="L89" s="176">
        <f t="shared" si="28"/>
        <v>-7.3896444519050419E-13</v>
      </c>
      <c r="M89" s="176">
        <f t="shared" si="28"/>
        <v>0</v>
      </c>
      <c r="N89" s="176">
        <f t="shared" si="28"/>
        <v>-1.2505552149377763E-12</v>
      </c>
      <c r="O89" s="176">
        <f t="shared" si="28"/>
        <v>0</v>
      </c>
      <c r="P89" s="176">
        <f t="shared" si="28"/>
        <v>0</v>
      </c>
      <c r="Q89" s="176">
        <f t="shared" si="28"/>
        <v>0</v>
      </c>
      <c r="R89" s="176">
        <f t="shared" si="28"/>
        <v>1.3642420526593924E-12</v>
      </c>
      <c r="S89" s="176">
        <f t="shared" si="28"/>
        <v>0</v>
      </c>
      <c r="T89" s="176">
        <f t="shared" si="28"/>
        <v>3.637978807091713E-12</v>
      </c>
      <c r="U89" s="176">
        <f t="shared" si="28"/>
        <v>0</v>
      </c>
      <c r="V89" s="176">
        <f t="shared" si="28"/>
        <v>0</v>
      </c>
      <c r="W89" s="176">
        <f t="shared" si="28"/>
        <v>0</v>
      </c>
      <c r="X89" s="176">
        <f t="shared" si="28"/>
        <v>-1.8189894035458565E-12</v>
      </c>
      <c r="Y89" s="176">
        <f t="shared" si="28"/>
        <v>0</v>
      </c>
      <c r="Z89" s="176">
        <f t="shared" si="28"/>
        <v>-1.0231815394945443E-12</v>
      </c>
      <c r="AA89" s="176">
        <f t="shared" si="28"/>
        <v>0</v>
      </c>
      <c r="AB89" s="176">
        <f t="shared" si="28"/>
        <v>0</v>
      </c>
      <c r="AC89" s="176">
        <f t="shared" si="28"/>
        <v>0</v>
      </c>
      <c r="AD89" s="176">
        <f t="shared" si="28"/>
        <v>0</v>
      </c>
    </row>
    <row r="90" spans="1:33" s="160" customFormat="1" x14ac:dyDescent="0.3">
      <c r="B90" s="176">
        <f>B79-'[1]19 "Муницип. служба"'!$C$10</f>
        <v>5.4809999999997672</v>
      </c>
    </row>
    <row r="91" spans="1:33" x14ac:dyDescent="0.3">
      <c r="B91" s="156">
        <f>B13+B21+B27+B39+B45+B51+B57+B63+B69+B75-B80</f>
        <v>0</v>
      </c>
      <c r="C91" s="156">
        <f t="shared" ref="C91:AE94" si="29">C13+C21+C27+C39+C45+C51+C57+C63+C69+C75-C80</f>
        <v>0</v>
      </c>
      <c r="D91" s="156">
        <f t="shared" si="29"/>
        <v>0</v>
      </c>
      <c r="E91" s="156">
        <f t="shared" si="29"/>
        <v>0</v>
      </c>
      <c r="F91" s="156">
        <f t="shared" si="29"/>
        <v>0</v>
      </c>
      <c r="G91" s="156">
        <f t="shared" si="29"/>
        <v>0</v>
      </c>
      <c r="H91" s="156">
        <f t="shared" si="29"/>
        <v>0</v>
      </c>
      <c r="I91" s="156">
        <f t="shared" si="29"/>
        <v>0</v>
      </c>
      <c r="J91" s="156">
        <f t="shared" si="29"/>
        <v>0</v>
      </c>
      <c r="K91" s="156">
        <f t="shared" si="29"/>
        <v>0</v>
      </c>
      <c r="L91" s="156">
        <f t="shared" si="29"/>
        <v>0</v>
      </c>
      <c r="M91" s="156">
        <f t="shared" si="29"/>
        <v>0</v>
      </c>
      <c r="N91" s="156">
        <f t="shared" si="29"/>
        <v>0</v>
      </c>
      <c r="O91" s="156">
        <f t="shared" si="29"/>
        <v>0</v>
      </c>
      <c r="P91" s="156">
        <f t="shared" si="29"/>
        <v>0</v>
      </c>
      <c r="Q91" s="156">
        <f t="shared" si="29"/>
        <v>0</v>
      </c>
      <c r="R91" s="156">
        <f t="shared" si="29"/>
        <v>0</v>
      </c>
      <c r="S91" s="156">
        <f t="shared" si="29"/>
        <v>0</v>
      </c>
      <c r="T91" s="156">
        <f t="shared" si="29"/>
        <v>0</v>
      </c>
      <c r="U91" s="156">
        <f t="shared" si="29"/>
        <v>0</v>
      </c>
      <c r="V91" s="156">
        <f t="shared" si="29"/>
        <v>0</v>
      </c>
      <c r="W91" s="156">
        <f t="shared" si="29"/>
        <v>0</v>
      </c>
      <c r="X91" s="156">
        <f t="shared" si="29"/>
        <v>0</v>
      </c>
      <c r="Y91" s="156">
        <f t="shared" si="29"/>
        <v>0</v>
      </c>
      <c r="Z91" s="156">
        <f t="shared" si="29"/>
        <v>0</v>
      </c>
      <c r="AA91" s="156">
        <f t="shared" si="29"/>
        <v>0</v>
      </c>
      <c r="AB91" s="156">
        <f t="shared" si="29"/>
        <v>0</v>
      </c>
      <c r="AC91" s="156">
        <f t="shared" si="29"/>
        <v>0</v>
      </c>
      <c r="AD91" s="156">
        <f t="shared" si="29"/>
        <v>0</v>
      </c>
      <c r="AE91" s="156">
        <f t="shared" si="29"/>
        <v>0</v>
      </c>
    </row>
    <row r="92" spans="1:33" x14ac:dyDescent="0.3">
      <c r="B92" s="156">
        <f t="shared" ref="B92:Q94" si="30">B14+B22+B28+B40+B46+B52+B58+B64+B70+B76-B81</f>
        <v>0</v>
      </c>
      <c r="C92" s="156">
        <f t="shared" si="30"/>
        <v>0</v>
      </c>
      <c r="D92" s="156">
        <f t="shared" si="30"/>
        <v>0</v>
      </c>
      <c r="E92" s="156">
        <f t="shared" si="30"/>
        <v>0</v>
      </c>
      <c r="F92" s="156">
        <f t="shared" si="30"/>
        <v>0</v>
      </c>
      <c r="G92" s="156">
        <f t="shared" si="30"/>
        <v>0</v>
      </c>
      <c r="H92" s="156">
        <f t="shared" si="30"/>
        <v>0</v>
      </c>
      <c r="I92" s="156">
        <f t="shared" si="30"/>
        <v>0</v>
      </c>
      <c r="J92" s="156">
        <f t="shared" si="30"/>
        <v>0</v>
      </c>
      <c r="K92" s="156">
        <f t="shared" si="30"/>
        <v>0</v>
      </c>
      <c r="L92" s="156">
        <f t="shared" si="30"/>
        <v>0</v>
      </c>
      <c r="M92" s="156">
        <f t="shared" si="30"/>
        <v>0</v>
      </c>
      <c r="N92" s="156">
        <f t="shared" si="30"/>
        <v>0</v>
      </c>
      <c r="O92" s="156">
        <f t="shared" si="30"/>
        <v>0</v>
      </c>
      <c r="P92" s="156">
        <f t="shared" si="30"/>
        <v>0</v>
      </c>
      <c r="Q92" s="156">
        <f t="shared" si="30"/>
        <v>0</v>
      </c>
      <c r="R92" s="156">
        <f t="shared" si="29"/>
        <v>0</v>
      </c>
      <c r="S92" s="156">
        <f t="shared" si="29"/>
        <v>0</v>
      </c>
      <c r="T92" s="156">
        <f t="shared" si="29"/>
        <v>0</v>
      </c>
      <c r="U92" s="156">
        <f t="shared" si="29"/>
        <v>0</v>
      </c>
      <c r="V92" s="156">
        <f t="shared" si="29"/>
        <v>0</v>
      </c>
      <c r="W92" s="156">
        <f t="shared" si="29"/>
        <v>0</v>
      </c>
      <c r="X92" s="156">
        <f t="shared" si="29"/>
        <v>0</v>
      </c>
      <c r="Y92" s="156">
        <f t="shared" si="29"/>
        <v>0</v>
      </c>
      <c r="Z92" s="156">
        <f t="shared" si="29"/>
        <v>0</v>
      </c>
      <c r="AA92" s="156">
        <f t="shared" si="29"/>
        <v>0</v>
      </c>
      <c r="AB92" s="156">
        <f t="shared" si="29"/>
        <v>0</v>
      </c>
      <c r="AC92" s="156">
        <f t="shared" si="29"/>
        <v>0</v>
      </c>
      <c r="AD92" s="156">
        <f t="shared" si="29"/>
        <v>0</v>
      </c>
      <c r="AE92" s="156">
        <f t="shared" si="29"/>
        <v>0</v>
      </c>
    </row>
    <row r="93" spans="1:33" x14ac:dyDescent="0.3">
      <c r="B93" s="156">
        <f t="shared" si="30"/>
        <v>0</v>
      </c>
      <c r="C93" s="156">
        <f t="shared" si="29"/>
        <v>0</v>
      </c>
      <c r="D93" s="156">
        <f t="shared" si="29"/>
        <v>0</v>
      </c>
      <c r="E93" s="156">
        <f t="shared" si="29"/>
        <v>0</v>
      </c>
      <c r="F93" s="156">
        <f t="shared" si="29"/>
        <v>29.045446751919776</v>
      </c>
      <c r="G93" s="156">
        <f>G15+G23+G29+G41+G47+G53+G59+G65+G71+G77-G82</f>
        <v>130.81566927089011</v>
      </c>
      <c r="H93" s="156">
        <f t="shared" si="29"/>
        <v>0</v>
      </c>
      <c r="I93" s="156">
        <f t="shared" si="29"/>
        <v>0</v>
      </c>
      <c r="J93" s="156">
        <f t="shared" si="29"/>
        <v>0</v>
      </c>
      <c r="K93" s="156">
        <f t="shared" si="29"/>
        <v>0</v>
      </c>
      <c r="L93" s="156">
        <f t="shared" si="29"/>
        <v>0</v>
      </c>
      <c r="M93" s="156">
        <f t="shared" si="29"/>
        <v>0</v>
      </c>
      <c r="N93" s="156">
        <f t="shared" si="29"/>
        <v>0</v>
      </c>
      <c r="O93" s="156">
        <f t="shared" si="29"/>
        <v>0</v>
      </c>
      <c r="P93" s="156">
        <f t="shared" si="29"/>
        <v>0</v>
      </c>
      <c r="Q93" s="156">
        <f t="shared" si="29"/>
        <v>0</v>
      </c>
      <c r="R93" s="156">
        <f t="shared" si="29"/>
        <v>0</v>
      </c>
      <c r="S93" s="156">
        <f t="shared" si="29"/>
        <v>0</v>
      </c>
      <c r="T93" s="156">
        <f t="shared" si="29"/>
        <v>0</v>
      </c>
      <c r="U93" s="156">
        <f t="shared" si="29"/>
        <v>0</v>
      </c>
      <c r="V93" s="156">
        <f t="shared" si="29"/>
        <v>0</v>
      </c>
      <c r="W93" s="156">
        <f t="shared" si="29"/>
        <v>0</v>
      </c>
      <c r="X93" s="156">
        <f t="shared" si="29"/>
        <v>0</v>
      </c>
      <c r="Y93" s="156">
        <f t="shared" si="29"/>
        <v>0</v>
      </c>
      <c r="Z93" s="156">
        <f t="shared" si="29"/>
        <v>0</v>
      </c>
      <c r="AA93" s="156">
        <f t="shared" si="29"/>
        <v>0</v>
      </c>
      <c r="AB93" s="156">
        <f t="shared" si="29"/>
        <v>0</v>
      </c>
      <c r="AC93" s="156">
        <f t="shared" si="29"/>
        <v>0</v>
      </c>
      <c r="AD93" s="156">
        <f t="shared" si="29"/>
        <v>0</v>
      </c>
      <c r="AE93" s="156">
        <f t="shared" si="29"/>
        <v>0</v>
      </c>
    </row>
    <row r="94" spans="1:33" x14ac:dyDescent="0.3">
      <c r="B94" s="156">
        <f t="shared" si="30"/>
        <v>0</v>
      </c>
      <c r="C94" s="156">
        <f t="shared" si="29"/>
        <v>0</v>
      </c>
      <c r="D94" s="156">
        <f t="shared" si="29"/>
        <v>0</v>
      </c>
      <c r="E94" s="156">
        <f t="shared" si="29"/>
        <v>0</v>
      </c>
      <c r="F94" s="156">
        <f t="shared" si="29"/>
        <v>0</v>
      </c>
      <c r="G94" s="156">
        <f t="shared" si="29"/>
        <v>0</v>
      </c>
      <c r="H94" s="156">
        <f t="shared" si="29"/>
        <v>0</v>
      </c>
      <c r="I94" s="156">
        <f t="shared" si="29"/>
        <v>0</v>
      </c>
      <c r="J94" s="156">
        <f t="shared" si="29"/>
        <v>0</v>
      </c>
      <c r="K94" s="156">
        <f t="shared" si="29"/>
        <v>0</v>
      </c>
      <c r="L94" s="156">
        <f t="shared" si="29"/>
        <v>0</v>
      </c>
      <c r="M94" s="156">
        <f t="shared" si="29"/>
        <v>0</v>
      </c>
      <c r="N94" s="156">
        <f t="shared" si="29"/>
        <v>0</v>
      </c>
      <c r="O94" s="156">
        <f t="shared" si="29"/>
        <v>0</v>
      </c>
      <c r="P94" s="156">
        <f t="shared" si="29"/>
        <v>0</v>
      </c>
      <c r="Q94" s="156">
        <f t="shared" si="29"/>
        <v>0</v>
      </c>
      <c r="R94" s="156">
        <f t="shared" si="29"/>
        <v>0</v>
      </c>
      <c r="S94" s="156">
        <f t="shared" si="29"/>
        <v>0</v>
      </c>
      <c r="T94" s="156">
        <f t="shared" si="29"/>
        <v>0</v>
      </c>
      <c r="U94" s="156">
        <f t="shared" si="29"/>
        <v>0</v>
      </c>
      <c r="V94" s="156">
        <f t="shared" si="29"/>
        <v>0</v>
      </c>
      <c r="W94" s="156">
        <f t="shared" si="29"/>
        <v>0</v>
      </c>
      <c r="X94" s="156">
        <f t="shared" si="29"/>
        <v>0</v>
      </c>
      <c r="Y94" s="156">
        <f t="shared" si="29"/>
        <v>0</v>
      </c>
      <c r="Z94" s="156">
        <f t="shared" si="29"/>
        <v>0</v>
      </c>
      <c r="AA94" s="156">
        <f t="shared" si="29"/>
        <v>0</v>
      </c>
      <c r="AB94" s="156">
        <f t="shared" si="29"/>
        <v>0</v>
      </c>
      <c r="AC94" s="156">
        <f t="shared" si="29"/>
        <v>0</v>
      </c>
      <c r="AD94" s="156">
        <f t="shared" si="29"/>
        <v>0</v>
      </c>
      <c r="AE94" s="156">
        <f t="shared" si="29"/>
        <v>0</v>
      </c>
    </row>
    <row r="143" spans="6:7" x14ac:dyDescent="0.3">
      <c r="F143" s="10">
        <v>0</v>
      </c>
      <c r="G143" s="10" t="e">
        <f>E143/C143*100</f>
        <v>#DIV/0!</v>
      </c>
    </row>
    <row r="146" spans="6:7" x14ac:dyDescent="0.3">
      <c r="F146" s="10">
        <v>0</v>
      </c>
      <c r="G146" s="10">
        <v>0</v>
      </c>
    </row>
  </sheetData>
  <customSheetViews>
    <customSheetView guid="{533DC55B-6AD4-4674-9488-685EF2039F3E}" scale="70">
      <pane xSplit="2" ySplit="10" topLeftCell="C107" activePane="bottomRight" state="frozen"/>
      <selection pane="bottomRight" activeCell="A49" sqref="A49"/>
      <pageMargins left="0.7" right="0.7" top="0.75" bottom="0.75" header="0.3" footer="0.3"/>
      <pageSetup paperSize="9" orientation="portrait" r:id="rId1"/>
    </customSheetView>
    <customSheetView guid="{85F4575B-DBC5-482A-9916-255D8F0BC94E}" scale="70">
      <pane xSplit="2" ySplit="10" topLeftCell="C38" activePane="bottomRight" state="frozen"/>
      <selection pane="bottomRight" activeCell="A49" sqref="A49"/>
      <pageMargins left="0.7" right="0.7" top="0.75" bottom="0.75" header="0.3" footer="0.3"/>
      <pageSetup paperSize="9" orientation="portrait" r:id="rId2"/>
    </customSheetView>
    <customSheetView guid="{B1BF08D1-D416-4B47-ADD0-4F59132DC9E8}" scale="70">
      <pane xSplit="2" ySplit="10" topLeftCell="C77" activePane="bottomRight" state="frozen"/>
      <selection pane="bottomRight" activeCell="R41" sqref="R41"/>
      <pageMargins left="0.7" right="0.7" top="0.75" bottom="0.75" header="0.3" footer="0.3"/>
      <pageSetup paperSize="9" orientation="portrait" r:id="rId3"/>
    </customSheetView>
    <customSheetView guid="{4F41B9CC-959D-442C-80B0-1F0DB2C76D27}" scale="70">
      <pane xSplit="2" ySplit="10" topLeftCell="C77" activePane="bottomRight" state="frozen"/>
      <selection pane="bottomRight" activeCell="R41" sqref="R41"/>
      <pageMargins left="0.7" right="0.7" top="0.75" bottom="0.75" header="0.3" footer="0.3"/>
      <pageSetup paperSize="9" orientation="portrait" r:id="rId4"/>
    </customSheetView>
    <customSheetView guid="{602C8EDB-B9EF-4C85-B0D5-0558C3A0ABAB}" scale="70">
      <pane xSplit="2" ySplit="10" topLeftCell="C77" activePane="bottomRight" state="frozen"/>
      <selection pane="bottomRight" activeCell="R41" sqref="R41"/>
      <pageMargins left="0.7" right="0.7" top="0.75" bottom="0.75" header="0.3" footer="0.3"/>
      <pageSetup paperSize="9" orientation="portrait" r:id="rId5"/>
    </customSheetView>
    <customSheetView guid="{D01FA037-9AEC-4167-ADB8-2F327C01ECE6}" scale="70">
      <pane xSplit="2" ySplit="10" topLeftCell="C77" activePane="bottomRight" state="frozen"/>
      <selection pane="bottomRight" activeCell="R41" sqref="R41"/>
      <pageMargins left="0.7" right="0.7" top="0.75" bottom="0.75" header="0.3" footer="0.3"/>
      <pageSetup paperSize="9" orientation="portrait" r:id="rId6"/>
    </customSheetView>
    <customSheetView guid="{84867370-1F3E-4368-AF79-FBCE46FFFE92}" scale="70">
      <pane xSplit="2" ySplit="10" topLeftCell="C77" activePane="bottomRight" state="frozen"/>
      <selection pane="bottomRight" activeCell="R41" sqref="R41"/>
      <pageMargins left="0.7" right="0.7" top="0.75" bottom="0.75" header="0.3" footer="0.3"/>
      <pageSetup paperSize="9" orientation="portrait" r:id="rId7"/>
    </customSheetView>
    <customSheetView guid="{0C2B9C2A-7B94-41EF-A2E6-F8AC9A67DE25}" scale="70">
      <pane xSplit="2" ySplit="10" topLeftCell="C77" activePane="bottomRight" state="frozen"/>
      <selection pane="bottomRight" activeCell="R41" sqref="R41"/>
      <pageMargins left="0.7" right="0.7" top="0.75" bottom="0.75" header="0.3" footer="0.3"/>
      <pageSetup paperSize="9" orientation="portrait" r:id="rId8"/>
    </customSheetView>
    <customSheetView guid="{47B983AB-FE5F-4725-860C-A2F29420596D}" scale="70">
      <pane xSplit="2" ySplit="10" topLeftCell="C77" activePane="bottomRight" state="frozen"/>
      <selection pane="bottomRight" activeCell="R41" sqref="R41"/>
      <pageMargins left="0.7" right="0.7" top="0.75" bottom="0.75" header="0.3" footer="0.3"/>
      <pageSetup paperSize="9" orientation="portrait" r:id="rId9"/>
    </customSheetView>
    <customSheetView guid="{DAA8A688-7558-4B5B-8DBD-E2629BD9E9A8}" scale="70">
      <pane xSplit="2" ySplit="10" topLeftCell="F11" activePane="bottomRight" state="frozen"/>
      <selection pane="bottomRight" activeCell="A4" sqref="A4:AD4"/>
      <pageMargins left="0.7" right="0.7" top="0.75" bottom="0.75" header="0.3" footer="0.3"/>
      <pageSetup paperSize="9" orientation="portrait" r:id="rId10"/>
    </customSheetView>
    <customSheetView guid="{BCD82A82-B724-4763-8580-D765356E09BA}" scale="70">
      <pane xSplit="2" ySplit="10" topLeftCell="F11" activePane="bottomRight" state="frozen"/>
      <selection pane="bottomRight" activeCell="A4" sqref="A4:AD4"/>
      <pageMargins left="0.7" right="0.7" top="0.75" bottom="0.75" header="0.3" footer="0.3"/>
      <pageSetup paperSize="9" orientation="portrait" r:id="rId11"/>
    </customSheetView>
    <customSheetView guid="{C236B307-BD63-48C4-A75F-B3F3717BF55C}" scale="70">
      <pane xSplit="2" ySplit="10" topLeftCell="F101" activePane="bottomRight" state="frozen"/>
      <selection pane="bottomRight" activeCell="A4" sqref="A4:AD4"/>
      <pageMargins left="0.7" right="0.7" top="0.75" bottom="0.75" header="0.3" footer="0.3"/>
      <pageSetup paperSize="9" orientation="portrait" r:id="rId12"/>
    </customSheetView>
    <customSheetView guid="{87218168-6C8E-4D5B-A5E5-DCCC26803AA3}" scale="70">
      <pane xSplit="2" ySplit="10" topLeftCell="F11" activePane="bottomRight" state="frozen"/>
      <selection pane="bottomRight" activeCell="A4" sqref="A4:AD4"/>
      <pageMargins left="0.7" right="0.7" top="0.75" bottom="0.75" header="0.3" footer="0.3"/>
      <pageSetup paperSize="9" orientation="portrait" r:id="rId13"/>
    </customSheetView>
    <customSheetView guid="{874882D1-E741-4CCA-BF0D-E72FA60B771D}" scale="70">
      <pane xSplit="2" ySplit="10" topLeftCell="F101" activePane="bottomRight" state="frozen"/>
      <selection pane="bottomRight" activeCell="A4" sqref="A4:AD4"/>
      <pageMargins left="0.7" right="0.7" top="0.75" bottom="0.75" header="0.3" footer="0.3"/>
      <pageSetup paperSize="9" orientation="portrait" r:id="rId14"/>
    </customSheetView>
    <customSheetView guid="{B82BA08A-1A30-4F4D-A478-74A6BD09EA97}" scale="70">
      <pane xSplit="2" ySplit="10" topLeftCell="F11" activePane="bottomRight" state="frozen"/>
      <selection pane="bottomRight" activeCell="A4" sqref="A4:AD4"/>
      <pageMargins left="0.7" right="0.7" top="0.75" bottom="0.75" header="0.3" footer="0.3"/>
      <pageSetup paperSize="9" orientation="portrait" r:id="rId15"/>
    </customSheetView>
    <customSheetView guid="{4D0DFB57-2CBA-42F2-9A97-C453A6851FBA}" scale="70">
      <pane xSplit="2" ySplit="10" topLeftCell="C11" activePane="bottomRight" state="frozen"/>
      <selection pane="bottomRight" activeCell="J20" sqref="J20"/>
      <pageMargins left="0.7" right="0.7" top="0.75" bottom="0.75" header="0.3" footer="0.3"/>
      <pageSetup paperSize="9" orientation="portrait" r:id="rId16"/>
    </customSheetView>
    <customSheetView guid="{770624BF-07F3-44B6-94C3-4CC447CDD45C}" scale="70">
      <pane xSplit="2" ySplit="10" topLeftCell="C53" activePane="bottomRight" state="frozen"/>
      <selection pane="bottomRight" activeCell="K61" sqref="K61:K66"/>
      <pageMargins left="0.7" right="0.7" top="0.75" bottom="0.75" header="0.3" footer="0.3"/>
      <pageSetup paperSize="9" orientation="portrait" r:id="rId17"/>
    </customSheetView>
    <customSheetView guid="{E508E171-4ED9-4B07-84DF-DA28C60E1969}" scale="70">
      <pane xSplit="2" ySplit="10" topLeftCell="C77" activePane="bottomRight" state="frozen"/>
      <selection pane="bottomRight" activeCell="R41" sqref="R41"/>
      <pageMargins left="0.7" right="0.7" top="0.75" bottom="0.75" header="0.3" footer="0.3"/>
      <pageSetup paperSize="9" orientation="portrait" r:id="rId18"/>
    </customSheetView>
    <customSheetView guid="{74870EE6-26B9-40F7-9DC9-260EF16D8959}" scale="70">
      <pane xSplit="2" ySplit="10" topLeftCell="C77" activePane="bottomRight" state="frozen"/>
      <selection pane="bottomRight" activeCell="R41" sqref="R41"/>
      <pageMargins left="0.7" right="0.7" top="0.75" bottom="0.75" header="0.3" footer="0.3"/>
      <pageSetup paperSize="9" orientation="portrait" r:id="rId19"/>
    </customSheetView>
    <customSheetView guid="{009B3074-D8EC-4952-BF50-43CD64449612}" scale="70">
      <pane xSplit="2" ySplit="10" topLeftCell="C77" activePane="bottomRight" state="frozen"/>
      <selection pane="bottomRight" activeCell="R41" sqref="R41"/>
      <pageMargins left="0.7" right="0.7" top="0.75" bottom="0.75" header="0.3" footer="0.3"/>
      <pageSetup paperSize="9" orientation="portrait" r:id="rId20"/>
    </customSheetView>
    <customSheetView guid="{F679EF4A-C5FD-4B86-B87B-D85968E0F2CA}" scale="70">
      <pane xSplit="2" ySplit="10" topLeftCell="C77" activePane="bottomRight" state="frozen"/>
      <selection pane="bottomRight" activeCell="R41" sqref="R41"/>
      <pageMargins left="0.7" right="0.7" top="0.75" bottom="0.75" header="0.3" footer="0.3"/>
      <pageSetup paperSize="9" orientation="portrait" r:id="rId21"/>
    </customSheetView>
    <customSheetView guid="{959E901C-5DDE-42EE-AE94-AB8976B5E00B}" scale="70">
      <pane xSplit="2" ySplit="10" topLeftCell="C77" activePane="bottomRight" state="frozen"/>
      <selection pane="bottomRight" activeCell="R41" sqref="R41"/>
      <pageMargins left="0.7" right="0.7" top="0.75" bottom="0.75" header="0.3" footer="0.3"/>
      <pageSetup paperSize="9" orientation="portrait" r:id="rId22"/>
    </customSheetView>
    <customSheetView guid="{69DABE6F-6182-4403-A4A2-969F10F1C13A}" scale="70">
      <pane xSplit="2" ySplit="10" topLeftCell="C38" activePane="bottomRight" state="frozen"/>
      <selection pane="bottomRight" activeCell="A49" sqref="A49"/>
      <pageMargins left="0.7" right="0.7" top="0.75" bottom="0.75" header="0.3" footer="0.3"/>
      <pageSetup paperSize="9" orientation="portrait" r:id="rId23"/>
    </customSheetView>
    <customSheetView guid="{09C3E205-981E-4A4E-BE89-8B7044192060}" scale="70">
      <pane xSplit="2" ySplit="10" topLeftCell="C38" activePane="bottomRight" state="frozen"/>
      <selection pane="bottomRight" activeCell="A49" sqref="A49"/>
      <pageMargins left="0.7" right="0.7" top="0.75" bottom="0.75" header="0.3" footer="0.3"/>
      <pageSetup paperSize="9" orientation="portrait" r:id="rId24"/>
    </customSheetView>
    <customSheetView guid="{6A602CB8-B24C-4ED4-B378-B27354BE0A1A}" scale="70">
      <pane xSplit="2" ySplit="10" topLeftCell="C38" activePane="bottomRight" state="frozen"/>
      <selection pane="bottomRight" activeCell="A49" sqref="A49"/>
      <pageMargins left="0.7" right="0.7" top="0.75" bottom="0.75" header="0.3" footer="0.3"/>
      <pageSetup paperSize="9" orientation="portrait" r:id="rId25"/>
    </customSheetView>
    <customSheetView guid="{7C130984-112A-4861-AA43-E2940708E3DC}" scale="70" state="hidden">
      <pane xSplit="2" ySplit="10" topLeftCell="C38" activePane="bottomRight" state="frozen"/>
      <selection pane="bottomRight" activeCell="A49" sqref="A49"/>
      <pageMargins left="0.7" right="0.7" top="0.75" bottom="0.75" header="0.3" footer="0.3"/>
      <pageSetup paperSize="9" orientation="portrait" r:id="rId26"/>
    </customSheetView>
  </customSheetViews>
  <mergeCells count="24">
    <mergeCell ref="H6:I6"/>
    <mergeCell ref="J6:K6"/>
    <mergeCell ref="L6:M6"/>
    <mergeCell ref="A1:AD1"/>
    <mergeCell ref="A2:AD2"/>
    <mergeCell ref="A3:AD3"/>
    <mergeCell ref="A4:AD4"/>
    <mergeCell ref="AB5:AD5"/>
    <mergeCell ref="A17:AF17"/>
    <mergeCell ref="A18:AF18"/>
    <mergeCell ref="Z6:AA6"/>
    <mergeCell ref="AB6:AC6"/>
    <mergeCell ref="AD6:AE6"/>
    <mergeCell ref="AF6:AF7"/>
    <mergeCell ref="A9:AF9"/>
    <mergeCell ref="A10:AF10"/>
    <mergeCell ref="N6:O6"/>
    <mergeCell ref="P6:Q6"/>
    <mergeCell ref="R6:S6"/>
    <mergeCell ref="T6:U6"/>
    <mergeCell ref="V6:W6"/>
    <mergeCell ref="X6:Y6"/>
    <mergeCell ref="A6:A7"/>
    <mergeCell ref="F6:G6"/>
  </mergeCells>
  <hyperlinks>
    <hyperlink ref="A4:AD4" location="Оглавление!A1" display="Комплексный план (сетевой график) по реализации муниципальной программы &quot;Развитие муниципальной службы  в городе Когалыме&quot;"/>
  </hyperlinks>
  <pageMargins left="0.7" right="0.7" top="0.75" bottom="0.75" header="0.3" footer="0.3"/>
  <pageSetup paperSize="9" orientation="portrait" r:id="rId2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533DC55B-6AD4-4674-9488-685EF2039F3E}">
      <pageMargins left="0.7" right="0.7" top="0.75" bottom="0.75" header="0.3" footer="0.3"/>
    </customSheetView>
    <customSheetView guid="{85F4575B-DBC5-482A-9916-255D8F0BC94E}">
      <pageMargins left="0.7" right="0.7" top="0.75" bottom="0.75" header="0.3" footer="0.3"/>
    </customSheetView>
    <customSheetView guid="{69DABE6F-6182-4403-A4A2-969F10F1C13A}">
      <pageMargins left="0.7" right="0.7" top="0.75" bottom="0.75" header="0.3" footer="0.3"/>
    </customSheetView>
    <customSheetView guid="{09C3E205-981E-4A4E-BE89-8B7044192060}">
      <pageMargins left="0.7" right="0.7" top="0.75" bottom="0.75" header="0.3" footer="0.3"/>
    </customSheetView>
    <customSheetView guid="{6A602CB8-B24C-4ED4-B378-B27354BE0A1A}">
      <pageMargins left="0.7" right="0.7" top="0.75" bottom="0.75" header="0.3" footer="0.3"/>
    </customSheetView>
    <customSheetView guid="{7C130984-112A-4861-AA43-E2940708E3DC}" state="hidden">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56"/>
  <sheetViews>
    <sheetView zoomScale="55" zoomScaleNormal="55" zoomScaleSheetLayoutView="70" workbookViewId="0">
      <pane xSplit="2" ySplit="10" topLeftCell="C38" activePane="bottomRight" state="frozen"/>
      <selection activeCell="F284" sqref="F284:G284"/>
      <selection pane="topRight" activeCell="F284" sqref="F284:G284"/>
      <selection pane="bottomLeft" activeCell="F284" sqref="F284:G284"/>
      <selection pane="bottomRight" activeCell="C61" sqref="C61"/>
    </sheetView>
  </sheetViews>
  <sheetFormatPr defaultColWidth="9.140625" defaultRowHeight="18.75" x14ac:dyDescent="0.3"/>
  <cols>
    <col min="1" max="1" width="57.7109375" style="10" customWidth="1"/>
    <col min="2" max="5" width="15.140625" style="10" customWidth="1"/>
    <col min="6" max="6" width="16.140625" style="10" customWidth="1"/>
    <col min="7" max="7" width="15" style="10" customWidth="1"/>
    <col min="8" max="10" width="13.85546875" style="10" customWidth="1"/>
    <col min="11" max="11" width="14.7109375" style="10" customWidth="1"/>
    <col min="12" max="12" width="13.85546875" style="10" customWidth="1"/>
    <col min="13" max="13" width="13.28515625" style="10" customWidth="1"/>
    <col min="14" max="14" width="13.85546875" style="10" customWidth="1"/>
    <col min="15" max="15" width="9.42578125" style="10" customWidth="1"/>
    <col min="16" max="16" width="13.85546875" style="10" customWidth="1"/>
    <col min="17" max="17" width="9.5703125" style="10" customWidth="1"/>
    <col min="18" max="18" width="13.85546875" style="10" customWidth="1"/>
    <col min="19" max="19" width="12.140625" style="10" customWidth="1"/>
    <col min="20" max="20" width="13.85546875" style="10" customWidth="1"/>
    <col min="21" max="21" width="11.140625" style="10" customWidth="1"/>
    <col min="22" max="22" width="14.5703125" style="10" customWidth="1"/>
    <col min="23" max="23" width="11.5703125" style="10" customWidth="1"/>
    <col min="24" max="24" width="11.28515625" style="10" customWidth="1"/>
    <col min="25" max="25" width="10.5703125" style="10" customWidth="1"/>
    <col min="26" max="26" width="17" style="10" customWidth="1"/>
    <col min="27" max="27" width="11.28515625" style="10" customWidth="1"/>
    <col min="28" max="28" width="10.7109375" style="10" customWidth="1"/>
    <col min="29" max="29" width="10.42578125" style="10" customWidth="1"/>
    <col min="30" max="31" width="10.5703125" style="10" customWidth="1"/>
    <col min="32" max="32" width="78.140625" style="10" customWidth="1"/>
    <col min="33" max="33" width="9.140625" style="160"/>
    <col min="34" max="34" width="9.140625" style="10"/>
    <col min="35" max="35" width="16.28515625" style="10" customWidth="1"/>
    <col min="36" max="16384" width="9.140625" style="10"/>
  </cols>
  <sheetData>
    <row r="1" spans="1:34" ht="18.75" customHeight="1" x14ac:dyDescent="0.3">
      <c r="A1" s="923"/>
      <c r="B1" s="923"/>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158"/>
      <c r="AF1" s="159"/>
    </row>
    <row r="2" spans="1:34" ht="18.75" customHeight="1" x14ac:dyDescent="0.3">
      <c r="A2" s="923"/>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158"/>
      <c r="AF2" s="159"/>
    </row>
    <row r="3" spans="1:34" ht="18.75" customHeight="1" x14ac:dyDescent="0.3">
      <c r="A3" s="923"/>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158"/>
      <c r="AF3" s="159"/>
    </row>
    <row r="4" spans="1:34" s="164" customFormat="1" ht="18.75" customHeight="1" x14ac:dyDescent="0.25">
      <c r="A4" s="924" t="s">
        <v>234</v>
      </c>
      <c r="B4" s="924"/>
      <c r="C4" s="924"/>
      <c r="D4" s="924"/>
      <c r="E4" s="924"/>
      <c r="F4" s="924"/>
      <c r="G4" s="924"/>
      <c r="H4" s="924"/>
      <c r="I4" s="924"/>
      <c r="J4" s="924"/>
      <c r="K4" s="924"/>
      <c r="L4" s="924"/>
      <c r="M4" s="924"/>
      <c r="N4" s="924"/>
      <c r="O4" s="924"/>
      <c r="P4" s="924"/>
      <c r="Q4" s="924"/>
      <c r="R4" s="924"/>
      <c r="S4" s="924"/>
      <c r="T4" s="924"/>
      <c r="U4" s="924"/>
      <c r="V4" s="924"/>
      <c r="W4" s="924"/>
      <c r="X4" s="924"/>
      <c r="Y4" s="924"/>
      <c r="Z4" s="924"/>
      <c r="AA4" s="924"/>
      <c r="AB4" s="924"/>
      <c r="AC4" s="924"/>
      <c r="AD4" s="924"/>
      <c r="AE4" s="161"/>
      <c r="AF4" s="162"/>
      <c r="AG4" s="163"/>
    </row>
    <row r="5" spans="1:34" ht="18.75" customHeight="1" x14ac:dyDescent="0.3">
      <c r="A5" s="165"/>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925"/>
      <c r="AC5" s="925"/>
      <c r="AD5" s="925"/>
      <c r="AE5" s="166"/>
      <c r="AF5" s="167"/>
    </row>
    <row r="6" spans="1:34" ht="37.5" customHeight="1" x14ac:dyDescent="0.3">
      <c r="A6" s="912" t="s">
        <v>163</v>
      </c>
      <c r="B6" s="95" t="s">
        <v>3</v>
      </c>
      <c r="C6" s="95" t="s">
        <v>3</v>
      </c>
      <c r="D6" s="95" t="s">
        <v>4</v>
      </c>
      <c r="E6" s="95" t="s">
        <v>5</v>
      </c>
      <c r="F6" s="913" t="s">
        <v>6</v>
      </c>
      <c r="G6" s="914"/>
      <c r="H6" s="913" t="s">
        <v>7</v>
      </c>
      <c r="I6" s="915"/>
      <c r="J6" s="913" t="s">
        <v>8</v>
      </c>
      <c r="K6" s="915"/>
      <c r="L6" s="913" t="s">
        <v>9</v>
      </c>
      <c r="M6" s="915"/>
      <c r="N6" s="913" t="s">
        <v>10</v>
      </c>
      <c r="O6" s="915"/>
      <c r="P6" s="913" t="s">
        <v>11</v>
      </c>
      <c r="Q6" s="915"/>
      <c r="R6" s="913" t="s">
        <v>12</v>
      </c>
      <c r="S6" s="915"/>
      <c r="T6" s="913" t="s">
        <v>13</v>
      </c>
      <c r="U6" s="915"/>
      <c r="V6" s="913" t="s">
        <v>14</v>
      </c>
      <c r="W6" s="915"/>
      <c r="X6" s="913" t="s">
        <v>15</v>
      </c>
      <c r="Y6" s="915"/>
      <c r="Z6" s="913" t="s">
        <v>16</v>
      </c>
      <c r="AA6" s="915"/>
      <c r="AB6" s="913" t="s">
        <v>17</v>
      </c>
      <c r="AC6" s="915"/>
      <c r="AD6" s="916" t="s">
        <v>18</v>
      </c>
      <c r="AE6" s="916"/>
      <c r="AF6" s="902" t="s">
        <v>19</v>
      </c>
    </row>
    <row r="7" spans="1:34" ht="56.25" x14ac:dyDescent="0.3">
      <c r="A7" s="912"/>
      <c r="B7" s="3">
        <v>2024</v>
      </c>
      <c r="C7" s="4">
        <v>45383</v>
      </c>
      <c r="D7" s="4">
        <v>45383</v>
      </c>
      <c r="E7" s="4">
        <v>45383</v>
      </c>
      <c r="F7" s="5" t="s">
        <v>20</v>
      </c>
      <c r="G7" s="5" t="s">
        <v>21</v>
      </c>
      <c r="H7" s="5" t="s">
        <v>22</v>
      </c>
      <c r="I7" s="96" t="s">
        <v>164</v>
      </c>
      <c r="J7" s="5" t="s">
        <v>22</v>
      </c>
      <c r="K7" s="96" t="s">
        <v>164</v>
      </c>
      <c r="L7" s="5" t="s">
        <v>22</v>
      </c>
      <c r="M7" s="96" t="s">
        <v>164</v>
      </c>
      <c r="N7" s="5" t="s">
        <v>22</v>
      </c>
      <c r="O7" s="96" t="s">
        <v>164</v>
      </c>
      <c r="P7" s="5" t="s">
        <v>22</v>
      </c>
      <c r="Q7" s="96" t="s">
        <v>164</v>
      </c>
      <c r="R7" s="5" t="s">
        <v>22</v>
      </c>
      <c r="S7" s="96" t="s">
        <v>164</v>
      </c>
      <c r="T7" s="5" t="s">
        <v>22</v>
      </c>
      <c r="U7" s="96" t="s">
        <v>164</v>
      </c>
      <c r="V7" s="5" t="s">
        <v>22</v>
      </c>
      <c r="W7" s="96" t="s">
        <v>164</v>
      </c>
      <c r="X7" s="5" t="s">
        <v>22</v>
      </c>
      <c r="Y7" s="96" t="s">
        <v>164</v>
      </c>
      <c r="Z7" s="5" t="s">
        <v>22</v>
      </c>
      <c r="AA7" s="96" t="s">
        <v>164</v>
      </c>
      <c r="AB7" s="5" t="s">
        <v>22</v>
      </c>
      <c r="AC7" s="96" t="s">
        <v>164</v>
      </c>
      <c r="AD7" s="5" t="s">
        <v>22</v>
      </c>
      <c r="AE7" s="96" t="s">
        <v>164</v>
      </c>
      <c r="AF7" s="903"/>
    </row>
    <row r="8" spans="1:34" x14ac:dyDescent="0.3">
      <c r="A8" s="168">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4" s="169" customFormat="1" x14ac:dyDescent="0.3">
      <c r="A9" s="920" t="s">
        <v>235</v>
      </c>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2"/>
    </row>
    <row r="10" spans="1:34" s="169" customFormat="1" x14ac:dyDescent="0.3">
      <c r="A10" s="920" t="s">
        <v>54</v>
      </c>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2"/>
    </row>
    <row r="11" spans="1:34" ht="56.25" x14ac:dyDescent="0.3">
      <c r="A11" s="170" t="s">
        <v>236</v>
      </c>
      <c r="B11" s="171">
        <f t="shared" ref="B11:K11" si="0">B12</f>
        <v>6362.5</v>
      </c>
      <c r="C11" s="172">
        <f t="shared" si="0"/>
        <v>5362.5</v>
      </c>
      <c r="D11" s="172">
        <f>D12</f>
        <v>5362.5</v>
      </c>
      <c r="E11" s="171">
        <f t="shared" si="0"/>
        <v>5362.5</v>
      </c>
      <c r="F11" s="173">
        <f t="shared" si="0"/>
        <v>100</v>
      </c>
      <c r="G11" s="173">
        <f t="shared" si="0"/>
        <v>100</v>
      </c>
      <c r="H11" s="171">
        <f>H12</f>
        <v>5362.5</v>
      </c>
      <c r="I11" s="171">
        <f t="shared" si="0"/>
        <v>5362.5</v>
      </c>
      <c r="J11" s="171">
        <f t="shared" si="0"/>
        <v>0</v>
      </c>
      <c r="K11" s="173">
        <f t="shared" si="0"/>
        <v>0</v>
      </c>
      <c r="L11" s="171">
        <f>L12</f>
        <v>0</v>
      </c>
      <c r="M11" s="173">
        <f>M12</f>
        <v>0</v>
      </c>
      <c r="N11" s="171">
        <f>N12</f>
        <v>0</v>
      </c>
      <c r="O11" s="173"/>
      <c r="P11" s="171">
        <f>P12</f>
        <v>0</v>
      </c>
      <c r="Q11" s="173"/>
      <c r="R11" s="171">
        <f>R12</f>
        <v>0</v>
      </c>
      <c r="S11" s="173"/>
      <c r="T11" s="171">
        <f>T12</f>
        <v>0</v>
      </c>
      <c r="U11" s="173"/>
      <c r="V11" s="171">
        <f>V12</f>
        <v>0</v>
      </c>
      <c r="W11" s="173"/>
      <c r="X11" s="171">
        <f>X12</f>
        <v>0</v>
      </c>
      <c r="Y11" s="173"/>
      <c r="Z11" s="171">
        <f>Z12</f>
        <v>0</v>
      </c>
      <c r="AA11" s="173"/>
      <c r="AB11" s="171">
        <f>AB12</f>
        <v>1000</v>
      </c>
      <c r="AC11" s="173"/>
      <c r="AD11" s="171">
        <f>AD12</f>
        <v>0</v>
      </c>
      <c r="AE11" s="174"/>
      <c r="AF11" s="175"/>
      <c r="AG11" s="176">
        <f>AD11+AB11+Z11+X11+V11+T11+R11+P11+N11+L11+J11+H11-B11</f>
        <v>0</v>
      </c>
      <c r="AH11" s="672">
        <f t="shared" ref="AH11:AH42" si="1">C11-E11</f>
        <v>0</v>
      </c>
    </row>
    <row r="12" spans="1:34" s="178" customFormat="1" x14ac:dyDescent="0.3">
      <c r="A12" s="177" t="s">
        <v>31</v>
      </c>
      <c r="B12" s="171">
        <f>B13+B14+B15+B16</f>
        <v>6362.5</v>
      </c>
      <c r="C12" s="171">
        <f>C13+C14+C15+C16</f>
        <v>5362.5</v>
      </c>
      <c r="D12" s="171">
        <f>D13+D14+D15+D16</f>
        <v>5362.5</v>
      </c>
      <c r="E12" s="171">
        <f t="shared" ref="E12:J12" si="2">E13+E14+E15+E16</f>
        <v>5362.5</v>
      </c>
      <c r="F12" s="171">
        <f t="shared" si="2"/>
        <v>100</v>
      </c>
      <c r="G12" s="171">
        <f>G15</f>
        <v>100</v>
      </c>
      <c r="H12" s="171">
        <f>H13+H14+H15+H16</f>
        <v>5362.5</v>
      </c>
      <c r="I12" s="171">
        <f t="shared" si="2"/>
        <v>5362.5</v>
      </c>
      <c r="J12" s="171">
        <f t="shared" si="2"/>
        <v>0</v>
      </c>
      <c r="K12" s="171">
        <f t="shared" ref="K12" si="3">K13+K14+K15+K16</f>
        <v>0</v>
      </c>
      <c r="L12" s="171">
        <f>L13+L14+L15+L16</f>
        <v>0</v>
      </c>
      <c r="M12" s="171">
        <f t="shared" ref="M12" si="4">M13+M14+M15+M16</f>
        <v>0</v>
      </c>
      <c r="N12" s="171">
        <f>N13+N14+N15+N16</f>
        <v>0</v>
      </c>
      <c r="O12" s="171"/>
      <c r="P12" s="171">
        <f>P13+P14+P15+P16</f>
        <v>0</v>
      </c>
      <c r="Q12" s="171"/>
      <c r="R12" s="171">
        <f>R13+R14+R15+R16</f>
        <v>0</v>
      </c>
      <c r="S12" s="171"/>
      <c r="T12" s="171">
        <f>T13+T14+T15+T16</f>
        <v>0</v>
      </c>
      <c r="U12" s="171"/>
      <c r="V12" s="171">
        <f>V13+V14+V15+V16</f>
        <v>0</v>
      </c>
      <c r="W12" s="171"/>
      <c r="X12" s="171">
        <f>X13+X14+X15+X16</f>
        <v>0</v>
      </c>
      <c r="Y12" s="171"/>
      <c r="Z12" s="171">
        <f>Z13+Z14+Z15+Z16</f>
        <v>0</v>
      </c>
      <c r="AA12" s="171"/>
      <c r="AB12" s="171">
        <f>AB13+AB14+AB15+AB16</f>
        <v>1000</v>
      </c>
      <c r="AC12" s="171"/>
      <c r="AD12" s="171">
        <f>AD13+AD14+AD15+AD16</f>
        <v>0</v>
      </c>
      <c r="AE12" s="171"/>
      <c r="AF12" s="175"/>
      <c r="AG12" s="176">
        <f t="shared" ref="AG12:AG41" si="5">AD12+AB12+Z12+X12+V12+T12+R12+P12+N12+L12+J12+H12-B12</f>
        <v>0</v>
      </c>
      <c r="AH12" s="672">
        <f t="shared" si="1"/>
        <v>0</v>
      </c>
    </row>
    <row r="13" spans="1:34" x14ac:dyDescent="0.3">
      <c r="A13" s="179" t="s">
        <v>169</v>
      </c>
      <c r="B13" s="180">
        <f>H13+J13+L13+N13+P13+R13+T13+V13+X13+Z13+AB13+AD13</f>
        <v>0</v>
      </c>
      <c r="C13" s="181">
        <f>H13+J13</f>
        <v>0</v>
      </c>
      <c r="D13" s="181">
        <f>I13</f>
        <v>0</v>
      </c>
      <c r="E13" s="180">
        <v>0</v>
      </c>
      <c r="F13" s="182">
        <v>0</v>
      </c>
      <c r="G13" s="180">
        <v>0</v>
      </c>
      <c r="H13" s="180">
        <f>H19+H25</f>
        <v>0</v>
      </c>
      <c r="I13" s="180">
        <f t="shared" ref="I13:AE16" si="6">I19+I25</f>
        <v>0</v>
      </c>
      <c r="J13" s="180">
        <f t="shared" si="6"/>
        <v>0</v>
      </c>
      <c r="K13" s="180">
        <f t="shared" si="6"/>
        <v>0</v>
      </c>
      <c r="L13" s="180">
        <f t="shared" si="6"/>
        <v>0</v>
      </c>
      <c r="M13" s="180">
        <f t="shared" si="6"/>
        <v>0</v>
      </c>
      <c r="N13" s="180">
        <f t="shared" si="6"/>
        <v>0</v>
      </c>
      <c r="O13" s="180">
        <f t="shared" si="6"/>
        <v>0</v>
      </c>
      <c r="P13" s="180">
        <f t="shared" si="6"/>
        <v>0</v>
      </c>
      <c r="Q13" s="180">
        <f t="shared" si="6"/>
        <v>0</v>
      </c>
      <c r="R13" s="180">
        <f t="shared" si="6"/>
        <v>0</v>
      </c>
      <c r="S13" s="180">
        <f t="shared" si="6"/>
        <v>0</v>
      </c>
      <c r="T13" s="180">
        <f t="shared" si="6"/>
        <v>0</v>
      </c>
      <c r="U13" s="180">
        <f t="shared" si="6"/>
        <v>0</v>
      </c>
      <c r="V13" s="180">
        <f t="shared" si="6"/>
        <v>0</v>
      </c>
      <c r="W13" s="180">
        <f t="shared" si="6"/>
        <v>0</v>
      </c>
      <c r="X13" s="180">
        <f t="shared" si="6"/>
        <v>0</v>
      </c>
      <c r="Y13" s="180">
        <f t="shared" si="6"/>
        <v>0</v>
      </c>
      <c r="Z13" s="180">
        <f t="shared" si="6"/>
        <v>0</v>
      </c>
      <c r="AA13" s="180">
        <f t="shared" si="6"/>
        <v>0</v>
      </c>
      <c r="AB13" s="180">
        <f t="shared" si="6"/>
        <v>0</v>
      </c>
      <c r="AC13" s="180">
        <f t="shared" si="6"/>
        <v>0</v>
      </c>
      <c r="AD13" s="180">
        <f t="shared" si="6"/>
        <v>0</v>
      </c>
      <c r="AE13" s="180">
        <f t="shared" si="6"/>
        <v>0</v>
      </c>
      <c r="AF13" s="183"/>
      <c r="AG13" s="176">
        <f t="shared" si="5"/>
        <v>0</v>
      </c>
      <c r="AH13" s="672">
        <f t="shared" si="1"/>
        <v>0</v>
      </c>
    </row>
    <row r="14" spans="1:34" x14ac:dyDescent="0.3">
      <c r="A14" s="179" t="s">
        <v>32</v>
      </c>
      <c r="B14" s="180">
        <f>H14+J14+L14+N14+P14+R14+T14+V14+X14+Z14+AB14+AD14</f>
        <v>0</v>
      </c>
      <c r="C14" s="181">
        <f>H14+J14</f>
        <v>0</v>
      </c>
      <c r="D14" s="181">
        <f>I14</f>
        <v>0</v>
      </c>
      <c r="E14" s="180">
        <v>0</v>
      </c>
      <c r="F14" s="182">
        <v>0</v>
      </c>
      <c r="G14" s="180">
        <v>0</v>
      </c>
      <c r="H14" s="180">
        <f>H20+H26</f>
        <v>0</v>
      </c>
      <c r="I14" s="180">
        <f t="shared" ref="H14:W16" si="7">I20+I26</f>
        <v>0</v>
      </c>
      <c r="J14" s="180">
        <f t="shared" si="7"/>
        <v>0</v>
      </c>
      <c r="K14" s="180">
        <f t="shared" si="7"/>
        <v>0</v>
      </c>
      <c r="L14" s="180">
        <f t="shared" si="7"/>
        <v>0</v>
      </c>
      <c r="M14" s="180">
        <f t="shared" si="7"/>
        <v>0</v>
      </c>
      <c r="N14" s="180">
        <f t="shared" si="7"/>
        <v>0</v>
      </c>
      <c r="O14" s="180">
        <f t="shared" si="7"/>
        <v>0</v>
      </c>
      <c r="P14" s="180">
        <f t="shared" si="7"/>
        <v>0</v>
      </c>
      <c r="Q14" s="180">
        <f t="shared" si="7"/>
        <v>0</v>
      </c>
      <c r="R14" s="180">
        <f t="shared" si="7"/>
        <v>0</v>
      </c>
      <c r="S14" s="180">
        <f t="shared" si="7"/>
        <v>0</v>
      </c>
      <c r="T14" s="180">
        <f t="shared" si="7"/>
        <v>0</v>
      </c>
      <c r="U14" s="180">
        <f t="shared" si="7"/>
        <v>0</v>
      </c>
      <c r="V14" s="180">
        <f t="shared" si="7"/>
        <v>0</v>
      </c>
      <c r="W14" s="180">
        <f t="shared" si="7"/>
        <v>0</v>
      </c>
      <c r="X14" s="180">
        <f t="shared" si="6"/>
        <v>0</v>
      </c>
      <c r="Y14" s="180">
        <f t="shared" si="6"/>
        <v>0</v>
      </c>
      <c r="Z14" s="180">
        <f t="shared" si="6"/>
        <v>0</v>
      </c>
      <c r="AA14" s="180">
        <f t="shared" si="6"/>
        <v>0</v>
      </c>
      <c r="AB14" s="180">
        <f t="shared" si="6"/>
        <v>0</v>
      </c>
      <c r="AC14" s="180">
        <f t="shared" si="6"/>
        <v>0</v>
      </c>
      <c r="AD14" s="180">
        <f t="shared" si="6"/>
        <v>0</v>
      </c>
      <c r="AE14" s="180">
        <f t="shared" si="6"/>
        <v>0</v>
      </c>
      <c r="AF14" s="183"/>
      <c r="AG14" s="176">
        <f t="shared" si="5"/>
        <v>0</v>
      </c>
      <c r="AH14" s="672">
        <f t="shared" si="1"/>
        <v>0</v>
      </c>
    </row>
    <row r="15" spans="1:34" x14ac:dyDescent="0.3">
      <c r="A15" s="179" t="s">
        <v>33</v>
      </c>
      <c r="B15" s="180">
        <f>H15+J15+L15+N15+P15+R15+T15+V15+X15+Z15+AB15+AD15</f>
        <v>6362.5</v>
      </c>
      <c r="C15" s="181">
        <f>C21+C27</f>
        <v>5362.5</v>
      </c>
      <c r="D15" s="181">
        <f>I15</f>
        <v>5362.5</v>
      </c>
      <c r="E15" s="182">
        <f>I15</f>
        <v>5362.5</v>
      </c>
      <c r="F15" s="182">
        <f>F24</f>
        <v>100</v>
      </c>
      <c r="G15" s="182">
        <f>G24</f>
        <v>100</v>
      </c>
      <c r="H15" s="180">
        <f t="shared" si="7"/>
        <v>5362.5</v>
      </c>
      <c r="I15" s="180">
        <v>5362.5</v>
      </c>
      <c r="J15" s="180">
        <f t="shared" si="6"/>
        <v>0</v>
      </c>
      <c r="K15" s="180">
        <f t="shared" si="6"/>
        <v>0</v>
      </c>
      <c r="L15" s="180">
        <f t="shared" si="6"/>
        <v>0</v>
      </c>
      <c r="M15" s="180">
        <f t="shared" si="6"/>
        <v>0</v>
      </c>
      <c r="N15" s="180">
        <f t="shared" si="6"/>
        <v>0</v>
      </c>
      <c r="O15" s="180">
        <f t="shared" si="6"/>
        <v>0</v>
      </c>
      <c r="P15" s="180">
        <f t="shared" si="6"/>
        <v>0</v>
      </c>
      <c r="Q15" s="180">
        <f t="shared" si="6"/>
        <v>0</v>
      </c>
      <c r="R15" s="180">
        <f t="shared" si="6"/>
        <v>0</v>
      </c>
      <c r="S15" s="180">
        <f t="shared" si="6"/>
        <v>0</v>
      </c>
      <c r="T15" s="180">
        <f t="shared" si="6"/>
        <v>0</v>
      </c>
      <c r="U15" s="180">
        <f t="shared" si="6"/>
        <v>0</v>
      </c>
      <c r="V15" s="180">
        <f t="shared" si="6"/>
        <v>0</v>
      </c>
      <c r="W15" s="180">
        <f t="shared" si="6"/>
        <v>0</v>
      </c>
      <c r="X15" s="180">
        <f t="shared" si="6"/>
        <v>0</v>
      </c>
      <c r="Y15" s="180">
        <f t="shared" si="6"/>
        <v>0</v>
      </c>
      <c r="Z15" s="180">
        <f t="shared" si="6"/>
        <v>0</v>
      </c>
      <c r="AA15" s="180">
        <f t="shared" si="6"/>
        <v>0</v>
      </c>
      <c r="AB15" s="180">
        <f t="shared" si="6"/>
        <v>1000</v>
      </c>
      <c r="AC15" s="180">
        <f>AC21+AC27</f>
        <v>0</v>
      </c>
      <c r="AD15" s="180">
        <f t="shared" si="6"/>
        <v>0</v>
      </c>
      <c r="AE15" s="180">
        <f t="shared" si="6"/>
        <v>0</v>
      </c>
      <c r="AF15" s="183"/>
      <c r="AG15" s="176">
        <f t="shared" si="5"/>
        <v>0</v>
      </c>
      <c r="AH15" s="672">
        <f t="shared" si="1"/>
        <v>0</v>
      </c>
    </row>
    <row r="16" spans="1:34" x14ac:dyDescent="0.3">
      <c r="A16" s="179" t="s">
        <v>221</v>
      </c>
      <c r="B16" s="180">
        <f>H16+J16+L16+N16+P16+R16+T16+V16+X16+Z16+AB16+AD16</f>
        <v>0</v>
      </c>
      <c r="C16" s="181">
        <f>H16+J16</f>
        <v>0</v>
      </c>
      <c r="D16" s="181">
        <f>I16</f>
        <v>0</v>
      </c>
      <c r="E16" s="180">
        <v>0</v>
      </c>
      <c r="F16" s="182">
        <v>0</v>
      </c>
      <c r="G16" s="180">
        <v>0</v>
      </c>
      <c r="H16" s="180">
        <f t="shared" si="7"/>
        <v>0</v>
      </c>
      <c r="I16" s="180">
        <f t="shared" si="6"/>
        <v>0</v>
      </c>
      <c r="J16" s="180">
        <f t="shared" si="6"/>
        <v>0</v>
      </c>
      <c r="K16" s="180">
        <f t="shared" si="6"/>
        <v>0</v>
      </c>
      <c r="L16" s="180">
        <f t="shared" si="6"/>
        <v>0</v>
      </c>
      <c r="M16" s="180">
        <f t="shared" si="6"/>
        <v>0</v>
      </c>
      <c r="N16" s="180">
        <f t="shared" si="6"/>
        <v>0</v>
      </c>
      <c r="O16" s="180">
        <f t="shared" si="6"/>
        <v>0</v>
      </c>
      <c r="P16" s="180">
        <f t="shared" si="6"/>
        <v>0</v>
      </c>
      <c r="Q16" s="180">
        <f t="shared" si="6"/>
        <v>0</v>
      </c>
      <c r="R16" s="180">
        <f t="shared" si="6"/>
        <v>0</v>
      </c>
      <c r="S16" s="180">
        <f t="shared" si="6"/>
        <v>0</v>
      </c>
      <c r="T16" s="180">
        <f t="shared" si="6"/>
        <v>0</v>
      </c>
      <c r="U16" s="180">
        <f t="shared" si="6"/>
        <v>0</v>
      </c>
      <c r="V16" s="180">
        <f t="shared" si="6"/>
        <v>0</v>
      </c>
      <c r="W16" s="180">
        <f t="shared" si="6"/>
        <v>0</v>
      </c>
      <c r="X16" s="180">
        <f t="shared" si="6"/>
        <v>0</v>
      </c>
      <c r="Y16" s="180">
        <f t="shared" si="6"/>
        <v>0</v>
      </c>
      <c r="Z16" s="180">
        <f t="shared" si="6"/>
        <v>0</v>
      </c>
      <c r="AA16" s="180">
        <f t="shared" si="6"/>
        <v>0</v>
      </c>
      <c r="AB16" s="180">
        <f t="shared" si="6"/>
        <v>0</v>
      </c>
      <c r="AC16" s="180">
        <f t="shared" si="6"/>
        <v>0</v>
      </c>
      <c r="AD16" s="180">
        <f t="shared" si="6"/>
        <v>0</v>
      </c>
      <c r="AE16" s="180">
        <f t="shared" si="6"/>
        <v>0</v>
      </c>
      <c r="AF16" s="183"/>
      <c r="AG16" s="176">
        <f t="shared" si="5"/>
        <v>0</v>
      </c>
      <c r="AH16" s="672">
        <f t="shared" si="1"/>
        <v>0</v>
      </c>
    </row>
    <row r="17" spans="1:34" ht="55.9" customHeight="1" x14ac:dyDescent="0.3">
      <c r="A17" s="202" t="s">
        <v>506</v>
      </c>
      <c r="B17" s="192"/>
      <c r="C17" s="192"/>
      <c r="D17" s="192"/>
      <c r="E17" s="193"/>
      <c r="F17" s="194"/>
      <c r="G17" s="194"/>
      <c r="H17" s="192"/>
      <c r="I17" s="193"/>
      <c r="J17" s="192"/>
      <c r="K17" s="193"/>
      <c r="L17" s="192"/>
      <c r="M17" s="193"/>
      <c r="N17" s="192"/>
      <c r="O17" s="193"/>
      <c r="P17" s="192"/>
      <c r="Q17" s="193"/>
      <c r="R17" s="192"/>
      <c r="S17" s="193"/>
      <c r="T17" s="192"/>
      <c r="U17" s="193"/>
      <c r="V17" s="192"/>
      <c r="W17" s="193"/>
      <c r="X17" s="192"/>
      <c r="Y17" s="193"/>
      <c r="Z17" s="192"/>
      <c r="AA17" s="193"/>
      <c r="AB17" s="192"/>
      <c r="AC17" s="193"/>
      <c r="AD17" s="192"/>
      <c r="AE17" s="195"/>
      <c r="AF17" s="203"/>
      <c r="AG17" s="176">
        <f t="shared" si="5"/>
        <v>0</v>
      </c>
      <c r="AH17" s="672">
        <f t="shared" si="1"/>
        <v>0</v>
      </c>
    </row>
    <row r="18" spans="1:34" s="178" customFormat="1" ht="42.6" customHeight="1" x14ac:dyDescent="0.3">
      <c r="A18" s="197" t="s">
        <v>31</v>
      </c>
      <c r="B18" s="198">
        <f>B19+B20+B21+B22</f>
        <v>1000</v>
      </c>
      <c r="C18" s="198">
        <f>C19+C20+C21+C22</f>
        <v>0</v>
      </c>
      <c r="D18" s="198">
        <f>D19+D20+D21+D22</f>
        <v>0</v>
      </c>
      <c r="E18" s="198">
        <f>E19+E20+E21+E22</f>
        <v>0</v>
      </c>
      <c r="F18" s="199">
        <f t="shared" ref="F18:F22" si="8">IFERROR(E18/B18*100,0)</f>
        <v>0</v>
      </c>
      <c r="G18" s="199">
        <f t="shared" ref="G18:G22" si="9">IFERROR(E18/C18*100,0)</f>
        <v>0</v>
      </c>
      <c r="H18" s="198">
        <f>H19+H20+H21+H22</f>
        <v>0</v>
      </c>
      <c r="I18" s="198">
        <f>I19+I20+I21+I22</f>
        <v>0</v>
      </c>
      <c r="J18" s="198">
        <f>J19+J20+J21+J22</f>
        <v>0</v>
      </c>
      <c r="K18" s="198">
        <v>0</v>
      </c>
      <c r="L18" s="198">
        <f>L19+L20+L21+L22</f>
        <v>0</v>
      </c>
      <c r="M18" s="198">
        <f>M19</f>
        <v>0</v>
      </c>
      <c r="N18" s="198">
        <f>N19+N20+N21+N22</f>
        <v>0</v>
      </c>
      <c r="O18" s="198"/>
      <c r="P18" s="198">
        <f>P19+P20+P21+P22</f>
        <v>0</v>
      </c>
      <c r="Q18" s="198"/>
      <c r="R18" s="198">
        <f>R19+R20+R21+R22</f>
        <v>0</v>
      </c>
      <c r="S18" s="198"/>
      <c r="T18" s="198">
        <f>T19+T20+T21+T22</f>
        <v>0</v>
      </c>
      <c r="U18" s="198"/>
      <c r="V18" s="198">
        <f>V19+V20+V21+V22</f>
        <v>0</v>
      </c>
      <c r="W18" s="198"/>
      <c r="X18" s="198">
        <f>X19+X20+X21+X22</f>
        <v>0</v>
      </c>
      <c r="Y18" s="198"/>
      <c r="Z18" s="198">
        <f>Z19+Z20+Z21+Z22</f>
        <v>0</v>
      </c>
      <c r="AA18" s="198"/>
      <c r="AB18" s="198">
        <f>AB19+AB20+AB21+AB22</f>
        <v>1000</v>
      </c>
      <c r="AC18" s="198"/>
      <c r="AD18" s="198">
        <f>AD19+AD20+AD21+AD22</f>
        <v>0</v>
      </c>
      <c r="AE18" s="198"/>
      <c r="AF18" s="227" t="s">
        <v>481</v>
      </c>
      <c r="AG18" s="176">
        <f t="shared" si="5"/>
        <v>0</v>
      </c>
      <c r="AH18" s="672">
        <f t="shared" si="1"/>
        <v>0</v>
      </c>
    </row>
    <row r="19" spans="1:34" x14ac:dyDescent="0.3">
      <c r="A19" s="200" t="s">
        <v>169</v>
      </c>
      <c r="B19" s="192">
        <f>H19+J19+L19+N19+P19+R19+T19+V19+X19+Z19+AB19+AD19</f>
        <v>0</v>
      </c>
      <c r="C19" s="192">
        <f>H19+J19</f>
        <v>0</v>
      </c>
      <c r="D19" s="192">
        <f t="shared" ref="D19:D20" si="10">E19</f>
        <v>0</v>
      </c>
      <c r="E19" s="192">
        <v>0</v>
      </c>
      <c r="F19" s="194">
        <f t="shared" si="8"/>
        <v>0</v>
      </c>
      <c r="G19" s="194">
        <f t="shared" si="9"/>
        <v>0</v>
      </c>
      <c r="H19" s="192">
        <v>0</v>
      </c>
      <c r="I19" s="192">
        <v>0</v>
      </c>
      <c r="J19" s="192">
        <v>0</v>
      </c>
      <c r="K19" s="192">
        <v>0</v>
      </c>
      <c r="L19" s="192">
        <v>0</v>
      </c>
      <c r="M19" s="192">
        <v>0</v>
      </c>
      <c r="N19" s="192"/>
      <c r="O19" s="192"/>
      <c r="P19" s="192"/>
      <c r="Q19" s="192"/>
      <c r="R19" s="192"/>
      <c r="S19" s="192"/>
      <c r="T19" s="192"/>
      <c r="U19" s="192"/>
      <c r="V19" s="192"/>
      <c r="W19" s="192"/>
      <c r="X19" s="192"/>
      <c r="Y19" s="192"/>
      <c r="Z19" s="192"/>
      <c r="AA19" s="192"/>
      <c r="AB19" s="192"/>
      <c r="AC19" s="192"/>
      <c r="AD19" s="192"/>
      <c r="AE19" s="192"/>
      <c r="AF19" s="203"/>
      <c r="AG19" s="176">
        <f t="shared" si="5"/>
        <v>0</v>
      </c>
      <c r="AH19" s="672">
        <f t="shared" si="1"/>
        <v>0</v>
      </c>
    </row>
    <row r="20" spans="1:34" x14ac:dyDescent="0.3">
      <c r="A20" s="200" t="s">
        <v>32</v>
      </c>
      <c r="B20" s="192">
        <f>H20+J20+L20+N20+P20+R20+T20+V20+X20+Z20+AB20+AD20</f>
        <v>0</v>
      </c>
      <c r="C20" s="192">
        <f>H20+J20</f>
        <v>0</v>
      </c>
      <c r="D20" s="192">
        <f t="shared" si="10"/>
        <v>0</v>
      </c>
      <c r="E20" s="192">
        <v>0</v>
      </c>
      <c r="F20" s="194">
        <f t="shared" si="8"/>
        <v>0</v>
      </c>
      <c r="G20" s="194">
        <f t="shared" si="9"/>
        <v>0</v>
      </c>
      <c r="H20" s="192">
        <v>0</v>
      </c>
      <c r="I20" s="192">
        <v>0</v>
      </c>
      <c r="J20" s="192">
        <v>0</v>
      </c>
      <c r="K20" s="192">
        <v>0</v>
      </c>
      <c r="L20" s="192">
        <v>0</v>
      </c>
      <c r="M20" s="192">
        <v>0</v>
      </c>
      <c r="N20" s="192"/>
      <c r="O20" s="192"/>
      <c r="P20" s="192"/>
      <c r="Q20" s="192"/>
      <c r="R20" s="192"/>
      <c r="S20" s="192"/>
      <c r="T20" s="192"/>
      <c r="U20" s="192"/>
      <c r="V20" s="192"/>
      <c r="W20" s="192"/>
      <c r="X20" s="192"/>
      <c r="Y20" s="192"/>
      <c r="Z20" s="192"/>
      <c r="AA20" s="192"/>
      <c r="AB20" s="192"/>
      <c r="AC20" s="192"/>
      <c r="AD20" s="192"/>
      <c r="AE20" s="192"/>
      <c r="AF20" s="203"/>
      <c r="AG20" s="176">
        <f>AD20+AB20+Z20+X20+V20+T20+R20+P20+N20+L20+J20+H20-B20</f>
        <v>0</v>
      </c>
      <c r="AH20" s="672">
        <f t="shared" si="1"/>
        <v>0</v>
      </c>
    </row>
    <row r="21" spans="1:34" s="670" customFormat="1" x14ac:dyDescent="0.3">
      <c r="A21" s="815" t="s">
        <v>33</v>
      </c>
      <c r="B21" s="708">
        <f>H21+J21+L21+N21+P21+R21+T21+V21+X21+Z21+AB21+AD21</f>
        <v>1000</v>
      </c>
      <c r="C21" s="708">
        <f>H21+J21</f>
        <v>0</v>
      </c>
      <c r="D21" s="820">
        <f>E21</f>
        <v>0</v>
      </c>
      <c r="E21" s="816">
        <v>0</v>
      </c>
      <c r="F21" s="708">
        <f t="shared" si="8"/>
        <v>0</v>
      </c>
      <c r="G21" s="708">
        <f t="shared" si="9"/>
        <v>0</v>
      </c>
      <c r="H21" s="708">
        <v>0</v>
      </c>
      <c r="I21" s="708">
        <v>0</v>
      </c>
      <c r="J21" s="708">
        <v>0</v>
      </c>
      <c r="K21" s="708">
        <v>0</v>
      </c>
      <c r="L21" s="708">
        <v>0</v>
      </c>
      <c r="M21" s="708">
        <v>0</v>
      </c>
      <c r="N21" s="708"/>
      <c r="O21" s="708"/>
      <c r="P21" s="708"/>
      <c r="Q21" s="708"/>
      <c r="R21" s="708"/>
      <c r="S21" s="708"/>
      <c r="T21" s="708"/>
      <c r="U21" s="708"/>
      <c r="V21" s="708"/>
      <c r="W21" s="708"/>
      <c r="X21" s="708"/>
      <c r="Y21" s="708"/>
      <c r="Z21" s="708"/>
      <c r="AA21" s="708"/>
      <c r="AB21" s="708">
        <v>1000</v>
      </c>
      <c r="AC21" s="708"/>
      <c r="AD21" s="708"/>
      <c r="AE21" s="708"/>
      <c r="AF21" s="823"/>
      <c r="AG21" s="818">
        <f t="shared" si="5"/>
        <v>0</v>
      </c>
      <c r="AH21" s="819">
        <f t="shared" si="1"/>
        <v>0</v>
      </c>
    </row>
    <row r="22" spans="1:34" x14ac:dyDescent="0.3">
      <c r="A22" s="200" t="s">
        <v>221</v>
      </c>
      <c r="B22" s="192">
        <f>H22+J22+L22+N22+P22+R22+T22+V22+X22+Z22+AB22+AD22</f>
        <v>0</v>
      </c>
      <c r="C22" s="192">
        <f>H22</f>
        <v>0</v>
      </c>
      <c r="D22" s="192">
        <f t="shared" ref="D22" si="11">E22</f>
        <v>0</v>
      </c>
      <c r="E22" s="192">
        <v>0</v>
      </c>
      <c r="F22" s="194">
        <f t="shared" si="8"/>
        <v>0</v>
      </c>
      <c r="G22" s="194">
        <f t="shared" si="9"/>
        <v>0</v>
      </c>
      <c r="H22" s="192">
        <v>0</v>
      </c>
      <c r="I22" s="192">
        <v>0</v>
      </c>
      <c r="J22" s="192">
        <v>0</v>
      </c>
      <c r="K22" s="192">
        <v>0</v>
      </c>
      <c r="L22" s="192">
        <v>0</v>
      </c>
      <c r="M22" s="192">
        <v>0</v>
      </c>
      <c r="N22" s="192"/>
      <c r="O22" s="192"/>
      <c r="P22" s="192"/>
      <c r="Q22" s="192"/>
      <c r="R22" s="192"/>
      <c r="S22" s="192"/>
      <c r="T22" s="192"/>
      <c r="U22" s="192"/>
      <c r="V22" s="192"/>
      <c r="W22" s="192"/>
      <c r="X22" s="192"/>
      <c r="Y22" s="192"/>
      <c r="Z22" s="192"/>
      <c r="AA22" s="192"/>
      <c r="AB22" s="192"/>
      <c r="AC22" s="192"/>
      <c r="AD22" s="192"/>
      <c r="AE22" s="192"/>
      <c r="AF22" s="203"/>
      <c r="AG22" s="176">
        <f t="shared" si="5"/>
        <v>0</v>
      </c>
      <c r="AH22" s="672">
        <f t="shared" si="1"/>
        <v>0</v>
      </c>
    </row>
    <row r="23" spans="1:34" ht="223.15" customHeight="1" x14ac:dyDescent="0.3">
      <c r="A23" s="202" t="s">
        <v>237</v>
      </c>
      <c r="B23" s="192"/>
      <c r="C23" s="192"/>
      <c r="D23" s="192"/>
      <c r="E23" s="193"/>
      <c r="F23" s="194"/>
      <c r="G23" s="194"/>
      <c r="H23" s="192"/>
      <c r="I23" s="193"/>
      <c r="J23" s="192"/>
      <c r="K23" s="193"/>
      <c r="L23" s="192"/>
      <c r="M23" s="193"/>
      <c r="N23" s="192"/>
      <c r="O23" s="193"/>
      <c r="P23" s="192"/>
      <c r="Q23" s="193"/>
      <c r="R23" s="192"/>
      <c r="S23" s="193"/>
      <c r="T23" s="192"/>
      <c r="U23" s="193"/>
      <c r="V23" s="192"/>
      <c r="W23" s="193"/>
      <c r="X23" s="192"/>
      <c r="Y23" s="193"/>
      <c r="Z23" s="192"/>
      <c r="AA23" s="193"/>
      <c r="AB23" s="192"/>
      <c r="AC23" s="193"/>
      <c r="AD23" s="192"/>
      <c r="AE23" s="195"/>
      <c r="AF23" s="520" t="s">
        <v>563</v>
      </c>
      <c r="AG23" s="176">
        <f t="shared" si="5"/>
        <v>0</v>
      </c>
      <c r="AH23" s="672">
        <f t="shared" si="1"/>
        <v>0</v>
      </c>
    </row>
    <row r="24" spans="1:34" s="822" customFormat="1" x14ac:dyDescent="0.3">
      <c r="A24" s="821" t="s">
        <v>31</v>
      </c>
      <c r="B24" s="707">
        <f>B25+B26+B27+B28</f>
        <v>5362.5</v>
      </c>
      <c r="C24" s="707">
        <f>C25+C26+C27+C28</f>
        <v>5362.5</v>
      </c>
      <c r="D24" s="707">
        <f>D25+D26+D27+D28</f>
        <v>5362.5</v>
      </c>
      <c r="E24" s="707">
        <f>E25+E26+E27+E28</f>
        <v>5362.5</v>
      </c>
      <c r="F24" s="707">
        <f>F25+F26+F27+F28</f>
        <v>100</v>
      </c>
      <c r="G24" s="707">
        <f>E24/C24*100</f>
        <v>100</v>
      </c>
      <c r="H24" s="707">
        <f>H25+H26+H27+H28</f>
        <v>5362.5</v>
      </c>
      <c r="I24" s="707">
        <f>I25+I26+I27+I28</f>
        <v>5362.5</v>
      </c>
      <c r="J24" s="707">
        <f>J25+J26+J27+J28</f>
        <v>0</v>
      </c>
      <c r="K24" s="707">
        <f>K25+K26+K27+K28</f>
        <v>0</v>
      </c>
      <c r="L24" s="707">
        <f>L25+L26+L27+L28</f>
        <v>0</v>
      </c>
      <c r="M24" s="707">
        <f>M25</f>
        <v>0</v>
      </c>
      <c r="N24" s="707">
        <f>N25+N26+N27+N28</f>
        <v>0</v>
      </c>
      <c r="O24" s="707"/>
      <c r="P24" s="707">
        <f>P25+P26+P27+P28</f>
        <v>0</v>
      </c>
      <c r="Q24" s="707"/>
      <c r="R24" s="707">
        <f>R25+R26+R27+R28</f>
        <v>0</v>
      </c>
      <c r="S24" s="707"/>
      <c r="T24" s="707">
        <f>T25+T26+T27+T28</f>
        <v>0</v>
      </c>
      <c r="U24" s="707"/>
      <c r="V24" s="707">
        <f>V25+V26+V27+V28</f>
        <v>0</v>
      </c>
      <c r="W24" s="707"/>
      <c r="X24" s="707">
        <f>X25+X26+X27+X28</f>
        <v>0</v>
      </c>
      <c r="Y24" s="707"/>
      <c r="Z24" s="707">
        <f>Z25+Z26+Z27+Z28</f>
        <v>0</v>
      </c>
      <c r="AA24" s="707"/>
      <c r="AB24" s="707">
        <f>AB25+AB26+AB27+AB28</f>
        <v>0</v>
      </c>
      <c r="AC24" s="707"/>
      <c r="AD24" s="707">
        <f>AD25+AD26+AD27+AD28</f>
        <v>0</v>
      </c>
      <c r="AE24" s="707"/>
      <c r="AF24" s="823"/>
      <c r="AG24" s="818">
        <f t="shared" si="5"/>
        <v>0</v>
      </c>
      <c r="AH24" s="819">
        <f t="shared" si="1"/>
        <v>0</v>
      </c>
    </row>
    <row r="25" spans="1:34" x14ac:dyDescent="0.3">
      <c r="A25" s="200" t="s">
        <v>169</v>
      </c>
      <c r="B25" s="192">
        <f>H25+J25+L25+N25+P25+R25+T25+V25+X25+Z25+AB25+AD25</f>
        <v>0</v>
      </c>
      <c r="C25" s="192">
        <f>H25+J25</f>
        <v>0</v>
      </c>
      <c r="D25" s="192">
        <f t="shared" ref="D25:D26" si="12">E25</f>
        <v>0</v>
      </c>
      <c r="E25" s="192">
        <v>0</v>
      </c>
      <c r="F25" s="194">
        <v>0</v>
      </c>
      <c r="G25" s="194">
        <v>0</v>
      </c>
      <c r="H25" s="192">
        <v>0</v>
      </c>
      <c r="I25" s="192">
        <v>0</v>
      </c>
      <c r="J25" s="192">
        <v>0</v>
      </c>
      <c r="K25" s="192">
        <v>0</v>
      </c>
      <c r="L25" s="192">
        <v>0</v>
      </c>
      <c r="M25" s="192">
        <v>0</v>
      </c>
      <c r="N25" s="192"/>
      <c r="O25" s="192"/>
      <c r="P25" s="192"/>
      <c r="Q25" s="192"/>
      <c r="R25" s="192"/>
      <c r="S25" s="192"/>
      <c r="T25" s="192"/>
      <c r="U25" s="192"/>
      <c r="V25" s="192"/>
      <c r="W25" s="192"/>
      <c r="X25" s="192"/>
      <c r="Y25" s="192"/>
      <c r="Z25" s="192"/>
      <c r="AA25" s="192"/>
      <c r="AB25" s="192"/>
      <c r="AC25" s="192"/>
      <c r="AD25" s="192"/>
      <c r="AE25" s="192"/>
      <c r="AF25" s="203" t="e">
        <f>-AF23</f>
        <v>#VALUE!</v>
      </c>
      <c r="AG25" s="176">
        <f t="shared" si="5"/>
        <v>0</v>
      </c>
      <c r="AH25" s="672">
        <f t="shared" si="1"/>
        <v>0</v>
      </c>
    </row>
    <row r="26" spans="1:34" x14ac:dyDescent="0.3">
      <c r="A26" s="200" t="s">
        <v>32</v>
      </c>
      <c r="B26" s="192">
        <f>H26+J26+L26+N26+P26+R26+T26+V26+X26+Z26+AB26+AD26</f>
        <v>0</v>
      </c>
      <c r="C26" s="192">
        <f>H26+J26</f>
        <v>0</v>
      </c>
      <c r="D26" s="192">
        <f t="shared" si="12"/>
        <v>0</v>
      </c>
      <c r="E26" s="192">
        <v>0</v>
      </c>
      <c r="F26" s="194">
        <v>0</v>
      </c>
      <c r="G26" s="194">
        <v>0</v>
      </c>
      <c r="H26" s="192">
        <v>0</v>
      </c>
      <c r="I26" s="192">
        <v>0</v>
      </c>
      <c r="J26" s="192">
        <v>0</v>
      </c>
      <c r="K26" s="192">
        <v>0</v>
      </c>
      <c r="L26" s="192">
        <v>0</v>
      </c>
      <c r="M26" s="192">
        <v>0</v>
      </c>
      <c r="N26" s="192"/>
      <c r="O26" s="192"/>
      <c r="P26" s="192"/>
      <c r="Q26" s="192"/>
      <c r="R26" s="192"/>
      <c r="S26" s="192"/>
      <c r="T26" s="192"/>
      <c r="U26" s="192"/>
      <c r="V26" s="192"/>
      <c r="W26" s="192"/>
      <c r="X26" s="192"/>
      <c r="Y26" s="192"/>
      <c r="Z26" s="192"/>
      <c r="AA26" s="192"/>
      <c r="AB26" s="192"/>
      <c r="AC26" s="192"/>
      <c r="AD26" s="192"/>
      <c r="AE26" s="192"/>
      <c r="AF26" s="203"/>
      <c r="AG26" s="176">
        <f t="shared" si="5"/>
        <v>0</v>
      </c>
      <c r="AH26" s="672">
        <f t="shared" si="1"/>
        <v>0</v>
      </c>
    </row>
    <row r="27" spans="1:34" s="670" customFormat="1" x14ac:dyDescent="0.3">
      <c r="A27" s="815" t="s">
        <v>33</v>
      </c>
      <c r="B27" s="708">
        <f>H27+J27+L27+N27+P27+R27+T27+V27+X27+Z27+AB27+AD27</f>
        <v>5362.5</v>
      </c>
      <c r="C27" s="708">
        <f>H27+J27+L27</f>
        <v>5362.5</v>
      </c>
      <c r="D27" s="820">
        <f>H27</f>
        <v>5362.5</v>
      </c>
      <c r="E27" s="816">
        <f>I27</f>
        <v>5362.5</v>
      </c>
      <c r="F27" s="708">
        <f>E27/B27*100</f>
        <v>100</v>
      </c>
      <c r="G27" s="708">
        <f>E27/C27*100</f>
        <v>100</v>
      </c>
      <c r="H27" s="708">
        <v>5362.5</v>
      </c>
      <c r="I27" s="708">
        <v>5362.5</v>
      </c>
      <c r="J27" s="708">
        <v>0</v>
      </c>
      <c r="K27" s="708">
        <v>0</v>
      </c>
      <c r="L27" s="708">
        <v>0</v>
      </c>
      <c r="M27" s="708">
        <v>0</v>
      </c>
      <c r="N27" s="708"/>
      <c r="O27" s="708"/>
      <c r="P27" s="708"/>
      <c r="Q27" s="708"/>
      <c r="R27" s="708"/>
      <c r="S27" s="708"/>
      <c r="T27" s="708"/>
      <c r="U27" s="708"/>
      <c r="V27" s="708"/>
      <c r="W27" s="708"/>
      <c r="X27" s="708"/>
      <c r="Y27" s="708"/>
      <c r="Z27" s="708"/>
      <c r="AA27" s="708"/>
      <c r="AB27" s="708"/>
      <c r="AC27" s="708"/>
      <c r="AD27" s="708"/>
      <c r="AE27" s="708"/>
      <c r="AF27" s="823"/>
      <c r="AG27" s="818">
        <f t="shared" si="5"/>
        <v>0</v>
      </c>
      <c r="AH27" s="819">
        <f t="shared" si="1"/>
        <v>0</v>
      </c>
    </row>
    <row r="28" spans="1:34" x14ac:dyDescent="0.3">
      <c r="A28" s="200" t="s">
        <v>221</v>
      </c>
      <c r="B28" s="192">
        <f>H28+J28+L28+N28+P28+R28+T28+V28+X28+Z28+AB28+AD28</f>
        <v>0</v>
      </c>
      <c r="C28" s="192">
        <f>H28</f>
        <v>0</v>
      </c>
      <c r="D28" s="192">
        <f t="shared" ref="D28" si="13">E28</f>
        <v>0</v>
      </c>
      <c r="E28" s="192">
        <v>0</v>
      </c>
      <c r="F28" s="194">
        <v>0</v>
      </c>
      <c r="G28" s="194">
        <v>0</v>
      </c>
      <c r="H28" s="192">
        <v>0</v>
      </c>
      <c r="I28" s="192">
        <v>0</v>
      </c>
      <c r="J28" s="192">
        <v>0</v>
      </c>
      <c r="K28" s="192">
        <v>0</v>
      </c>
      <c r="L28" s="192">
        <v>0</v>
      </c>
      <c r="M28" s="192">
        <v>0</v>
      </c>
      <c r="N28" s="192"/>
      <c r="O28" s="192"/>
      <c r="P28" s="192"/>
      <c r="Q28" s="192"/>
      <c r="R28" s="192"/>
      <c r="S28" s="192"/>
      <c r="T28" s="192"/>
      <c r="U28" s="192"/>
      <c r="V28" s="192"/>
      <c r="W28" s="192"/>
      <c r="X28" s="192"/>
      <c r="Y28" s="192"/>
      <c r="Z28" s="192"/>
      <c r="AA28" s="192"/>
      <c r="AB28" s="192"/>
      <c r="AC28" s="192"/>
      <c r="AD28" s="192"/>
      <c r="AE28" s="192"/>
      <c r="AF28" s="203"/>
      <c r="AG28" s="176">
        <f t="shared" si="5"/>
        <v>0</v>
      </c>
      <c r="AH28" s="672">
        <f t="shared" si="1"/>
        <v>0</v>
      </c>
    </row>
    <row r="29" spans="1:34" s="169" customFormat="1" x14ac:dyDescent="0.3">
      <c r="A29" s="920" t="s">
        <v>238</v>
      </c>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2"/>
      <c r="AG29" s="176">
        <f t="shared" si="5"/>
        <v>0</v>
      </c>
      <c r="AH29" s="771">
        <f t="shared" si="1"/>
        <v>0</v>
      </c>
    </row>
    <row r="30" spans="1:34" s="169" customFormat="1" x14ac:dyDescent="0.3">
      <c r="A30" s="920" t="s">
        <v>54</v>
      </c>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2"/>
      <c r="AG30" s="176">
        <f t="shared" si="5"/>
        <v>0</v>
      </c>
      <c r="AH30" s="771">
        <f t="shared" si="1"/>
        <v>0</v>
      </c>
    </row>
    <row r="31" spans="1:34" ht="61.9" customHeight="1" x14ac:dyDescent="0.3">
      <c r="A31" s="185" t="s">
        <v>239</v>
      </c>
      <c r="B31" s="171">
        <f t="shared" ref="B31:H31" si="14">B32</f>
        <v>1024</v>
      </c>
      <c r="C31" s="172">
        <f t="shared" si="14"/>
        <v>0</v>
      </c>
      <c r="D31" s="172">
        <f t="shared" si="14"/>
        <v>0</v>
      </c>
      <c r="E31" s="173">
        <f>E32</f>
        <v>0</v>
      </c>
      <c r="F31" s="172">
        <f t="shared" si="14"/>
        <v>0</v>
      </c>
      <c r="G31" s="172">
        <f t="shared" si="14"/>
        <v>0</v>
      </c>
      <c r="H31" s="171">
        <f t="shared" si="14"/>
        <v>0</v>
      </c>
      <c r="I31" s="173">
        <f>I32</f>
        <v>0</v>
      </c>
      <c r="J31" s="171">
        <f>J32</f>
        <v>0</v>
      </c>
      <c r="K31" s="173">
        <v>0</v>
      </c>
      <c r="L31" s="171">
        <f>L32</f>
        <v>0</v>
      </c>
      <c r="M31" s="173">
        <f>M32</f>
        <v>0</v>
      </c>
      <c r="N31" s="171">
        <f>N32</f>
        <v>0</v>
      </c>
      <c r="O31" s="173"/>
      <c r="P31" s="171">
        <f>P32</f>
        <v>0</v>
      </c>
      <c r="Q31" s="173"/>
      <c r="R31" s="171">
        <f>R32</f>
        <v>0</v>
      </c>
      <c r="S31" s="173"/>
      <c r="T31" s="171">
        <f>T32</f>
        <v>0</v>
      </c>
      <c r="U31" s="173"/>
      <c r="V31" s="171">
        <f>V32</f>
        <v>0</v>
      </c>
      <c r="W31" s="173"/>
      <c r="X31" s="171">
        <f>X32</f>
        <v>924</v>
      </c>
      <c r="Y31" s="173"/>
      <c r="Z31" s="171">
        <f>Z32</f>
        <v>0</v>
      </c>
      <c r="AA31" s="173"/>
      <c r="AB31" s="171">
        <f>AB32</f>
        <v>0</v>
      </c>
      <c r="AC31" s="173"/>
      <c r="AD31" s="171">
        <f>AD32</f>
        <v>100</v>
      </c>
      <c r="AE31" s="174"/>
      <c r="AF31" s="175"/>
      <c r="AG31" s="176">
        <f t="shared" si="5"/>
        <v>0</v>
      </c>
      <c r="AH31" s="672">
        <f t="shared" si="1"/>
        <v>0</v>
      </c>
    </row>
    <row r="32" spans="1:34" s="178" customFormat="1" x14ac:dyDescent="0.3">
      <c r="A32" s="177" t="s">
        <v>31</v>
      </c>
      <c r="B32" s="171">
        <f>B33+B34+B35+B36</f>
        <v>1024</v>
      </c>
      <c r="C32" s="171">
        <f>C33+C34+C35+C36</f>
        <v>0</v>
      </c>
      <c r="D32" s="171">
        <f t="shared" ref="D32:J32" si="15">D33+D34+D35+D36</f>
        <v>0</v>
      </c>
      <c r="E32" s="171">
        <f>E33+E34+E35+E36</f>
        <v>0</v>
      </c>
      <c r="F32" s="171">
        <f t="shared" si="15"/>
        <v>0</v>
      </c>
      <c r="G32" s="171">
        <f t="shared" si="15"/>
        <v>0</v>
      </c>
      <c r="H32" s="171">
        <f t="shared" si="15"/>
        <v>0</v>
      </c>
      <c r="I32" s="171">
        <f t="shared" si="15"/>
        <v>0</v>
      </c>
      <c r="J32" s="171">
        <f t="shared" si="15"/>
        <v>0</v>
      </c>
      <c r="K32" s="171">
        <v>0</v>
      </c>
      <c r="L32" s="171">
        <f>L33+L34+L35+L36</f>
        <v>0</v>
      </c>
      <c r="M32" s="171">
        <f>M35</f>
        <v>0</v>
      </c>
      <c r="N32" s="171">
        <f>N33+N34+N35+N36</f>
        <v>0</v>
      </c>
      <c r="O32" s="171"/>
      <c r="P32" s="171">
        <f>P33+P34+P35+P36</f>
        <v>0</v>
      </c>
      <c r="Q32" s="171"/>
      <c r="R32" s="171">
        <f>R33+R34+R35+R36</f>
        <v>0</v>
      </c>
      <c r="S32" s="171"/>
      <c r="T32" s="171">
        <f>T33+T34+T35+T36</f>
        <v>0</v>
      </c>
      <c r="U32" s="171"/>
      <c r="V32" s="171">
        <f>V33+V34+V35+V36</f>
        <v>0</v>
      </c>
      <c r="W32" s="171"/>
      <c r="X32" s="171">
        <f>X33+X34+X35+X36</f>
        <v>924</v>
      </c>
      <c r="Y32" s="171"/>
      <c r="Z32" s="171">
        <f>Z33+Z34+Z35+Z36</f>
        <v>0</v>
      </c>
      <c r="AA32" s="171"/>
      <c r="AB32" s="171">
        <f>AB33+AB34+AB35+AB36</f>
        <v>0</v>
      </c>
      <c r="AC32" s="171"/>
      <c r="AD32" s="171">
        <f>AD33+AD34+AD35+AD36</f>
        <v>100</v>
      </c>
      <c r="AE32" s="171"/>
      <c r="AF32" s="175"/>
      <c r="AG32" s="176">
        <f t="shared" si="5"/>
        <v>0</v>
      </c>
      <c r="AH32" s="672">
        <f t="shared" si="1"/>
        <v>0</v>
      </c>
    </row>
    <row r="33" spans="1:34" x14ac:dyDescent="0.3">
      <c r="A33" s="179" t="s">
        <v>169</v>
      </c>
      <c r="B33" s="180">
        <f>H33+J33+L33+N33+P33+R33+T33+V33+X33+Z33+AB33+AD33</f>
        <v>0</v>
      </c>
      <c r="C33" s="181">
        <f>H33+J33</f>
        <v>0</v>
      </c>
      <c r="D33" s="180">
        <f>I33</f>
        <v>0</v>
      </c>
      <c r="E33" s="180">
        <v>0</v>
      </c>
      <c r="F33" s="180">
        <v>0</v>
      </c>
      <c r="G33" s="180">
        <v>0</v>
      </c>
      <c r="H33" s="180">
        <v>0</v>
      </c>
      <c r="I33" s="180">
        <v>0</v>
      </c>
      <c r="J33" s="180">
        <v>0</v>
      </c>
      <c r="K33" s="180">
        <v>0</v>
      </c>
      <c r="L33" s="180">
        <v>0</v>
      </c>
      <c r="M33" s="180">
        <v>0</v>
      </c>
      <c r="N33" s="180"/>
      <c r="O33" s="180"/>
      <c r="P33" s="180"/>
      <c r="Q33" s="180"/>
      <c r="R33" s="180"/>
      <c r="S33" s="180"/>
      <c r="T33" s="180"/>
      <c r="U33" s="180"/>
      <c r="V33" s="180"/>
      <c r="W33" s="180"/>
      <c r="X33" s="180"/>
      <c r="Y33" s="180"/>
      <c r="Z33" s="180"/>
      <c r="AA33" s="180"/>
      <c r="AB33" s="180"/>
      <c r="AC33" s="180"/>
      <c r="AD33" s="180"/>
      <c r="AE33" s="180"/>
      <c r="AF33" s="183"/>
      <c r="AG33" s="176">
        <f t="shared" si="5"/>
        <v>0</v>
      </c>
      <c r="AH33" s="672">
        <f t="shared" si="1"/>
        <v>0</v>
      </c>
    </row>
    <row r="34" spans="1:34" x14ac:dyDescent="0.3">
      <c r="A34" s="179" t="s">
        <v>32</v>
      </c>
      <c r="B34" s="180">
        <f>H34+J34+L34+N34+P34+R34+T34+V34+X34+Z34+AB34+AD34</f>
        <v>0</v>
      </c>
      <c r="C34" s="181">
        <f>H34+J34</f>
        <v>0</v>
      </c>
      <c r="D34" s="180">
        <f>I34</f>
        <v>0</v>
      </c>
      <c r="E34" s="180">
        <v>0</v>
      </c>
      <c r="F34" s="180">
        <v>0</v>
      </c>
      <c r="G34" s="180">
        <v>0</v>
      </c>
      <c r="H34" s="180">
        <v>0</v>
      </c>
      <c r="I34" s="180">
        <v>0</v>
      </c>
      <c r="J34" s="180">
        <v>0</v>
      </c>
      <c r="K34" s="180">
        <v>0</v>
      </c>
      <c r="L34" s="180">
        <v>0</v>
      </c>
      <c r="M34" s="180">
        <v>0</v>
      </c>
      <c r="N34" s="180"/>
      <c r="O34" s="180"/>
      <c r="P34" s="180"/>
      <c r="Q34" s="180"/>
      <c r="R34" s="180"/>
      <c r="S34" s="180"/>
      <c r="T34" s="180"/>
      <c r="U34" s="180"/>
      <c r="V34" s="180"/>
      <c r="W34" s="180"/>
      <c r="X34" s="180"/>
      <c r="Y34" s="180"/>
      <c r="Z34" s="180"/>
      <c r="AA34" s="180"/>
      <c r="AB34" s="180"/>
      <c r="AC34" s="180"/>
      <c r="AD34" s="180"/>
      <c r="AE34" s="180"/>
      <c r="AF34" s="183"/>
      <c r="AG34" s="176">
        <f t="shared" si="5"/>
        <v>0</v>
      </c>
      <c r="AH34" s="672">
        <f t="shared" si="1"/>
        <v>0</v>
      </c>
    </row>
    <row r="35" spans="1:34" x14ac:dyDescent="0.3">
      <c r="A35" s="179" t="s">
        <v>33</v>
      </c>
      <c r="B35" s="180">
        <f>H35+J35+L35+N35+P35+R35+T35+V35+X35+Z35+AB35+AD35</f>
        <v>1024</v>
      </c>
      <c r="C35" s="181">
        <f>H35+J35</f>
        <v>0</v>
      </c>
      <c r="D35" s="180">
        <f>I35</f>
        <v>0</v>
      </c>
      <c r="E35" s="182">
        <f>I35</f>
        <v>0</v>
      </c>
      <c r="F35" s="182">
        <v>0</v>
      </c>
      <c r="G35" s="182">
        <v>0</v>
      </c>
      <c r="H35" s="182">
        <v>0</v>
      </c>
      <c r="I35" s="182">
        <v>0</v>
      </c>
      <c r="J35" s="182">
        <v>0</v>
      </c>
      <c r="K35" s="182">
        <v>0</v>
      </c>
      <c r="L35" s="182">
        <v>0</v>
      </c>
      <c r="M35" s="182">
        <v>0</v>
      </c>
      <c r="N35" s="182"/>
      <c r="O35" s="182"/>
      <c r="P35" s="182"/>
      <c r="Q35" s="182"/>
      <c r="R35" s="182"/>
      <c r="S35" s="182"/>
      <c r="T35" s="182"/>
      <c r="U35" s="182"/>
      <c r="V35" s="182"/>
      <c r="W35" s="182"/>
      <c r="X35" s="182">
        <v>924</v>
      </c>
      <c r="Y35" s="182"/>
      <c r="Z35" s="182"/>
      <c r="AA35" s="182"/>
      <c r="AB35" s="182"/>
      <c r="AC35" s="182"/>
      <c r="AD35" s="182">
        <v>100</v>
      </c>
      <c r="AE35" s="184"/>
      <c r="AF35" s="183"/>
      <c r="AG35" s="176">
        <f t="shared" si="5"/>
        <v>0</v>
      </c>
      <c r="AH35" s="672">
        <f t="shared" si="1"/>
        <v>0</v>
      </c>
    </row>
    <row r="36" spans="1:34" x14ac:dyDescent="0.3">
      <c r="A36" s="179" t="s">
        <v>221</v>
      </c>
      <c r="B36" s="180">
        <f>H36+J36+L36+N36+P36+R36+T36+V36+X36+Z36+AB36+AD36</f>
        <v>0</v>
      </c>
      <c r="C36" s="181">
        <f>H36+J36</f>
        <v>0</v>
      </c>
      <c r="D36" s="180">
        <f>I36</f>
        <v>0</v>
      </c>
      <c r="E36" s="180">
        <v>0</v>
      </c>
      <c r="F36" s="180">
        <v>0</v>
      </c>
      <c r="G36" s="180">
        <v>0</v>
      </c>
      <c r="H36" s="180">
        <v>0</v>
      </c>
      <c r="I36" s="180">
        <v>0</v>
      </c>
      <c r="J36" s="180">
        <v>0</v>
      </c>
      <c r="K36" s="180">
        <v>0</v>
      </c>
      <c r="L36" s="180">
        <v>0</v>
      </c>
      <c r="M36" s="180">
        <v>0</v>
      </c>
      <c r="N36" s="180"/>
      <c r="O36" s="180"/>
      <c r="P36" s="180"/>
      <c r="Q36" s="180"/>
      <c r="R36" s="180"/>
      <c r="S36" s="180"/>
      <c r="T36" s="180"/>
      <c r="U36" s="180"/>
      <c r="V36" s="180"/>
      <c r="W36" s="180"/>
      <c r="X36" s="180"/>
      <c r="Y36" s="180"/>
      <c r="Z36" s="180"/>
      <c r="AA36" s="180"/>
      <c r="AB36" s="180"/>
      <c r="AC36" s="180"/>
      <c r="AD36" s="180"/>
      <c r="AE36" s="180"/>
      <c r="AF36" s="183"/>
      <c r="AG36" s="176">
        <f>AD36+AB36+Z36+X36+V36+T36+R36+P36+N36+L36+J36+H36-B36</f>
        <v>0</v>
      </c>
      <c r="AH36" s="672">
        <f t="shared" si="1"/>
        <v>0</v>
      </c>
    </row>
    <row r="37" spans="1:34" s="178" customFormat="1" ht="57.6" customHeight="1" x14ac:dyDescent="0.3">
      <c r="A37" s="185" t="s">
        <v>240</v>
      </c>
      <c r="B37" s="171">
        <f>B38</f>
        <v>0</v>
      </c>
      <c r="C37" s="172">
        <f>C38</f>
        <v>0</v>
      </c>
      <c r="D37" s="172">
        <f>D38</f>
        <v>0</v>
      </c>
      <c r="E37" s="171">
        <f>E38</f>
        <v>0</v>
      </c>
      <c r="F37" s="172">
        <f>F38</f>
        <v>0</v>
      </c>
      <c r="G37" s="173">
        <v>0</v>
      </c>
      <c r="H37" s="171">
        <f t="shared" ref="H37:N37" si="16">H38</f>
        <v>0</v>
      </c>
      <c r="I37" s="171">
        <f t="shared" si="16"/>
        <v>0</v>
      </c>
      <c r="J37" s="171">
        <f t="shared" si="16"/>
        <v>0</v>
      </c>
      <c r="K37" s="173">
        <f t="shared" si="16"/>
        <v>0</v>
      </c>
      <c r="L37" s="171">
        <f t="shared" si="16"/>
        <v>0</v>
      </c>
      <c r="M37" s="173">
        <f t="shared" si="16"/>
        <v>0</v>
      </c>
      <c r="N37" s="171">
        <f t="shared" si="16"/>
        <v>0</v>
      </c>
      <c r="O37" s="173"/>
      <c r="P37" s="171">
        <f>P38</f>
        <v>0</v>
      </c>
      <c r="Q37" s="173"/>
      <c r="R37" s="171">
        <f>R38</f>
        <v>0</v>
      </c>
      <c r="S37" s="173"/>
      <c r="T37" s="171">
        <f>T38</f>
        <v>0</v>
      </c>
      <c r="U37" s="173"/>
      <c r="V37" s="171">
        <f>V38</f>
        <v>0</v>
      </c>
      <c r="W37" s="173"/>
      <c r="X37" s="171">
        <f>X38</f>
        <v>0</v>
      </c>
      <c r="Y37" s="173"/>
      <c r="Z37" s="171">
        <f>Z38</f>
        <v>0</v>
      </c>
      <c r="AA37" s="173"/>
      <c r="AB37" s="171">
        <f>AB38</f>
        <v>0</v>
      </c>
      <c r="AC37" s="173"/>
      <c r="AD37" s="171">
        <f>AD38</f>
        <v>0</v>
      </c>
      <c r="AE37" s="174"/>
      <c r="AF37" s="175"/>
      <c r="AG37" s="176">
        <f t="shared" si="5"/>
        <v>0</v>
      </c>
      <c r="AH37" s="672">
        <f t="shared" si="1"/>
        <v>0</v>
      </c>
    </row>
    <row r="38" spans="1:34" s="178" customFormat="1" ht="24" x14ac:dyDescent="0.3">
      <c r="A38" s="177" t="s">
        <v>31</v>
      </c>
      <c r="B38" s="171">
        <f t="shared" ref="B38:J38" si="17">B39+B40+B41+B42</f>
        <v>0</v>
      </c>
      <c r="C38" s="171">
        <f t="shared" si="17"/>
        <v>0</v>
      </c>
      <c r="D38" s="171">
        <f t="shared" si="17"/>
        <v>0</v>
      </c>
      <c r="E38" s="171">
        <f>E39+E40+E41+E42</f>
        <v>0</v>
      </c>
      <c r="F38" s="171">
        <f t="shared" si="17"/>
        <v>0</v>
      </c>
      <c r="G38" s="171">
        <f t="shared" si="17"/>
        <v>0</v>
      </c>
      <c r="H38" s="171">
        <f t="shared" si="17"/>
        <v>0</v>
      </c>
      <c r="I38" s="171">
        <f t="shared" si="17"/>
        <v>0</v>
      </c>
      <c r="J38" s="171">
        <f t="shared" si="17"/>
        <v>0</v>
      </c>
      <c r="K38" s="171">
        <f t="shared" ref="K38" si="18">K39+K40+K41+K42</f>
        <v>0</v>
      </c>
      <c r="L38" s="171">
        <f>L39+L40+L41+L42</f>
        <v>0</v>
      </c>
      <c r="M38" s="171">
        <f>M41</f>
        <v>0</v>
      </c>
      <c r="N38" s="171">
        <f>N39+N40+N41+N42</f>
        <v>0</v>
      </c>
      <c r="O38" s="171"/>
      <c r="P38" s="171">
        <f>P39+P40+P41+P42</f>
        <v>0</v>
      </c>
      <c r="Q38" s="171"/>
      <c r="R38" s="171">
        <f>R39+R40+R41+R42</f>
        <v>0</v>
      </c>
      <c r="S38" s="171"/>
      <c r="T38" s="171">
        <f>T39+T40+T41+T42</f>
        <v>0</v>
      </c>
      <c r="U38" s="171"/>
      <c r="V38" s="171">
        <f>V39+V40+V41+V42</f>
        <v>0</v>
      </c>
      <c r="W38" s="171"/>
      <c r="X38" s="171">
        <f>X39+X40+X41+X42</f>
        <v>0</v>
      </c>
      <c r="Y38" s="171"/>
      <c r="Z38" s="171">
        <f>Z39+Z40+Z41+Z42</f>
        <v>0</v>
      </c>
      <c r="AA38" s="171"/>
      <c r="AB38" s="171">
        <f>AB39+AB40+AB41+AB42</f>
        <v>0</v>
      </c>
      <c r="AC38" s="171"/>
      <c r="AD38" s="171">
        <f>AD39+AD40+AD41+AD42</f>
        <v>0</v>
      </c>
      <c r="AE38" s="171"/>
      <c r="AF38" s="183" t="s">
        <v>508</v>
      </c>
      <c r="AG38" s="176">
        <f t="shared" si="5"/>
        <v>0</v>
      </c>
      <c r="AH38" s="672">
        <f t="shared" si="1"/>
        <v>0</v>
      </c>
    </row>
    <row r="39" spans="1:34" x14ac:dyDescent="0.3">
      <c r="A39" s="179" t="s">
        <v>169</v>
      </c>
      <c r="B39" s="180">
        <f>H39+J39+L39+N39+P39+R39+T39+V39+X39+Z39+AB39+AD39</f>
        <v>0</v>
      </c>
      <c r="C39" s="180">
        <f>H39+J39</f>
        <v>0</v>
      </c>
      <c r="D39" s="186">
        <f>I39</f>
        <v>0</v>
      </c>
      <c r="E39" s="180">
        <v>0</v>
      </c>
      <c r="F39" s="180">
        <v>0</v>
      </c>
      <c r="G39" s="180">
        <v>0</v>
      </c>
      <c r="H39" s="180">
        <v>0</v>
      </c>
      <c r="I39" s="180">
        <v>0</v>
      </c>
      <c r="J39" s="180">
        <v>0</v>
      </c>
      <c r="K39" s="180">
        <v>0</v>
      </c>
      <c r="L39" s="180">
        <v>0</v>
      </c>
      <c r="M39" s="180">
        <v>0</v>
      </c>
      <c r="N39" s="180">
        <v>0</v>
      </c>
      <c r="O39" s="180"/>
      <c r="P39" s="180">
        <v>0</v>
      </c>
      <c r="Q39" s="180"/>
      <c r="R39" s="180">
        <v>0</v>
      </c>
      <c r="S39" s="180"/>
      <c r="T39" s="180">
        <v>0</v>
      </c>
      <c r="U39" s="180"/>
      <c r="V39" s="180">
        <v>0</v>
      </c>
      <c r="W39" s="180"/>
      <c r="X39" s="180">
        <v>0</v>
      </c>
      <c r="Y39" s="180"/>
      <c r="Z39" s="180">
        <v>0</v>
      </c>
      <c r="AA39" s="180"/>
      <c r="AB39" s="180">
        <v>0</v>
      </c>
      <c r="AC39" s="180"/>
      <c r="AD39" s="180">
        <v>0</v>
      </c>
      <c r="AE39" s="180"/>
      <c r="AF39" s="183"/>
      <c r="AG39" s="176">
        <f t="shared" si="5"/>
        <v>0</v>
      </c>
      <c r="AH39" s="672">
        <f t="shared" si="1"/>
        <v>0</v>
      </c>
    </row>
    <row r="40" spans="1:34" x14ac:dyDescent="0.3">
      <c r="A40" s="179" t="s">
        <v>32</v>
      </c>
      <c r="B40" s="180">
        <f>H40+J40+L40+N40+P40+R40+T40+V40+X40+Z40+AB40+AD40</f>
        <v>0</v>
      </c>
      <c r="C40" s="180">
        <f>H40+J40</f>
        <v>0</v>
      </c>
      <c r="D40" s="186">
        <f>I40</f>
        <v>0</v>
      </c>
      <c r="E40" s="180">
        <v>0</v>
      </c>
      <c r="F40" s="180">
        <v>0</v>
      </c>
      <c r="G40" s="180">
        <v>0</v>
      </c>
      <c r="H40" s="180">
        <v>0</v>
      </c>
      <c r="I40" s="180">
        <v>0</v>
      </c>
      <c r="J40" s="180">
        <v>0</v>
      </c>
      <c r="K40" s="180">
        <v>0</v>
      </c>
      <c r="L40" s="180">
        <v>0</v>
      </c>
      <c r="M40" s="180">
        <v>0</v>
      </c>
      <c r="N40" s="180">
        <v>0</v>
      </c>
      <c r="O40" s="180"/>
      <c r="P40" s="180">
        <v>0</v>
      </c>
      <c r="Q40" s="180"/>
      <c r="R40" s="180">
        <v>0</v>
      </c>
      <c r="S40" s="180"/>
      <c r="T40" s="180">
        <v>0</v>
      </c>
      <c r="U40" s="180"/>
      <c r="V40" s="180">
        <v>0</v>
      </c>
      <c r="W40" s="180"/>
      <c r="X40" s="180">
        <v>0</v>
      </c>
      <c r="Y40" s="180"/>
      <c r="Z40" s="180">
        <v>0</v>
      </c>
      <c r="AA40" s="180"/>
      <c r="AB40" s="180">
        <v>0</v>
      </c>
      <c r="AC40" s="180"/>
      <c r="AD40" s="180">
        <v>0</v>
      </c>
      <c r="AE40" s="180"/>
      <c r="AF40" s="183"/>
      <c r="AG40" s="176">
        <f t="shared" si="5"/>
        <v>0</v>
      </c>
      <c r="AH40" s="672">
        <f t="shared" si="1"/>
        <v>0</v>
      </c>
    </row>
    <row r="41" spans="1:34" x14ac:dyDescent="0.3">
      <c r="A41" s="179" t="s">
        <v>33</v>
      </c>
      <c r="B41" s="180">
        <f>H41+J41+L41+N41+P41+R41+T41+V41+X41+Z41+AB41+AD41</f>
        <v>0</v>
      </c>
      <c r="C41" s="180">
        <f>H41+J41</f>
        <v>0</v>
      </c>
      <c r="D41" s="186">
        <f>I41</f>
        <v>0</v>
      </c>
      <c r="E41" s="182">
        <f>I41</f>
        <v>0</v>
      </c>
      <c r="F41" s="182">
        <v>0</v>
      </c>
      <c r="G41" s="182">
        <v>0</v>
      </c>
      <c r="H41" s="182">
        <v>0</v>
      </c>
      <c r="I41" s="182">
        <v>0</v>
      </c>
      <c r="J41" s="182">
        <v>0</v>
      </c>
      <c r="K41" s="182">
        <v>0</v>
      </c>
      <c r="L41" s="182">
        <v>0</v>
      </c>
      <c r="M41" s="182">
        <v>0</v>
      </c>
      <c r="N41" s="182">
        <v>0</v>
      </c>
      <c r="O41" s="182"/>
      <c r="P41" s="182">
        <v>0</v>
      </c>
      <c r="Q41" s="182"/>
      <c r="R41" s="182">
        <v>0</v>
      </c>
      <c r="S41" s="182"/>
      <c r="T41" s="182">
        <v>0</v>
      </c>
      <c r="U41" s="182"/>
      <c r="V41" s="182">
        <v>0</v>
      </c>
      <c r="W41" s="182"/>
      <c r="X41" s="182">
        <v>0</v>
      </c>
      <c r="Y41" s="182"/>
      <c r="Z41" s="182">
        <v>0</v>
      </c>
      <c r="AA41" s="182"/>
      <c r="AB41" s="182">
        <v>0</v>
      </c>
      <c r="AC41" s="182"/>
      <c r="AD41" s="182">
        <v>0</v>
      </c>
      <c r="AE41" s="184"/>
      <c r="AF41" s="183"/>
      <c r="AG41" s="176">
        <f t="shared" si="5"/>
        <v>0</v>
      </c>
      <c r="AH41" s="672">
        <f t="shared" si="1"/>
        <v>0</v>
      </c>
    </row>
    <row r="42" spans="1:34" x14ac:dyDescent="0.3">
      <c r="A42" s="179" t="s">
        <v>221</v>
      </c>
      <c r="B42" s="180">
        <f>H42+J42+L42+N42+P42+R42+T42+V42+X42+Z42+AB42+AD42</f>
        <v>0</v>
      </c>
      <c r="C42" s="180">
        <f>H42+J42</f>
        <v>0</v>
      </c>
      <c r="D42" s="186">
        <f>I42</f>
        <v>0</v>
      </c>
      <c r="E42" s="180">
        <v>0</v>
      </c>
      <c r="F42" s="180">
        <v>0</v>
      </c>
      <c r="G42" s="180">
        <v>0</v>
      </c>
      <c r="H42" s="180">
        <v>0</v>
      </c>
      <c r="I42" s="180">
        <v>0</v>
      </c>
      <c r="J42" s="180">
        <v>0</v>
      </c>
      <c r="K42" s="180">
        <v>0</v>
      </c>
      <c r="L42" s="180">
        <v>0</v>
      </c>
      <c r="M42" s="180">
        <v>0</v>
      </c>
      <c r="N42" s="180">
        <v>0</v>
      </c>
      <c r="O42" s="180"/>
      <c r="P42" s="180">
        <v>0</v>
      </c>
      <c r="Q42" s="180"/>
      <c r="R42" s="180">
        <v>0</v>
      </c>
      <c r="S42" s="180"/>
      <c r="T42" s="180">
        <v>0</v>
      </c>
      <c r="U42" s="180"/>
      <c r="V42" s="180">
        <v>0</v>
      </c>
      <c r="W42" s="180"/>
      <c r="X42" s="180">
        <v>0</v>
      </c>
      <c r="Y42" s="180"/>
      <c r="Z42" s="180">
        <v>0</v>
      </c>
      <c r="AA42" s="180"/>
      <c r="AB42" s="180">
        <v>0</v>
      </c>
      <c r="AC42" s="180"/>
      <c r="AD42" s="180">
        <v>0</v>
      </c>
      <c r="AE42" s="180"/>
      <c r="AF42" s="183"/>
      <c r="AG42" s="176">
        <f>AD42+AB42+Z42+X42+V42+T42+R42+P42+N42+L42+J42+H42-B42</f>
        <v>0</v>
      </c>
      <c r="AH42" s="672">
        <f t="shared" si="1"/>
        <v>0</v>
      </c>
    </row>
    <row r="43" spans="1:34" s="169" customFormat="1" x14ac:dyDescent="0.3">
      <c r="A43" s="920" t="s">
        <v>241</v>
      </c>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2"/>
      <c r="AG43" s="176"/>
      <c r="AH43" s="771">
        <f t="shared" ref="AH43:AH74" si="19">C43-E43</f>
        <v>0</v>
      </c>
    </row>
    <row r="44" spans="1:34" s="169" customFormat="1" x14ac:dyDescent="0.3">
      <c r="A44" s="920" t="s">
        <v>54</v>
      </c>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2"/>
      <c r="AG44" s="176"/>
      <c r="AH44" s="771">
        <f t="shared" si="19"/>
        <v>0</v>
      </c>
    </row>
    <row r="45" spans="1:34" s="178" customFormat="1" ht="56.25" x14ac:dyDescent="0.3">
      <c r="A45" s="98" t="s">
        <v>242</v>
      </c>
      <c r="B45" s="171">
        <f t="shared" ref="B45:AD45" si="20">B46</f>
        <v>18282.501000000004</v>
      </c>
      <c r="C45" s="171">
        <f t="shared" si="20"/>
        <v>1291.4488099999999</v>
      </c>
      <c r="D45" s="171">
        <f t="shared" si="20"/>
        <v>3164.4669999999996</v>
      </c>
      <c r="E45" s="171">
        <f t="shared" si="20"/>
        <v>3164.4669999999996</v>
      </c>
      <c r="F45" s="173">
        <f t="shared" si="20"/>
        <v>3.0126622172754147</v>
      </c>
      <c r="G45" s="173">
        <f t="shared" si="20"/>
        <v>245.03232149015645</v>
      </c>
      <c r="H45" s="171">
        <f t="shared" si="20"/>
        <v>1291.4488099999999</v>
      </c>
      <c r="I45" s="171">
        <f t="shared" si="20"/>
        <v>550.79</v>
      </c>
      <c r="J45" s="171">
        <f t="shared" si="20"/>
        <v>1460.04962</v>
      </c>
      <c r="K45" s="171">
        <f>K46</f>
        <v>1213.0520000000001</v>
      </c>
      <c r="L45" s="171">
        <f t="shared" si="20"/>
        <v>1538.2255400000001</v>
      </c>
      <c r="M45" s="171"/>
      <c r="N45" s="171">
        <f t="shared" si="20"/>
        <v>1515.0150000000001</v>
      </c>
      <c r="O45" s="171"/>
      <c r="P45" s="171">
        <f t="shared" si="20"/>
        <v>1453.73128</v>
      </c>
      <c r="Q45" s="171"/>
      <c r="R45" s="171">
        <f t="shared" si="20"/>
        <v>1665.02</v>
      </c>
      <c r="S45" s="171"/>
      <c r="T45" s="171">
        <f t="shared" si="20"/>
        <v>1885.415</v>
      </c>
      <c r="U45" s="171"/>
      <c r="V45" s="171">
        <f t="shared" si="20"/>
        <v>1542.04</v>
      </c>
      <c r="W45" s="171"/>
      <c r="X45" s="171">
        <f t="shared" si="20"/>
        <v>1542.04</v>
      </c>
      <c r="Y45" s="171"/>
      <c r="Z45" s="171">
        <f t="shared" si="20"/>
        <v>1543.415</v>
      </c>
      <c r="AA45" s="171"/>
      <c r="AB45" s="171">
        <f t="shared" si="20"/>
        <v>1385.521</v>
      </c>
      <c r="AC45" s="171"/>
      <c r="AD45" s="171">
        <f t="shared" si="20"/>
        <v>1460.5797500000001</v>
      </c>
      <c r="AE45" s="171"/>
      <c r="AF45" s="187"/>
      <c r="AG45" s="176"/>
      <c r="AH45" s="672">
        <f t="shared" si="19"/>
        <v>-1873.0181899999998</v>
      </c>
    </row>
    <row r="46" spans="1:34" s="178" customFormat="1" x14ac:dyDescent="0.3">
      <c r="A46" s="188" t="s">
        <v>31</v>
      </c>
      <c r="B46" s="171">
        <f t="shared" ref="B46:B50" si="21">H46+J46+L46+N46+P46+R46+T46+V46+X46+Z46+AB46+AD46</f>
        <v>18282.501000000004</v>
      </c>
      <c r="C46" s="171">
        <f>H46</f>
        <v>1291.4488099999999</v>
      </c>
      <c r="D46" s="171">
        <f t="shared" ref="D46:D50" si="22">E46</f>
        <v>3164.4669999999996</v>
      </c>
      <c r="E46" s="171">
        <f>E55+E61</f>
        <v>3164.4669999999996</v>
      </c>
      <c r="F46" s="171">
        <f>F47+F48+F49+F50</f>
        <v>3.0126622172754147</v>
      </c>
      <c r="G46" s="171">
        <f>E46/C46*100</f>
        <v>245.03232149015645</v>
      </c>
      <c r="H46" s="171">
        <f>H47+H48+H49+H50</f>
        <v>1291.4488099999999</v>
      </c>
      <c r="I46" s="171">
        <f>I47+I48+I49+I50</f>
        <v>550.79</v>
      </c>
      <c r="J46" s="171">
        <f t="shared" ref="J46:AD46" si="23">J47+J48+J49+J50</f>
        <v>1460.04962</v>
      </c>
      <c r="K46" s="171">
        <f>K47+K48+K49+K50</f>
        <v>1213.0520000000001</v>
      </c>
      <c r="L46" s="171">
        <f t="shared" si="23"/>
        <v>1538.2255400000001</v>
      </c>
      <c r="M46" s="171"/>
      <c r="N46" s="171">
        <f t="shared" si="23"/>
        <v>1515.0150000000001</v>
      </c>
      <c r="O46" s="171"/>
      <c r="P46" s="171">
        <f t="shared" si="23"/>
        <v>1453.73128</v>
      </c>
      <c r="Q46" s="171"/>
      <c r="R46" s="171">
        <f t="shared" si="23"/>
        <v>1665.02</v>
      </c>
      <c r="S46" s="171"/>
      <c r="T46" s="171">
        <f t="shared" si="23"/>
        <v>1885.415</v>
      </c>
      <c r="U46" s="171"/>
      <c r="V46" s="171">
        <f t="shared" si="23"/>
        <v>1542.04</v>
      </c>
      <c r="W46" s="171"/>
      <c r="X46" s="171">
        <f t="shared" si="23"/>
        <v>1542.04</v>
      </c>
      <c r="Y46" s="171"/>
      <c r="Z46" s="171">
        <f t="shared" si="23"/>
        <v>1543.415</v>
      </c>
      <c r="AA46" s="171"/>
      <c r="AB46" s="171">
        <f t="shared" si="23"/>
        <v>1385.521</v>
      </c>
      <c r="AC46" s="171"/>
      <c r="AD46" s="171">
        <f t="shared" si="23"/>
        <v>1460.5797500000001</v>
      </c>
      <c r="AE46" s="171"/>
      <c r="AF46" s="189"/>
      <c r="AG46" s="176"/>
      <c r="AH46" s="672">
        <f t="shared" si="19"/>
        <v>-1873.0181899999998</v>
      </c>
    </row>
    <row r="47" spans="1:34" x14ac:dyDescent="0.3">
      <c r="A47" s="179" t="s">
        <v>169</v>
      </c>
      <c r="B47" s="180">
        <f t="shared" si="21"/>
        <v>0</v>
      </c>
      <c r="C47" s="180">
        <f t="shared" ref="C47:C50" si="24">H47+J47</f>
        <v>0</v>
      </c>
      <c r="D47" s="180">
        <f t="shared" si="22"/>
        <v>0</v>
      </c>
      <c r="E47" s="180">
        <v>0</v>
      </c>
      <c r="F47" s="180">
        <v>0</v>
      </c>
      <c r="G47" s="180">
        <v>0</v>
      </c>
      <c r="H47" s="180">
        <f>H53+H59</f>
        <v>0</v>
      </c>
      <c r="I47" s="180">
        <f t="shared" ref="I47:AE50" si="25">I53+I59</f>
        <v>0</v>
      </c>
      <c r="J47" s="180">
        <f t="shared" si="25"/>
        <v>0</v>
      </c>
      <c r="K47" s="180">
        <f t="shared" si="25"/>
        <v>0</v>
      </c>
      <c r="L47" s="180">
        <f t="shared" si="25"/>
        <v>0</v>
      </c>
      <c r="M47" s="180">
        <f t="shared" si="25"/>
        <v>0</v>
      </c>
      <c r="N47" s="180">
        <f t="shared" si="25"/>
        <v>0</v>
      </c>
      <c r="O47" s="180">
        <f t="shared" si="25"/>
        <v>0</v>
      </c>
      <c r="P47" s="180">
        <f t="shared" si="25"/>
        <v>0</v>
      </c>
      <c r="Q47" s="180">
        <f t="shared" si="25"/>
        <v>0</v>
      </c>
      <c r="R47" s="180">
        <f t="shared" si="25"/>
        <v>0</v>
      </c>
      <c r="S47" s="180">
        <f t="shared" si="25"/>
        <v>0</v>
      </c>
      <c r="T47" s="180">
        <f t="shared" si="25"/>
        <v>0</v>
      </c>
      <c r="U47" s="180">
        <f t="shared" si="25"/>
        <v>0</v>
      </c>
      <c r="V47" s="180">
        <f t="shared" si="25"/>
        <v>0</v>
      </c>
      <c r="W47" s="180">
        <f t="shared" si="25"/>
        <v>0</v>
      </c>
      <c r="X47" s="180">
        <f t="shared" si="25"/>
        <v>0</v>
      </c>
      <c r="Y47" s="180">
        <f t="shared" si="25"/>
        <v>0</v>
      </c>
      <c r="Z47" s="180">
        <f t="shared" si="25"/>
        <v>0</v>
      </c>
      <c r="AA47" s="180">
        <f t="shared" si="25"/>
        <v>0</v>
      </c>
      <c r="AB47" s="180">
        <f t="shared" si="25"/>
        <v>0</v>
      </c>
      <c r="AC47" s="180">
        <f t="shared" si="25"/>
        <v>0</v>
      </c>
      <c r="AD47" s="180">
        <f t="shared" si="25"/>
        <v>0</v>
      </c>
      <c r="AE47" s="180">
        <f t="shared" si="25"/>
        <v>0</v>
      </c>
      <c r="AF47" s="190"/>
      <c r="AG47" s="176"/>
      <c r="AH47" s="672">
        <f t="shared" si="19"/>
        <v>0</v>
      </c>
    </row>
    <row r="48" spans="1:34" x14ac:dyDescent="0.3">
      <c r="A48" s="179" t="s">
        <v>32</v>
      </c>
      <c r="B48" s="180">
        <f t="shared" si="21"/>
        <v>0</v>
      </c>
      <c r="C48" s="180">
        <f t="shared" si="24"/>
        <v>0</v>
      </c>
      <c r="D48" s="180">
        <f t="shared" si="22"/>
        <v>0</v>
      </c>
      <c r="E48" s="180">
        <v>0</v>
      </c>
      <c r="F48" s="180">
        <v>0</v>
      </c>
      <c r="G48" s="180">
        <v>0</v>
      </c>
      <c r="H48" s="180">
        <f t="shared" ref="H48:W50" si="26">H54+H60</f>
        <v>0</v>
      </c>
      <c r="I48" s="180">
        <f t="shared" si="26"/>
        <v>0</v>
      </c>
      <c r="J48" s="180">
        <f t="shared" si="26"/>
        <v>0</v>
      </c>
      <c r="K48" s="180">
        <f t="shared" si="26"/>
        <v>0</v>
      </c>
      <c r="L48" s="180">
        <f t="shared" si="26"/>
        <v>0</v>
      </c>
      <c r="M48" s="180">
        <f t="shared" si="26"/>
        <v>0</v>
      </c>
      <c r="N48" s="180">
        <f t="shared" si="26"/>
        <v>0</v>
      </c>
      <c r="O48" s="180">
        <f t="shared" si="26"/>
        <v>0</v>
      </c>
      <c r="P48" s="180">
        <f t="shared" si="26"/>
        <v>0</v>
      </c>
      <c r="Q48" s="180">
        <f t="shared" si="26"/>
        <v>0</v>
      </c>
      <c r="R48" s="180">
        <f t="shared" si="26"/>
        <v>0</v>
      </c>
      <c r="S48" s="180">
        <f t="shared" si="26"/>
        <v>0</v>
      </c>
      <c r="T48" s="180">
        <f t="shared" si="26"/>
        <v>0</v>
      </c>
      <c r="U48" s="180">
        <f t="shared" si="26"/>
        <v>0</v>
      </c>
      <c r="V48" s="180">
        <f t="shared" si="26"/>
        <v>0</v>
      </c>
      <c r="W48" s="180">
        <f t="shared" si="26"/>
        <v>0</v>
      </c>
      <c r="X48" s="180">
        <f t="shared" si="25"/>
        <v>0</v>
      </c>
      <c r="Y48" s="180">
        <f t="shared" si="25"/>
        <v>0</v>
      </c>
      <c r="Z48" s="180">
        <f t="shared" si="25"/>
        <v>0</v>
      </c>
      <c r="AA48" s="180">
        <f t="shared" si="25"/>
        <v>0</v>
      </c>
      <c r="AB48" s="180">
        <f t="shared" si="25"/>
        <v>0</v>
      </c>
      <c r="AC48" s="180">
        <f t="shared" si="25"/>
        <v>0</v>
      </c>
      <c r="AD48" s="180">
        <f t="shared" si="25"/>
        <v>0</v>
      </c>
      <c r="AE48" s="180">
        <f t="shared" si="25"/>
        <v>0</v>
      </c>
      <c r="AF48" s="190"/>
      <c r="AG48" s="176"/>
      <c r="AH48" s="672">
        <f t="shared" si="19"/>
        <v>0</v>
      </c>
    </row>
    <row r="49" spans="1:35" x14ac:dyDescent="0.3">
      <c r="A49" s="179" t="s">
        <v>33</v>
      </c>
      <c r="B49" s="180">
        <f t="shared" si="21"/>
        <v>18282.501000000004</v>
      </c>
      <c r="C49" s="180">
        <f>C55+C61</f>
        <v>4289.72397</v>
      </c>
      <c r="D49" s="180">
        <f>E49</f>
        <v>550.79</v>
      </c>
      <c r="E49" s="180">
        <f>I49</f>
        <v>550.79</v>
      </c>
      <c r="F49" s="180">
        <f>E49/B49*100</f>
        <v>3.0126622172754147</v>
      </c>
      <c r="G49" s="180">
        <f>E49/C49*100</f>
        <v>12.839753882812182</v>
      </c>
      <c r="H49" s="180">
        <f t="shared" si="26"/>
        <v>1291.4488099999999</v>
      </c>
      <c r="I49" s="180">
        <f t="shared" si="25"/>
        <v>550.79</v>
      </c>
      <c r="J49" s="180">
        <f t="shared" si="25"/>
        <v>1460.04962</v>
      </c>
      <c r="K49" s="180">
        <f t="shared" si="25"/>
        <v>1213.0520000000001</v>
      </c>
      <c r="L49" s="180">
        <f t="shared" si="25"/>
        <v>1538.2255400000001</v>
      </c>
      <c r="M49" s="180">
        <f t="shared" si="25"/>
        <v>1400.625</v>
      </c>
      <c r="N49" s="180">
        <f t="shared" si="25"/>
        <v>1515.0150000000001</v>
      </c>
      <c r="O49" s="180">
        <f t="shared" si="25"/>
        <v>0</v>
      </c>
      <c r="P49" s="180">
        <f t="shared" si="25"/>
        <v>1453.73128</v>
      </c>
      <c r="Q49" s="180">
        <f t="shared" si="25"/>
        <v>0</v>
      </c>
      <c r="R49" s="180">
        <f t="shared" si="25"/>
        <v>1665.02</v>
      </c>
      <c r="S49" s="180">
        <f t="shared" si="25"/>
        <v>0</v>
      </c>
      <c r="T49" s="180">
        <f t="shared" si="25"/>
        <v>1885.415</v>
      </c>
      <c r="U49" s="180">
        <f t="shared" si="25"/>
        <v>0</v>
      </c>
      <c r="V49" s="180">
        <f t="shared" si="25"/>
        <v>1542.04</v>
      </c>
      <c r="W49" s="180">
        <f t="shared" si="25"/>
        <v>0</v>
      </c>
      <c r="X49" s="180">
        <f t="shared" si="25"/>
        <v>1542.04</v>
      </c>
      <c r="Y49" s="180">
        <f t="shared" si="25"/>
        <v>0</v>
      </c>
      <c r="Z49" s="180">
        <f t="shared" si="25"/>
        <v>1543.415</v>
      </c>
      <c r="AA49" s="180">
        <f t="shared" si="25"/>
        <v>0</v>
      </c>
      <c r="AB49" s="180">
        <f t="shared" si="25"/>
        <v>1385.521</v>
      </c>
      <c r="AC49" s="180">
        <f t="shared" si="25"/>
        <v>0</v>
      </c>
      <c r="AD49" s="180">
        <f t="shared" si="25"/>
        <v>1460.5797500000001</v>
      </c>
      <c r="AE49" s="180">
        <f t="shared" si="25"/>
        <v>0</v>
      </c>
      <c r="AF49" s="190"/>
      <c r="AG49" s="176"/>
      <c r="AH49" s="672">
        <f t="shared" si="19"/>
        <v>3738.93397</v>
      </c>
    </row>
    <row r="50" spans="1:35" x14ac:dyDescent="0.3">
      <c r="A50" s="179" t="s">
        <v>221</v>
      </c>
      <c r="B50" s="180">
        <f t="shared" si="21"/>
        <v>0</v>
      </c>
      <c r="C50" s="180">
        <f t="shared" si="24"/>
        <v>0</v>
      </c>
      <c r="D50" s="180">
        <f t="shared" si="22"/>
        <v>0</v>
      </c>
      <c r="E50" s="180">
        <v>0</v>
      </c>
      <c r="F50" s="180">
        <v>0</v>
      </c>
      <c r="G50" s="180">
        <v>0</v>
      </c>
      <c r="H50" s="180">
        <f t="shared" si="26"/>
        <v>0</v>
      </c>
      <c r="I50" s="180">
        <f t="shared" si="25"/>
        <v>0</v>
      </c>
      <c r="J50" s="180">
        <f t="shared" si="25"/>
        <v>0</v>
      </c>
      <c r="K50" s="180">
        <f t="shared" si="25"/>
        <v>0</v>
      </c>
      <c r="L50" s="180">
        <f t="shared" si="25"/>
        <v>0</v>
      </c>
      <c r="M50" s="180">
        <f t="shared" si="25"/>
        <v>0</v>
      </c>
      <c r="N50" s="180">
        <f t="shared" si="25"/>
        <v>0</v>
      </c>
      <c r="O50" s="180">
        <f t="shared" si="25"/>
        <v>0</v>
      </c>
      <c r="P50" s="180">
        <f t="shared" si="25"/>
        <v>0</v>
      </c>
      <c r="Q50" s="180">
        <f t="shared" si="25"/>
        <v>0</v>
      </c>
      <c r="R50" s="180">
        <f t="shared" si="25"/>
        <v>0</v>
      </c>
      <c r="S50" s="180">
        <f t="shared" si="25"/>
        <v>0</v>
      </c>
      <c r="T50" s="180">
        <f t="shared" si="25"/>
        <v>0</v>
      </c>
      <c r="U50" s="180">
        <f t="shared" si="25"/>
        <v>0</v>
      </c>
      <c r="V50" s="180">
        <f t="shared" si="25"/>
        <v>0</v>
      </c>
      <c r="W50" s="180">
        <f t="shared" si="25"/>
        <v>0</v>
      </c>
      <c r="X50" s="180">
        <f t="shared" si="25"/>
        <v>0</v>
      </c>
      <c r="Y50" s="180">
        <f t="shared" si="25"/>
        <v>0</v>
      </c>
      <c r="Z50" s="180">
        <f t="shared" si="25"/>
        <v>0</v>
      </c>
      <c r="AA50" s="180">
        <f t="shared" si="25"/>
        <v>0</v>
      </c>
      <c r="AB50" s="180">
        <f t="shared" si="25"/>
        <v>0</v>
      </c>
      <c r="AC50" s="180">
        <f t="shared" si="25"/>
        <v>0</v>
      </c>
      <c r="AD50" s="180">
        <f t="shared" si="25"/>
        <v>0</v>
      </c>
      <c r="AE50" s="180">
        <f t="shared" si="25"/>
        <v>0</v>
      </c>
      <c r="AF50" s="190"/>
      <c r="AG50" s="176"/>
      <c r="AH50" s="672">
        <f t="shared" si="19"/>
        <v>0</v>
      </c>
    </row>
    <row r="51" spans="1:35" ht="74.45" customHeight="1" x14ac:dyDescent="0.3">
      <c r="A51" s="191" t="s">
        <v>243</v>
      </c>
      <c r="B51" s="192">
        <f>B52</f>
        <v>1926.6000000000004</v>
      </c>
      <c r="C51" s="192">
        <f>C52</f>
        <v>493.84024999999997</v>
      </c>
      <c r="D51" s="192">
        <f>D52</f>
        <v>297.47700000000003</v>
      </c>
      <c r="E51" s="193">
        <f>E52</f>
        <v>297.47700000000003</v>
      </c>
      <c r="F51" s="194">
        <v>0</v>
      </c>
      <c r="G51" s="194">
        <v>0</v>
      </c>
      <c r="H51" s="192">
        <f t="shared" ref="H51:N51" si="27">H52</f>
        <v>70.140249999999995</v>
      </c>
      <c r="I51" s="193">
        <f t="shared" si="27"/>
        <v>70.14</v>
      </c>
      <c r="J51" s="192">
        <f t="shared" si="27"/>
        <v>279.5</v>
      </c>
      <c r="K51" s="193">
        <f t="shared" si="27"/>
        <v>82.662000000000006</v>
      </c>
      <c r="L51" s="192">
        <f t="shared" si="27"/>
        <v>144.19999999999999</v>
      </c>
      <c r="M51" s="193">
        <f t="shared" si="27"/>
        <v>144.67500000000001</v>
      </c>
      <c r="N51" s="192">
        <f t="shared" si="27"/>
        <v>144.19999999999999</v>
      </c>
      <c r="O51" s="193"/>
      <c r="P51" s="192">
        <f>P52</f>
        <v>144.19999999999999</v>
      </c>
      <c r="Q51" s="193"/>
      <c r="R51" s="192">
        <f>R52</f>
        <v>144.19999999999999</v>
      </c>
      <c r="S51" s="193"/>
      <c r="T51" s="192">
        <f>T52</f>
        <v>144.19999999999999</v>
      </c>
      <c r="U51" s="193"/>
      <c r="V51" s="192">
        <f>V52</f>
        <v>144.19999999999999</v>
      </c>
      <c r="W51" s="193"/>
      <c r="X51" s="192">
        <f>X52</f>
        <v>144.19999999999999</v>
      </c>
      <c r="Y51" s="193"/>
      <c r="Z51" s="192">
        <f>Z52</f>
        <v>144.19999999999999</v>
      </c>
      <c r="AA51" s="193"/>
      <c r="AB51" s="192">
        <f>AB52</f>
        <v>144.19999999999999</v>
      </c>
      <c r="AC51" s="193"/>
      <c r="AD51" s="192">
        <f>AD52</f>
        <v>279.15974999999997</v>
      </c>
      <c r="AE51" s="195"/>
      <c r="AF51" s="814" t="s">
        <v>589</v>
      </c>
      <c r="AG51" s="176"/>
      <c r="AH51" s="672">
        <f t="shared" si="19"/>
        <v>196.36324999999994</v>
      </c>
    </row>
    <row r="52" spans="1:35" s="822" customFormat="1" x14ac:dyDescent="0.3">
      <c r="A52" s="821" t="s">
        <v>31</v>
      </c>
      <c r="B52" s="707">
        <f>B53+B54+B55+B56</f>
        <v>1926.6000000000004</v>
      </c>
      <c r="C52" s="707">
        <f>C53+C54+C55+C56</f>
        <v>493.84024999999997</v>
      </c>
      <c r="D52" s="707">
        <f>D53+D54+D55+D56</f>
        <v>297.47700000000003</v>
      </c>
      <c r="E52" s="707">
        <f>E53+E54+E55+E56</f>
        <v>297.47700000000003</v>
      </c>
      <c r="F52" s="707">
        <v>0</v>
      </c>
      <c r="G52" s="707">
        <f>E52/C52*100</f>
        <v>60.237495829876167</v>
      </c>
      <c r="H52" s="707">
        <f>H53+H54+H55+H56</f>
        <v>70.140249999999995</v>
      </c>
      <c r="I52" s="707">
        <f>I55</f>
        <v>70.14</v>
      </c>
      <c r="J52" s="707">
        <f>J53+J54+J55+J56</f>
        <v>279.5</v>
      </c>
      <c r="K52" s="707">
        <f>K55</f>
        <v>82.662000000000006</v>
      </c>
      <c r="L52" s="707">
        <f>L53+L54+L55+L56</f>
        <v>144.19999999999999</v>
      </c>
      <c r="M52" s="707">
        <f>M55</f>
        <v>144.67500000000001</v>
      </c>
      <c r="N52" s="707">
        <f>N53+N54+N55+N56</f>
        <v>144.19999999999999</v>
      </c>
      <c r="O52" s="707"/>
      <c r="P52" s="707">
        <f>P53+P54+P55+P56</f>
        <v>144.19999999999999</v>
      </c>
      <c r="Q52" s="707"/>
      <c r="R52" s="707">
        <f>R53+R54+R55+R56</f>
        <v>144.19999999999999</v>
      </c>
      <c r="S52" s="707"/>
      <c r="T52" s="707">
        <f>T53+T54+T55+T56</f>
        <v>144.19999999999999</v>
      </c>
      <c r="U52" s="707"/>
      <c r="V52" s="707">
        <f>V53+V54+V55+V56</f>
        <v>144.19999999999999</v>
      </c>
      <c r="W52" s="707"/>
      <c r="X52" s="707">
        <f>X53+X54+X55+X56</f>
        <v>144.19999999999999</v>
      </c>
      <c r="Y52" s="707"/>
      <c r="Z52" s="707">
        <f>Z53+Z54+Z55+Z56</f>
        <v>144.19999999999999</v>
      </c>
      <c r="AA52" s="707"/>
      <c r="AB52" s="707">
        <f>AB53+AB54+AB55+AB56</f>
        <v>144.19999999999999</v>
      </c>
      <c r="AC52" s="707"/>
      <c r="AD52" s="707">
        <f>AD53+AD54+AD55+AD56</f>
        <v>279.15974999999997</v>
      </c>
      <c r="AE52" s="707"/>
      <c r="AF52" s="817"/>
      <c r="AG52" s="818"/>
      <c r="AH52" s="819">
        <f t="shared" si="19"/>
        <v>196.36324999999994</v>
      </c>
    </row>
    <row r="53" spans="1:35" x14ac:dyDescent="0.3">
      <c r="A53" s="200" t="s">
        <v>169</v>
      </c>
      <c r="B53" s="192">
        <f>H53+J53+L53+N53+P53+R53+T53+V53+X53+Z53+AB53+AD53</f>
        <v>0</v>
      </c>
      <c r="C53" s="192">
        <f>H53+J53</f>
        <v>0</v>
      </c>
      <c r="D53" s="192">
        <f t="shared" ref="D53:D70" si="28">E53</f>
        <v>0</v>
      </c>
      <c r="E53" s="192">
        <v>0</v>
      </c>
      <c r="F53" s="194">
        <v>0</v>
      </c>
      <c r="G53" s="194">
        <v>0</v>
      </c>
      <c r="H53" s="192">
        <v>0</v>
      </c>
      <c r="I53" s="192">
        <v>0</v>
      </c>
      <c r="J53" s="192">
        <v>0</v>
      </c>
      <c r="K53" s="192">
        <v>0</v>
      </c>
      <c r="L53" s="192">
        <v>0</v>
      </c>
      <c r="M53" s="192">
        <v>0</v>
      </c>
      <c r="N53" s="192"/>
      <c r="O53" s="192"/>
      <c r="P53" s="192"/>
      <c r="Q53" s="192"/>
      <c r="R53" s="192"/>
      <c r="S53" s="192"/>
      <c r="T53" s="192"/>
      <c r="U53" s="192"/>
      <c r="V53" s="192"/>
      <c r="W53" s="192"/>
      <c r="X53" s="192"/>
      <c r="Y53" s="192"/>
      <c r="Z53" s="192"/>
      <c r="AA53" s="192"/>
      <c r="AB53" s="192"/>
      <c r="AC53" s="192"/>
      <c r="AD53" s="192"/>
      <c r="AE53" s="192"/>
      <c r="AF53" s="196"/>
      <c r="AG53" s="176"/>
      <c r="AH53" s="672">
        <f t="shared" si="19"/>
        <v>0</v>
      </c>
    </row>
    <row r="54" spans="1:35" x14ac:dyDescent="0.3">
      <c r="A54" s="200" t="s">
        <v>32</v>
      </c>
      <c r="B54" s="192">
        <f>H54+J54+L54+N54+P54+R54+T54+V54+X54+Z54+AB54+AD54</f>
        <v>0</v>
      </c>
      <c r="C54" s="192">
        <f>H54+J54</f>
        <v>0</v>
      </c>
      <c r="D54" s="192">
        <f t="shared" si="28"/>
        <v>0</v>
      </c>
      <c r="E54" s="192">
        <v>0</v>
      </c>
      <c r="F54" s="194">
        <v>0</v>
      </c>
      <c r="G54" s="194">
        <v>0</v>
      </c>
      <c r="H54" s="192">
        <v>0</v>
      </c>
      <c r="I54" s="192">
        <v>0</v>
      </c>
      <c r="J54" s="192">
        <v>0</v>
      </c>
      <c r="K54" s="192">
        <v>0</v>
      </c>
      <c r="L54" s="192">
        <v>0</v>
      </c>
      <c r="M54" s="192">
        <v>0</v>
      </c>
      <c r="N54" s="192"/>
      <c r="O54" s="192"/>
      <c r="P54" s="192"/>
      <c r="Q54" s="192"/>
      <c r="R54" s="192"/>
      <c r="S54" s="192"/>
      <c r="T54" s="192"/>
      <c r="U54" s="192"/>
      <c r="V54" s="192"/>
      <c r="W54" s="192"/>
      <c r="X54" s="192"/>
      <c r="Y54" s="192"/>
      <c r="Z54" s="192"/>
      <c r="AA54" s="192"/>
      <c r="AB54" s="192"/>
      <c r="AC54" s="192"/>
      <c r="AD54" s="192"/>
      <c r="AE54" s="192"/>
      <c r="AF54" s="196"/>
      <c r="AG54" s="176"/>
      <c r="AH54" s="672">
        <f t="shared" si="19"/>
        <v>0</v>
      </c>
    </row>
    <row r="55" spans="1:35" s="670" customFormat="1" x14ac:dyDescent="0.3">
      <c r="A55" s="815" t="s">
        <v>33</v>
      </c>
      <c r="B55" s="708">
        <f>H55+J55+L55+N55+P55+R55+T55+V55+X55+Z55+AB55+AD55</f>
        <v>1926.6000000000004</v>
      </c>
      <c r="C55" s="708">
        <f>H55+J55+L55</f>
        <v>493.84024999999997</v>
      </c>
      <c r="D55" s="820">
        <f>E55</f>
        <v>297.47700000000003</v>
      </c>
      <c r="E55" s="816">
        <f>I55+K55+M55</f>
        <v>297.47700000000003</v>
      </c>
      <c r="F55" s="708">
        <v>0</v>
      </c>
      <c r="G55" s="708">
        <v>0</v>
      </c>
      <c r="H55" s="708">
        <v>70.140249999999995</v>
      </c>
      <c r="I55" s="708">
        <v>70.14</v>
      </c>
      <c r="J55" s="708">
        <v>279.5</v>
      </c>
      <c r="K55" s="708">
        <v>82.662000000000006</v>
      </c>
      <c r="L55" s="708">
        <v>144.19999999999999</v>
      </c>
      <c r="M55" s="708">
        <v>144.67500000000001</v>
      </c>
      <c r="N55" s="708">
        <v>144.19999999999999</v>
      </c>
      <c r="O55" s="708"/>
      <c r="P55" s="708">
        <v>144.19999999999999</v>
      </c>
      <c r="Q55" s="708"/>
      <c r="R55" s="708">
        <v>144.19999999999999</v>
      </c>
      <c r="S55" s="708"/>
      <c r="T55" s="708">
        <v>144.19999999999999</v>
      </c>
      <c r="U55" s="708"/>
      <c r="V55" s="708">
        <v>144.19999999999999</v>
      </c>
      <c r="W55" s="708"/>
      <c r="X55" s="708">
        <v>144.19999999999999</v>
      </c>
      <c r="Y55" s="708"/>
      <c r="Z55" s="708">
        <v>144.19999999999999</v>
      </c>
      <c r="AA55" s="708"/>
      <c r="AB55" s="708">
        <v>144.19999999999999</v>
      </c>
      <c r="AC55" s="708"/>
      <c r="AD55" s="708">
        <v>279.15974999999997</v>
      </c>
      <c r="AE55" s="708"/>
      <c r="AF55" s="817"/>
      <c r="AG55" s="818"/>
      <c r="AH55" s="819">
        <f t="shared" si="19"/>
        <v>196.36324999999994</v>
      </c>
      <c r="AI55" s="819"/>
    </row>
    <row r="56" spans="1:35" x14ac:dyDescent="0.3">
      <c r="A56" s="200" t="s">
        <v>221</v>
      </c>
      <c r="B56" s="192">
        <f>H56+J56+L56+N56+P56+R56+T56+V56+X56+Z56+AB56+AD56</f>
        <v>0</v>
      </c>
      <c r="C56" s="192">
        <f>H56+J56</f>
        <v>0</v>
      </c>
      <c r="D56" s="192">
        <f t="shared" si="28"/>
        <v>0</v>
      </c>
      <c r="E56" s="192">
        <v>0</v>
      </c>
      <c r="F56" s="194">
        <v>0</v>
      </c>
      <c r="G56" s="194">
        <v>0</v>
      </c>
      <c r="H56" s="192">
        <v>0</v>
      </c>
      <c r="I56" s="192">
        <v>0</v>
      </c>
      <c r="J56" s="192">
        <v>0</v>
      </c>
      <c r="K56" s="192">
        <v>0</v>
      </c>
      <c r="L56" s="192">
        <v>0</v>
      </c>
      <c r="M56" s="192">
        <v>0</v>
      </c>
      <c r="N56" s="192"/>
      <c r="O56" s="192"/>
      <c r="P56" s="192"/>
      <c r="Q56" s="192"/>
      <c r="R56" s="192"/>
      <c r="S56" s="192"/>
      <c r="T56" s="192"/>
      <c r="U56" s="192"/>
      <c r="V56" s="192"/>
      <c r="W56" s="192"/>
      <c r="X56" s="192"/>
      <c r="Y56" s="192"/>
      <c r="Z56" s="192"/>
      <c r="AA56" s="192"/>
      <c r="AB56" s="192"/>
      <c r="AC56" s="192"/>
      <c r="AD56" s="192"/>
      <c r="AE56" s="192"/>
      <c r="AF56" s="196"/>
      <c r="AG56" s="176"/>
      <c r="AH56" s="672">
        <f t="shared" si="19"/>
        <v>0</v>
      </c>
    </row>
    <row r="57" spans="1:35" ht="50.45" customHeight="1" x14ac:dyDescent="0.3">
      <c r="A57" s="191" t="s">
        <v>244</v>
      </c>
      <c r="B57" s="192">
        <f>B58</f>
        <v>16355.901</v>
      </c>
      <c r="C57" s="192">
        <f>C58</f>
        <v>3795.8837200000003</v>
      </c>
      <c r="D57" s="192">
        <f t="shared" ref="D57:K57" si="29">D58</f>
        <v>2866.99</v>
      </c>
      <c r="E57" s="193">
        <f t="shared" si="29"/>
        <v>2866.99</v>
      </c>
      <c r="F57" s="194">
        <f t="shared" si="29"/>
        <v>17.528780591176236</v>
      </c>
      <c r="G57" s="194">
        <f t="shared" si="29"/>
        <v>75.528920575048588</v>
      </c>
      <c r="H57" s="192">
        <f t="shared" si="29"/>
        <v>1221.3085599999999</v>
      </c>
      <c r="I57" s="193">
        <f t="shared" si="29"/>
        <v>480.65</v>
      </c>
      <c r="J57" s="192">
        <f t="shared" si="29"/>
        <v>1180.54962</v>
      </c>
      <c r="K57" s="193">
        <f t="shared" si="29"/>
        <v>1130.3900000000001</v>
      </c>
      <c r="L57" s="192">
        <f>L58</f>
        <v>1394.0255400000001</v>
      </c>
      <c r="M57" s="193">
        <f>M58</f>
        <v>1255.95</v>
      </c>
      <c r="N57" s="192"/>
      <c r="O57" s="193"/>
      <c r="P57" s="192"/>
      <c r="Q57" s="193"/>
      <c r="R57" s="192"/>
      <c r="S57" s="193"/>
      <c r="T57" s="192"/>
      <c r="U57" s="193"/>
      <c r="V57" s="192"/>
      <c r="W57" s="193"/>
      <c r="X57" s="192"/>
      <c r="Y57" s="193"/>
      <c r="Z57" s="192"/>
      <c r="AA57" s="193"/>
      <c r="AB57" s="192"/>
      <c r="AC57" s="193"/>
      <c r="AD57" s="192"/>
      <c r="AE57" s="195"/>
      <c r="AF57" s="196"/>
      <c r="AG57" s="176"/>
      <c r="AH57" s="672">
        <f t="shared" si="19"/>
        <v>928.89372000000049</v>
      </c>
    </row>
    <row r="58" spans="1:35" s="178" customFormat="1" ht="65.45" customHeight="1" x14ac:dyDescent="0.3">
      <c r="A58" s="197" t="s">
        <v>31</v>
      </c>
      <c r="B58" s="707">
        <f>B59+B60+B61+B62</f>
        <v>16355.901</v>
      </c>
      <c r="C58" s="198">
        <f>C59+C60+C61+C62</f>
        <v>3795.8837200000003</v>
      </c>
      <c r="D58" s="707">
        <f>D59+D60+D61+D62</f>
        <v>2866.99</v>
      </c>
      <c r="E58" s="198">
        <f>E59+E60+E61+E62</f>
        <v>2866.99</v>
      </c>
      <c r="F58" s="199">
        <f>F59+F60+F61+F62</f>
        <v>17.528780591176236</v>
      </c>
      <c r="G58" s="199">
        <f>E58/C58*100</f>
        <v>75.528920575048588</v>
      </c>
      <c r="H58" s="199">
        <f>H59+H60+H61+H62</f>
        <v>1221.3085599999999</v>
      </c>
      <c r="I58" s="199">
        <f>I59+I60+I61+I62</f>
        <v>480.65</v>
      </c>
      <c r="J58" s="198">
        <f>J59+J60+J61+J62</f>
        <v>1180.54962</v>
      </c>
      <c r="K58" s="198">
        <v>1130.3900000000001</v>
      </c>
      <c r="L58" s="198">
        <f>L59+L60+L61+L62</f>
        <v>1394.0255400000001</v>
      </c>
      <c r="M58" s="707">
        <f>M61</f>
        <v>1255.95</v>
      </c>
      <c r="N58" s="198">
        <f>N59+N60+N61+N62</f>
        <v>1370.8150000000001</v>
      </c>
      <c r="O58" s="198"/>
      <c r="P58" s="198">
        <f>P59+P60+P61+P62</f>
        <v>1309.5312799999999</v>
      </c>
      <c r="Q58" s="198"/>
      <c r="R58" s="198">
        <f>R59+R60+R61+R62</f>
        <v>1520.82</v>
      </c>
      <c r="S58" s="198"/>
      <c r="T58" s="198">
        <f>T59+T60+T61+T62</f>
        <v>1741.2149999999999</v>
      </c>
      <c r="U58" s="198"/>
      <c r="V58" s="198">
        <f>V59+V60+V61+V62</f>
        <v>1397.84</v>
      </c>
      <c r="W58" s="198"/>
      <c r="X58" s="198">
        <f>X59+X60+X61+X62</f>
        <v>1397.84</v>
      </c>
      <c r="Y58" s="198"/>
      <c r="Z58" s="198">
        <f>Z59+Z60+Z61+Z62</f>
        <v>1399.2149999999999</v>
      </c>
      <c r="AA58" s="198"/>
      <c r="AB58" s="198">
        <f>AB59+AB60+AB61+AB62</f>
        <v>1241.3209999999999</v>
      </c>
      <c r="AC58" s="198"/>
      <c r="AD58" s="198">
        <f>AD59+AD60+AD61+AD62</f>
        <v>1181.42</v>
      </c>
      <c r="AE58" s="198"/>
      <c r="AF58" s="227" t="s">
        <v>585</v>
      </c>
      <c r="AG58" s="176"/>
      <c r="AH58" s="672">
        <f t="shared" si="19"/>
        <v>928.89372000000049</v>
      </c>
    </row>
    <row r="59" spans="1:35" x14ac:dyDescent="0.3">
      <c r="A59" s="200" t="s">
        <v>169</v>
      </c>
      <c r="B59" s="192">
        <f>H59+J59+L59+N59+P59+R59+T59+V59+X59+Z59+AB59+AD59</f>
        <v>0</v>
      </c>
      <c r="C59" s="192">
        <f>H59+J59</f>
        <v>0</v>
      </c>
      <c r="D59" s="192">
        <f t="shared" si="28"/>
        <v>0</v>
      </c>
      <c r="E59" s="192">
        <v>0</v>
      </c>
      <c r="F59" s="194">
        <v>0</v>
      </c>
      <c r="G59" s="194">
        <v>0</v>
      </c>
      <c r="H59" s="192">
        <v>0</v>
      </c>
      <c r="I59" s="193">
        <v>0</v>
      </c>
      <c r="J59" s="192">
        <v>0</v>
      </c>
      <c r="K59" s="192">
        <v>0</v>
      </c>
      <c r="L59" s="192">
        <v>0</v>
      </c>
      <c r="M59" s="708">
        <v>0</v>
      </c>
      <c r="N59" s="192"/>
      <c r="O59" s="192"/>
      <c r="P59" s="192"/>
      <c r="Q59" s="192"/>
      <c r="R59" s="192"/>
      <c r="S59" s="192"/>
      <c r="T59" s="192"/>
      <c r="U59" s="192"/>
      <c r="V59" s="192"/>
      <c r="W59" s="192"/>
      <c r="X59" s="192"/>
      <c r="Y59" s="192"/>
      <c r="Z59" s="192"/>
      <c r="AA59" s="192"/>
      <c r="AB59" s="192"/>
      <c r="AC59" s="192"/>
      <c r="AD59" s="192"/>
      <c r="AE59" s="192"/>
      <c r="AF59" s="196"/>
      <c r="AG59" s="176"/>
      <c r="AH59" s="672">
        <f t="shared" si="19"/>
        <v>0</v>
      </c>
    </row>
    <row r="60" spans="1:35" x14ac:dyDescent="0.3">
      <c r="A60" s="200" t="s">
        <v>32</v>
      </c>
      <c r="B60" s="192">
        <f>H60+J60+L60+N60+P60+R60+T60+V60+X60+Z60+AB60+AD60</f>
        <v>0</v>
      </c>
      <c r="C60" s="192">
        <f>H60+J60</f>
        <v>0</v>
      </c>
      <c r="D60" s="192">
        <f t="shared" si="28"/>
        <v>0</v>
      </c>
      <c r="E60" s="192">
        <v>0</v>
      </c>
      <c r="F60" s="194">
        <v>0</v>
      </c>
      <c r="G60" s="194">
        <v>0</v>
      </c>
      <c r="H60" s="192">
        <v>0</v>
      </c>
      <c r="I60" s="193">
        <v>0</v>
      </c>
      <c r="J60" s="192">
        <v>0</v>
      </c>
      <c r="K60" s="192">
        <v>0</v>
      </c>
      <c r="L60" s="192">
        <v>0</v>
      </c>
      <c r="M60" s="708">
        <v>0</v>
      </c>
      <c r="N60" s="192"/>
      <c r="O60" s="192"/>
      <c r="P60" s="192"/>
      <c r="Q60" s="192"/>
      <c r="R60" s="192"/>
      <c r="S60" s="192"/>
      <c r="T60" s="192"/>
      <c r="U60" s="192"/>
      <c r="V60" s="192"/>
      <c r="W60" s="192"/>
      <c r="X60" s="192"/>
      <c r="Y60" s="192"/>
      <c r="Z60" s="192"/>
      <c r="AA60" s="192"/>
      <c r="AB60" s="192"/>
      <c r="AC60" s="192"/>
      <c r="AD60" s="192"/>
      <c r="AE60" s="192"/>
      <c r="AF60" s="196"/>
      <c r="AG60" s="176"/>
      <c r="AH60" s="672">
        <f t="shared" si="19"/>
        <v>0</v>
      </c>
    </row>
    <row r="61" spans="1:35" s="670" customFormat="1" x14ac:dyDescent="0.3">
      <c r="A61" s="815" t="s">
        <v>33</v>
      </c>
      <c r="B61" s="708">
        <f>H61+J61+L61+N61+P61+R61+T61+V61+X61+Z61+AB61+AD61</f>
        <v>16355.901</v>
      </c>
      <c r="C61" s="708">
        <f>H61+J61+L61</f>
        <v>3795.8837200000003</v>
      </c>
      <c r="D61" s="708">
        <f>E61</f>
        <v>2866.99</v>
      </c>
      <c r="E61" s="708">
        <f>I61+K61+M61</f>
        <v>2866.99</v>
      </c>
      <c r="F61" s="708">
        <f>E61/B61*100</f>
        <v>17.528780591176236</v>
      </c>
      <c r="G61" s="708">
        <f>E61/C61*100</f>
        <v>75.528920575048588</v>
      </c>
      <c r="H61" s="708">
        <v>1221.3085599999999</v>
      </c>
      <c r="I61" s="816">
        <v>480.65</v>
      </c>
      <c r="J61" s="708">
        <v>1180.54962</v>
      </c>
      <c r="K61" s="708">
        <v>1130.3900000000001</v>
      </c>
      <c r="L61" s="708">
        <v>1394.0255400000001</v>
      </c>
      <c r="M61" s="708">
        <v>1255.95</v>
      </c>
      <c r="N61" s="708">
        <v>1370.8150000000001</v>
      </c>
      <c r="O61" s="708"/>
      <c r="P61" s="708">
        <v>1309.5312799999999</v>
      </c>
      <c r="Q61" s="708"/>
      <c r="R61" s="708">
        <v>1520.82</v>
      </c>
      <c r="S61" s="708"/>
      <c r="T61" s="708">
        <v>1741.2149999999999</v>
      </c>
      <c r="U61" s="708"/>
      <c r="V61" s="708">
        <v>1397.84</v>
      </c>
      <c r="W61" s="708"/>
      <c r="X61" s="708">
        <v>1397.84</v>
      </c>
      <c r="Y61" s="708"/>
      <c r="Z61" s="708">
        <v>1399.2149999999999</v>
      </c>
      <c r="AA61" s="708"/>
      <c r="AB61" s="708">
        <v>1241.3209999999999</v>
      </c>
      <c r="AC61" s="708"/>
      <c r="AD61" s="708">
        <v>1181.42</v>
      </c>
      <c r="AE61" s="708"/>
      <c r="AF61" s="817"/>
      <c r="AG61" s="818"/>
      <c r="AH61" s="819">
        <f t="shared" si="19"/>
        <v>928.89372000000049</v>
      </c>
      <c r="AI61" s="670">
        <v>928.89</v>
      </c>
    </row>
    <row r="62" spans="1:35" x14ac:dyDescent="0.3">
      <c r="A62" s="200" t="s">
        <v>221</v>
      </c>
      <c r="B62" s="192">
        <f>H62+J62+L62+N62+P62+R62+T62+V62+X62+Z62+AB62+AD62</f>
        <v>0</v>
      </c>
      <c r="C62" s="192">
        <f>H62+J62</f>
        <v>0</v>
      </c>
      <c r="D62" s="192">
        <f t="shared" si="28"/>
        <v>0</v>
      </c>
      <c r="E62" s="192">
        <v>0</v>
      </c>
      <c r="F62" s="194">
        <v>0</v>
      </c>
      <c r="G62" s="194">
        <v>0</v>
      </c>
      <c r="H62" s="192">
        <v>0</v>
      </c>
      <c r="I62" s="193">
        <v>0</v>
      </c>
      <c r="J62" s="192">
        <v>0</v>
      </c>
      <c r="K62" s="192">
        <v>0</v>
      </c>
      <c r="L62" s="192">
        <v>0</v>
      </c>
      <c r="M62" s="708">
        <v>0</v>
      </c>
      <c r="N62" s="192"/>
      <c r="O62" s="192"/>
      <c r="P62" s="192"/>
      <c r="Q62" s="192"/>
      <c r="R62" s="192"/>
      <c r="S62" s="192"/>
      <c r="T62" s="192"/>
      <c r="U62" s="192"/>
      <c r="V62" s="192"/>
      <c r="W62" s="192"/>
      <c r="X62" s="192"/>
      <c r="Y62" s="192"/>
      <c r="Z62" s="192"/>
      <c r="AA62" s="192"/>
      <c r="AB62" s="192"/>
      <c r="AC62" s="192"/>
      <c r="AD62" s="192"/>
      <c r="AE62" s="192"/>
      <c r="AF62" s="196"/>
      <c r="AG62" s="176"/>
      <c r="AH62" s="672">
        <f t="shared" si="19"/>
        <v>0</v>
      </c>
    </row>
    <row r="63" spans="1:35" s="169" customFormat="1" x14ac:dyDescent="0.3">
      <c r="A63" s="926" t="s">
        <v>245</v>
      </c>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2"/>
      <c r="AG63" s="176"/>
      <c r="AH63" s="771">
        <f t="shared" si="19"/>
        <v>0</v>
      </c>
    </row>
    <row r="64" spans="1:35" s="169" customFormat="1" x14ac:dyDescent="0.3">
      <c r="A64" s="920" t="s">
        <v>54</v>
      </c>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2"/>
      <c r="AG64" s="176"/>
      <c r="AH64" s="771">
        <f t="shared" si="19"/>
        <v>0</v>
      </c>
    </row>
    <row r="65" spans="1:34" s="178" customFormat="1" ht="56.25" x14ac:dyDescent="0.3">
      <c r="A65" s="204" t="s">
        <v>246</v>
      </c>
      <c r="B65" s="171">
        <f>B66</f>
        <v>27188.199999999997</v>
      </c>
      <c r="C65" s="171">
        <f>C66</f>
        <v>7666.8720000000003</v>
      </c>
      <c r="D65" s="171">
        <f>D66</f>
        <v>5990.0069999999996</v>
      </c>
      <c r="E65" s="173">
        <f>E66</f>
        <v>5990.0069999999996</v>
      </c>
      <c r="F65" s="171">
        <v>0</v>
      </c>
      <c r="G65" s="171">
        <v>0</v>
      </c>
      <c r="H65" s="171">
        <f t="shared" ref="H65:N65" si="30">H66</f>
        <v>3549.9259999999999</v>
      </c>
      <c r="I65" s="173">
        <f t="shared" si="30"/>
        <v>1704.848</v>
      </c>
      <c r="J65" s="171">
        <f t="shared" si="30"/>
        <v>2293.0390000000002</v>
      </c>
      <c r="K65" s="173">
        <f t="shared" si="30"/>
        <v>2351.4690000000001</v>
      </c>
      <c r="L65" s="171">
        <f t="shared" si="30"/>
        <v>1823.9070000000002</v>
      </c>
      <c r="M65" s="173">
        <f t="shared" si="30"/>
        <v>1933.69</v>
      </c>
      <c r="N65" s="171">
        <f t="shared" si="30"/>
        <v>2676.9009999999998</v>
      </c>
      <c r="O65" s="173"/>
      <c r="P65" s="171">
        <f>P66</f>
        <v>2118.212</v>
      </c>
      <c r="Q65" s="173"/>
      <c r="R65" s="171">
        <f>R66</f>
        <v>1823.9070000000002</v>
      </c>
      <c r="S65" s="173"/>
      <c r="T65" s="171">
        <f>T66</f>
        <v>2713.6010000000001</v>
      </c>
      <c r="U65" s="173"/>
      <c r="V65" s="171">
        <f>V66</f>
        <v>2081.511</v>
      </c>
      <c r="W65" s="173"/>
      <c r="X65" s="171">
        <f>X66</f>
        <v>1823.9070000000002</v>
      </c>
      <c r="Y65" s="173"/>
      <c r="Z65" s="171">
        <f>Z66</f>
        <v>2676.9030000000002</v>
      </c>
      <c r="AA65" s="173"/>
      <c r="AB65" s="171">
        <f>AB66</f>
        <v>2081.511</v>
      </c>
      <c r="AC65" s="173"/>
      <c r="AD65" s="171">
        <f>AD66</f>
        <v>1524.875</v>
      </c>
      <c r="AE65" s="174"/>
      <c r="AF65" s="175"/>
      <c r="AG65" s="176"/>
      <c r="AH65" s="672">
        <f t="shared" si="19"/>
        <v>1676.8650000000007</v>
      </c>
    </row>
    <row r="66" spans="1:34" s="178" customFormat="1" x14ac:dyDescent="0.3">
      <c r="A66" s="188" t="s">
        <v>31</v>
      </c>
      <c r="B66" s="171">
        <f>B67+B68+B69+B70</f>
        <v>27188.199999999997</v>
      </c>
      <c r="C66" s="171">
        <f>C67+C68+C69+C70</f>
        <v>7666.8720000000003</v>
      </c>
      <c r="D66" s="171">
        <f>D67+D68+D69+D70</f>
        <v>5990.0069999999996</v>
      </c>
      <c r="E66" s="171">
        <f>E67+E68+E69+E70</f>
        <v>5990.0069999999996</v>
      </c>
      <c r="F66" s="171">
        <f>F67+F68+F69+F70</f>
        <v>22.031642403689837</v>
      </c>
      <c r="G66" s="171">
        <f>E66/C66*100</f>
        <v>78.128433603691306</v>
      </c>
      <c r="H66" s="171">
        <f t="shared" ref="H66:N66" si="31">H67+H68+H69+H70</f>
        <v>3549.9259999999999</v>
      </c>
      <c r="I66" s="171">
        <f t="shared" si="31"/>
        <v>1704.848</v>
      </c>
      <c r="J66" s="171">
        <f t="shared" si="31"/>
        <v>2293.0390000000002</v>
      </c>
      <c r="K66" s="171">
        <f t="shared" si="31"/>
        <v>2351.4690000000001</v>
      </c>
      <c r="L66" s="171">
        <f t="shared" si="31"/>
        <v>1823.9070000000002</v>
      </c>
      <c r="M66" s="171">
        <f t="shared" si="31"/>
        <v>1933.69</v>
      </c>
      <c r="N66" s="171">
        <f t="shared" si="31"/>
        <v>2676.9009999999998</v>
      </c>
      <c r="O66" s="171"/>
      <c r="P66" s="171">
        <f>P67+P68+P69+P70</f>
        <v>2118.212</v>
      </c>
      <c r="Q66" s="171"/>
      <c r="R66" s="171">
        <f>R67+R68+R69+R70</f>
        <v>1823.9070000000002</v>
      </c>
      <c r="S66" s="171"/>
      <c r="T66" s="171">
        <f>T67+T68+T69+T70</f>
        <v>2713.6010000000001</v>
      </c>
      <c r="U66" s="171"/>
      <c r="V66" s="171">
        <f>V67+V68+V69+V70</f>
        <v>2081.511</v>
      </c>
      <c r="W66" s="171"/>
      <c r="X66" s="171">
        <f>X67+X68+X69+X70</f>
        <v>1823.9070000000002</v>
      </c>
      <c r="Y66" s="171"/>
      <c r="Z66" s="171">
        <f>Z67+Z68+Z69+Z70</f>
        <v>2676.9030000000002</v>
      </c>
      <c r="AA66" s="171"/>
      <c r="AB66" s="171">
        <f>AB67+AB68+AB69+AB70</f>
        <v>2081.511</v>
      </c>
      <c r="AC66" s="171"/>
      <c r="AD66" s="171">
        <f>AD67+AD68+AD69+AD70</f>
        <v>1524.875</v>
      </c>
      <c r="AE66" s="171"/>
      <c r="AF66" s="175"/>
      <c r="AG66" s="176"/>
      <c r="AH66" s="672">
        <f t="shared" si="19"/>
        <v>1676.8650000000007</v>
      </c>
    </row>
    <row r="67" spans="1:34" x14ac:dyDescent="0.3">
      <c r="A67" s="179" t="s">
        <v>169</v>
      </c>
      <c r="B67" s="180">
        <f>H67+J67+L67+N67+P67+R67+T67+V67+X67+Z67+AB67+AD67</f>
        <v>0</v>
      </c>
      <c r="C67" s="180">
        <f>H67+J67</f>
        <v>0</v>
      </c>
      <c r="D67" s="180">
        <f t="shared" si="28"/>
        <v>0</v>
      </c>
      <c r="E67" s="180">
        <v>0</v>
      </c>
      <c r="F67" s="180">
        <v>0</v>
      </c>
      <c r="G67" s="180">
        <v>0</v>
      </c>
      <c r="H67" s="180">
        <f>H73+H79+H85</f>
        <v>0</v>
      </c>
      <c r="I67" s="180">
        <f t="shared" ref="I67:AE70" si="32">I73+I79+I85</f>
        <v>0</v>
      </c>
      <c r="J67" s="180">
        <f t="shared" si="32"/>
        <v>0</v>
      </c>
      <c r="K67" s="180">
        <f t="shared" si="32"/>
        <v>0</v>
      </c>
      <c r="L67" s="180">
        <f t="shared" si="32"/>
        <v>0</v>
      </c>
      <c r="M67" s="180">
        <f t="shared" si="32"/>
        <v>0</v>
      </c>
      <c r="N67" s="180">
        <f t="shared" si="32"/>
        <v>0</v>
      </c>
      <c r="O67" s="180">
        <f t="shared" si="32"/>
        <v>0</v>
      </c>
      <c r="P67" s="180">
        <f t="shared" si="32"/>
        <v>0</v>
      </c>
      <c r="Q67" s="180">
        <f t="shared" si="32"/>
        <v>0</v>
      </c>
      <c r="R67" s="180">
        <f t="shared" si="32"/>
        <v>0</v>
      </c>
      <c r="S67" s="180">
        <f t="shared" si="32"/>
        <v>0</v>
      </c>
      <c r="T67" s="180">
        <f t="shared" si="32"/>
        <v>0</v>
      </c>
      <c r="U67" s="180">
        <f t="shared" si="32"/>
        <v>0</v>
      </c>
      <c r="V67" s="180">
        <f t="shared" si="32"/>
        <v>0</v>
      </c>
      <c r="W67" s="180">
        <f t="shared" si="32"/>
        <v>0</v>
      </c>
      <c r="X67" s="180">
        <f t="shared" si="32"/>
        <v>0</v>
      </c>
      <c r="Y67" s="180">
        <f t="shared" si="32"/>
        <v>0</v>
      </c>
      <c r="Z67" s="180">
        <f t="shared" si="32"/>
        <v>0</v>
      </c>
      <c r="AA67" s="180">
        <f t="shared" si="32"/>
        <v>0</v>
      </c>
      <c r="AB67" s="180">
        <f t="shared" si="32"/>
        <v>0</v>
      </c>
      <c r="AC67" s="180">
        <f t="shared" si="32"/>
        <v>0</v>
      </c>
      <c r="AD67" s="180">
        <f t="shared" si="32"/>
        <v>0</v>
      </c>
      <c r="AE67" s="180">
        <f t="shared" si="32"/>
        <v>0</v>
      </c>
      <c r="AF67" s="183"/>
      <c r="AG67" s="176"/>
      <c r="AH67" s="672">
        <f t="shared" si="19"/>
        <v>0</v>
      </c>
    </row>
    <row r="68" spans="1:34" x14ac:dyDescent="0.3">
      <c r="A68" s="179" t="s">
        <v>32</v>
      </c>
      <c r="B68" s="180">
        <f>H68+J68+L68+N68+P68+R68+T68+V68+X68+Z68+AB68+AD68</f>
        <v>0</v>
      </c>
      <c r="C68" s="180">
        <f>H68+J68</f>
        <v>0</v>
      </c>
      <c r="D68" s="180">
        <f t="shared" si="28"/>
        <v>0</v>
      </c>
      <c r="E68" s="180">
        <v>0</v>
      </c>
      <c r="F68" s="180">
        <v>0</v>
      </c>
      <c r="G68" s="180">
        <v>0</v>
      </c>
      <c r="H68" s="180">
        <f t="shared" ref="H68:W70" si="33">H74+H80+H86</f>
        <v>0</v>
      </c>
      <c r="I68" s="180">
        <f t="shared" si="33"/>
        <v>0</v>
      </c>
      <c r="J68" s="180">
        <f t="shared" si="33"/>
        <v>0</v>
      </c>
      <c r="K68" s="180">
        <f t="shared" si="33"/>
        <v>0</v>
      </c>
      <c r="L68" s="180">
        <f t="shared" si="33"/>
        <v>0</v>
      </c>
      <c r="M68" s="180">
        <f t="shared" si="33"/>
        <v>0</v>
      </c>
      <c r="N68" s="180">
        <f t="shared" si="33"/>
        <v>0</v>
      </c>
      <c r="O68" s="180">
        <f t="shared" si="33"/>
        <v>0</v>
      </c>
      <c r="P68" s="180">
        <f t="shared" si="33"/>
        <v>0</v>
      </c>
      <c r="Q68" s="180">
        <f t="shared" si="33"/>
        <v>0</v>
      </c>
      <c r="R68" s="180">
        <f t="shared" si="33"/>
        <v>0</v>
      </c>
      <c r="S68" s="180">
        <f t="shared" si="33"/>
        <v>0</v>
      </c>
      <c r="T68" s="180">
        <f t="shared" si="33"/>
        <v>0</v>
      </c>
      <c r="U68" s="180">
        <f t="shared" si="33"/>
        <v>0</v>
      </c>
      <c r="V68" s="180">
        <f t="shared" si="33"/>
        <v>0</v>
      </c>
      <c r="W68" s="180">
        <f t="shared" si="33"/>
        <v>0</v>
      </c>
      <c r="X68" s="180">
        <f t="shared" si="32"/>
        <v>0</v>
      </c>
      <c r="Y68" s="180">
        <f t="shared" si="32"/>
        <v>0</v>
      </c>
      <c r="Z68" s="180">
        <f t="shared" si="32"/>
        <v>0</v>
      </c>
      <c r="AA68" s="180">
        <f t="shared" si="32"/>
        <v>0</v>
      </c>
      <c r="AB68" s="180">
        <f t="shared" si="32"/>
        <v>0</v>
      </c>
      <c r="AC68" s="180">
        <f t="shared" si="32"/>
        <v>0</v>
      </c>
      <c r="AD68" s="180">
        <f t="shared" si="32"/>
        <v>0</v>
      </c>
      <c r="AE68" s="180">
        <f t="shared" si="32"/>
        <v>0</v>
      </c>
      <c r="AF68" s="183"/>
      <c r="AG68" s="176"/>
      <c r="AH68" s="672">
        <f t="shared" si="19"/>
        <v>0</v>
      </c>
    </row>
    <row r="69" spans="1:34" x14ac:dyDescent="0.3">
      <c r="A69" s="179" t="s">
        <v>33</v>
      </c>
      <c r="B69" s="180">
        <f>H69+J69+L69+N69+P69+R69+T69+V69+X69+Z69+AB69+AD69</f>
        <v>27188.199999999997</v>
      </c>
      <c r="C69" s="180">
        <f>H69+J69+L69</f>
        <v>7666.8720000000003</v>
      </c>
      <c r="D69" s="181">
        <f>E69</f>
        <v>5990.0069999999996</v>
      </c>
      <c r="E69" s="182">
        <f>I69+K69+M69</f>
        <v>5990.0069999999996</v>
      </c>
      <c r="F69" s="180">
        <f>E69/B69*100</f>
        <v>22.031642403689837</v>
      </c>
      <c r="G69" s="180">
        <v>0</v>
      </c>
      <c r="H69" s="180">
        <f>H75+H81+H87</f>
        <v>3549.9259999999999</v>
      </c>
      <c r="I69" s="180">
        <f>I75+I81+I87</f>
        <v>1704.848</v>
      </c>
      <c r="J69" s="180">
        <f t="shared" si="32"/>
        <v>2293.0390000000002</v>
      </c>
      <c r="K69" s="180">
        <f t="shared" si="32"/>
        <v>2351.4690000000001</v>
      </c>
      <c r="L69" s="180">
        <f t="shared" si="32"/>
        <v>1823.9070000000002</v>
      </c>
      <c r="M69" s="180">
        <f t="shared" si="32"/>
        <v>1933.69</v>
      </c>
      <c r="N69" s="180">
        <f t="shared" si="32"/>
        <v>2676.9009999999998</v>
      </c>
      <c r="O69" s="180">
        <f t="shared" si="32"/>
        <v>0</v>
      </c>
      <c r="P69" s="180">
        <f t="shared" si="32"/>
        <v>2118.212</v>
      </c>
      <c r="Q69" s="180">
        <f t="shared" si="32"/>
        <v>0</v>
      </c>
      <c r="R69" s="180">
        <f t="shared" si="32"/>
        <v>1823.9070000000002</v>
      </c>
      <c r="S69" s="180">
        <f t="shared" si="32"/>
        <v>0</v>
      </c>
      <c r="T69" s="180">
        <f t="shared" si="32"/>
        <v>2713.6010000000001</v>
      </c>
      <c r="U69" s="180">
        <f t="shared" si="32"/>
        <v>0</v>
      </c>
      <c r="V69" s="180">
        <f t="shared" si="32"/>
        <v>2081.511</v>
      </c>
      <c r="W69" s="180">
        <f t="shared" si="32"/>
        <v>0</v>
      </c>
      <c r="X69" s="180">
        <f t="shared" si="32"/>
        <v>1823.9070000000002</v>
      </c>
      <c r="Y69" s="180">
        <f t="shared" si="32"/>
        <v>0</v>
      </c>
      <c r="Z69" s="180">
        <f t="shared" si="32"/>
        <v>2676.9030000000002</v>
      </c>
      <c r="AA69" s="180">
        <f t="shared" si="32"/>
        <v>0</v>
      </c>
      <c r="AB69" s="180">
        <f t="shared" si="32"/>
        <v>2081.511</v>
      </c>
      <c r="AC69" s="180">
        <f t="shared" si="32"/>
        <v>0</v>
      </c>
      <c r="AD69" s="180">
        <f t="shared" si="32"/>
        <v>1524.875</v>
      </c>
      <c r="AE69" s="180">
        <f t="shared" si="32"/>
        <v>0</v>
      </c>
      <c r="AF69" s="183"/>
      <c r="AG69" s="176"/>
      <c r="AH69" s="672">
        <f t="shared" si="19"/>
        <v>1676.8650000000007</v>
      </c>
    </row>
    <row r="70" spans="1:34" x14ac:dyDescent="0.3">
      <c r="A70" s="179" t="s">
        <v>221</v>
      </c>
      <c r="B70" s="180">
        <f>H70+J70+L70+N70+P70+R70+T70+V70+X70+Z70+AB70+AD70</f>
        <v>0</v>
      </c>
      <c r="C70" s="180">
        <f>H70+J70</f>
        <v>0</v>
      </c>
      <c r="D70" s="180">
        <f t="shared" si="28"/>
        <v>0</v>
      </c>
      <c r="E70" s="180">
        <v>0</v>
      </c>
      <c r="F70" s="180">
        <v>0</v>
      </c>
      <c r="G70" s="180">
        <v>0</v>
      </c>
      <c r="H70" s="180">
        <f t="shared" si="33"/>
        <v>0</v>
      </c>
      <c r="I70" s="180">
        <f t="shared" si="32"/>
        <v>0</v>
      </c>
      <c r="J70" s="180">
        <f t="shared" si="32"/>
        <v>0</v>
      </c>
      <c r="K70" s="180">
        <f t="shared" si="32"/>
        <v>0</v>
      </c>
      <c r="L70" s="180">
        <f t="shared" si="32"/>
        <v>0</v>
      </c>
      <c r="M70" s="180">
        <f t="shared" si="32"/>
        <v>0</v>
      </c>
      <c r="N70" s="180">
        <f t="shared" si="32"/>
        <v>0</v>
      </c>
      <c r="O70" s="180">
        <f t="shared" si="32"/>
        <v>0</v>
      </c>
      <c r="P70" s="180">
        <f t="shared" si="32"/>
        <v>0</v>
      </c>
      <c r="Q70" s="180">
        <f t="shared" si="32"/>
        <v>0</v>
      </c>
      <c r="R70" s="180">
        <f t="shared" si="32"/>
        <v>0</v>
      </c>
      <c r="S70" s="180">
        <f t="shared" si="32"/>
        <v>0</v>
      </c>
      <c r="T70" s="180">
        <f t="shared" si="32"/>
        <v>0</v>
      </c>
      <c r="U70" s="180">
        <f t="shared" si="32"/>
        <v>0</v>
      </c>
      <c r="V70" s="180">
        <f t="shared" si="32"/>
        <v>0</v>
      </c>
      <c r="W70" s="180">
        <f t="shared" si="32"/>
        <v>0</v>
      </c>
      <c r="X70" s="180">
        <f t="shared" si="32"/>
        <v>0</v>
      </c>
      <c r="Y70" s="180">
        <f t="shared" si="32"/>
        <v>0</v>
      </c>
      <c r="Z70" s="180">
        <f t="shared" si="32"/>
        <v>0</v>
      </c>
      <c r="AA70" s="180">
        <f t="shared" si="32"/>
        <v>0</v>
      </c>
      <c r="AB70" s="180">
        <f t="shared" si="32"/>
        <v>0</v>
      </c>
      <c r="AC70" s="180">
        <f t="shared" si="32"/>
        <v>0</v>
      </c>
      <c r="AD70" s="180">
        <f t="shared" si="32"/>
        <v>0</v>
      </c>
      <c r="AE70" s="180">
        <f t="shared" si="32"/>
        <v>0</v>
      </c>
      <c r="AF70" s="183"/>
      <c r="AG70" s="176"/>
      <c r="AH70" s="672">
        <f t="shared" si="19"/>
        <v>0</v>
      </c>
    </row>
    <row r="71" spans="1:34" ht="56.25" x14ac:dyDescent="0.3">
      <c r="A71" s="191" t="s">
        <v>247</v>
      </c>
      <c r="B71" s="192">
        <f>B72</f>
        <v>7132.1999999999989</v>
      </c>
      <c r="C71" s="192">
        <f>C72</f>
        <v>2046.3889999999999</v>
      </c>
      <c r="D71" s="192">
        <f>D72</f>
        <v>1415.413</v>
      </c>
      <c r="E71" s="193">
        <f>E72</f>
        <v>1415.413</v>
      </c>
      <c r="F71" s="194">
        <v>0</v>
      </c>
      <c r="G71" s="194">
        <v>0</v>
      </c>
      <c r="H71" s="192">
        <f t="shared" ref="H71:N71" si="34">H72</f>
        <v>969.53499999999997</v>
      </c>
      <c r="I71" s="193">
        <f t="shared" si="34"/>
        <v>452.28100000000001</v>
      </c>
      <c r="J71" s="192">
        <f t="shared" si="34"/>
        <v>600.06700000000001</v>
      </c>
      <c r="K71" s="193">
        <f t="shared" si="34"/>
        <v>602.96100000000001</v>
      </c>
      <c r="L71" s="192">
        <f t="shared" si="34"/>
        <v>476.78699999999998</v>
      </c>
      <c r="M71" s="193">
        <f t="shared" si="34"/>
        <v>360.17099999999999</v>
      </c>
      <c r="N71" s="192">
        <f t="shared" si="34"/>
        <v>701.9</v>
      </c>
      <c r="O71" s="193"/>
      <c r="P71" s="192">
        <f>P72</f>
        <v>544.77099999999996</v>
      </c>
      <c r="Q71" s="193"/>
      <c r="R71" s="192">
        <f>R72</f>
        <v>476.78699999999998</v>
      </c>
      <c r="S71" s="193"/>
      <c r="T71" s="192">
        <f>T72</f>
        <v>701.9</v>
      </c>
      <c r="U71" s="193"/>
      <c r="V71" s="192">
        <f>V72</f>
        <v>544.77099999999996</v>
      </c>
      <c r="W71" s="193"/>
      <c r="X71" s="192">
        <f>X72</f>
        <v>476.78699999999998</v>
      </c>
      <c r="Y71" s="193"/>
      <c r="Z71" s="192">
        <f>Z72</f>
        <v>701.90200000000004</v>
      </c>
      <c r="AA71" s="193"/>
      <c r="AB71" s="192">
        <f>AB72</f>
        <v>544.77099999999996</v>
      </c>
      <c r="AC71" s="193"/>
      <c r="AD71" s="192">
        <f>AD72</f>
        <v>392.22199999999998</v>
      </c>
      <c r="AE71" s="195"/>
      <c r="AF71" s="196"/>
      <c r="AG71" s="176"/>
      <c r="AH71" s="672">
        <f t="shared" si="19"/>
        <v>630.97599999999989</v>
      </c>
    </row>
    <row r="72" spans="1:34" s="178" customFormat="1" ht="60" x14ac:dyDescent="0.3">
      <c r="A72" s="197" t="s">
        <v>31</v>
      </c>
      <c r="B72" s="198">
        <f>B73+B74+B75+B76</f>
        <v>7132.1999999999989</v>
      </c>
      <c r="C72" s="198">
        <f>C73+C74+C75+C76</f>
        <v>2046.3889999999999</v>
      </c>
      <c r="D72" s="198">
        <f>D73+D74+D75+D76</f>
        <v>1415.413</v>
      </c>
      <c r="E72" s="198">
        <f>E73+E74+E75+E76</f>
        <v>1415.413</v>
      </c>
      <c r="F72" s="199">
        <v>0</v>
      </c>
      <c r="G72" s="199">
        <f>E72/C72*100</f>
        <v>69.166370616730262</v>
      </c>
      <c r="H72" s="198">
        <f>H73+H74+H75+H76</f>
        <v>969.53499999999997</v>
      </c>
      <c r="I72" s="198">
        <f t="shared" ref="I72:AE72" si="35">I73+I74+I75+I76</f>
        <v>452.28100000000001</v>
      </c>
      <c r="J72" s="198">
        <f t="shared" si="35"/>
        <v>600.06700000000001</v>
      </c>
      <c r="K72" s="198">
        <v>602.96100000000001</v>
      </c>
      <c r="L72" s="198">
        <f t="shared" si="35"/>
        <v>476.78699999999998</v>
      </c>
      <c r="M72" s="198">
        <f>M75</f>
        <v>360.17099999999999</v>
      </c>
      <c r="N72" s="198">
        <f t="shared" si="35"/>
        <v>701.9</v>
      </c>
      <c r="O72" s="198">
        <f t="shared" si="35"/>
        <v>0</v>
      </c>
      <c r="P72" s="198">
        <f t="shared" si="35"/>
        <v>544.77099999999996</v>
      </c>
      <c r="Q72" s="198">
        <f t="shared" si="35"/>
        <v>0</v>
      </c>
      <c r="R72" s="198">
        <f t="shared" si="35"/>
        <v>476.78699999999998</v>
      </c>
      <c r="S72" s="198">
        <f t="shared" si="35"/>
        <v>0</v>
      </c>
      <c r="T72" s="198">
        <f t="shared" si="35"/>
        <v>701.9</v>
      </c>
      <c r="U72" s="198">
        <f t="shared" si="35"/>
        <v>0</v>
      </c>
      <c r="V72" s="198">
        <f t="shared" si="35"/>
        <v>544.77099999999996</v>
      </c>
      <c r="W72" s="198">
        <f t="shared" si="35"/>
        <v>0</v>
      </c>
      <c r="X72" s="198">
        <f t="shared" si="35"/>
        <v>476.78699999999998</v>
      </c>
      <c r="Y72" s="198">
        <f t="shared" si="35"/>
        <v>0</v>
      </c>
      <c r="Z72" s="198">
        <f t="shared" si="35"/>
        <v>701.90200000000004</v>
      </c>
      <c r="AA72" s="198">
        <f t="shared" si="35"/>
        <v>0</v>
      </c>
      <c r="AB72" s="198">
        <f t="shared" si="35"/>
        <v>544.77099999999996</v>
      </c>
      <c r="AC72" s="198">
        <f t="shared" si="35"/>
        <v>0</v>
      </c>
      <c r="AD72" s="198">
        <f t="shared" si="35"/>
        <v>392.22199999999998</v>
      </c>
      <c r="AE72" s="198">
        <f t="shared" si="35"/>
        <v>0</v>
      </c>
      <c r="AF72" s="227" t="s">
        <v>587</v>
      </c>
      <c r="AG72" s="176"/>
      <c r="AH72" s="672">
        <f t="shared" si="19"/>
        <v>630.97599999999989</v>
      </c>
    </row>
    <row r="73" spans="1:34" x14ac:dyDescent="0.3">
      <c r="A73" s="200" t="s">
        <v>169</v>
      </c>
      <c r="B73" s="192">
        <f>H73+J73+L73+N73+P73+R73+T73+V73+X73+Z73+AB73+AD73</f>
        <v>0</v>
      </c>
      <c r="C73" s="192">
        <f>H73+J73</f>
        <v>0</v>
      </c>
      <c r="D73" s="192">
        <f t="shared" ref="D73:D74" si="36">E73</f>
        <v>0</v>
      </c>
      <c r="E73" s="192">
        <v>0</v>
      </c>
      <c r="F73" s="194">
        <v>0</v>
      </c>
      <c r="G73" s="194">
        <v>0</v>
      </c>
      <c r="H73" s="192">
        <v>0</v>
      </c>
      <c r="I73" s="192">
        <v>0</v>
      </c>
      <c r="J73" s="192">
        <v>0</v>
      </c>
      <c r="K73" s="192">
        <v>0</v>
      </c>
      <c r="L73" s="192">
        <v>0</v>
      </c>
      <c r="M73" s="192">
        <v>0</v>
      </c>
      <c r="N73" s="192"/>
      <c r="O73" s="192"/>
      <c r="P73" s="192"/>
      <c r="Q73" s="192"/>
      <c r="R73" s="192"/>
      <c r="S73" s="192"/>
      <c r="T73" s="192"/>
      <c r="U73" s="192"/>
      <c r="V73" s="192"/>
      <c r="W73" s="192"/>
      <c r="X73" s="192"/>
      <c r="Y73" s="192"/>
      <c r="Z73" s="192"/>
      <c r="AA73" s="192"/>
      <c r="AB73" s="192"/>
      <c r="AC73" s="192"/>
      <c r="AD73" s="192"/>
      <c r="AE73" s="192"/>
      <c r="AF73" s="196"/>
      <c r="AG73" s="176"/>
      <c r="AH73" s="672">
        <f t="shared" si="19"/>
        <v>0</v>
      </c>
    </row>
    <row r="74" spans="1:34" x14ac:dyDescent="0.3">
      <c r="A74" s="200" t="s">
        <v>32</v>
      </c>
      <c r="B74" s="192">
        <f>H74+J74+L74+N74+P74+R74+T74+V74+X74+Z74+AB74+AD74</f>
        <v>0</v>
      </c>
      <c r="C74" s="192">
        <f>H74+J74</f>
        <v>0</v>
      </c>
      <c r="D74" s="192">
        <f t="shared" si="36"/>
        <v>0</v>
      </c>
      <c r="E74" s="192">
        <v>0</v>
      </c>
      <c r="F74" s="194">
        <v>0</v>
      </c>
      <c r="G74" s="194">
        <v>0</v>
      </c>
      <c r="H74" s="192">
        <v>0</v>
      </c>
      <c r="I74" s="192">
        <v>0</v>
      </c>
      <c r="J74" s="192">
        <v>0</v>
      </c>
      <c r="K74" s="192">
        <v>0</v>
      </c>
      <c r="L74" s="192">
        <v>0</v>
      </c>
      <c r="M74" s="192">
        <v>0</v>
      </c>
      <c r="N74" s="192"/>
      <c r="O74" s="192"/>
      <c r="P74" s="192"/>
      <c r="Q74" s="192"/>
      <c r="R74" s="192"/>
      <c r="S74" s="192"/>
      <c r="T74" s="192"/>
      <c r="U74" s="192"/>
      <c r="V74" s="192"/>
      <c r="W74" s="192"/>
      <c r="X74" s="192"/>
      <c r="Y74" s="192"/>
      <c r="Z74" s="192"/>
      <c r="AA74" s="192"/>
      <c r="AB74" s="192"/>
      <c r="AC74" s="192"/>
      <c r="AD74" s="192"/>
      <c r="AE74" s="192"/>
      <c r="AF74" s="196"/>
      <c r="AG74" s="176"/>
      <c r="AH74" s="672">
        <f t="shared" si="19"/>
        <v>0</v>
      </c>
    </row>
    <row r="75" spans="1:34" s="670" customFormat="1" x14ac:dyDescent="0.3">
      <c r="A75" s="815" t="s">
        <v>33</v>
      </c>
      <c r="B75" s="708">
        <f>H75+J75+L75+N75+P75+R75+T75+V75+X75+Z75+AB75+AD75</f>
        <v>7132.1999999999989</v>
      </c>
      <c r="C75" s="708">
        <f>H75+J75+L75</f>
        <v>2046.3889999999999</v>
      </c>
      <c r="D75" s="820">
        <f>E75</f>
        <v>1415.413</v>
      </c>
      <c r="E75" s="816">
        <f>I75+K75+M75</f>
        <v>1415.413</v>
      </c>
      <c r="F75" s="708">
        <v>0</v>
      </c>
      <c r="G75" s="708">
        <v>0</v>
      </c>
      <c r="H75" s="708">
        <v>969.53499999999997</v>
      </c>
      <c r="I75" s="708">
        <v>452.28100000000001</v>
      </c>
      <c r="J75" s="708">
        <v>600.06700000000001</v>
      </c>
      <c r="K75" s="708">
        <v>602.96100000000001</v>
      </c>
      <c r="L75" s="708">
        <v>476.78699999999998</v>
      </c>
      <c r="M75" s="708">
        <v>360.17099999999999</v>
      </c>
      <c r="N75" s="708">
        <v>701.9</v>
      </c>
      <c r="O75" s="708"/>
      <c r="P75" s="708">
        <v>544.77099999999996</v>
      </c>
      <c r="Q75" s="708"/>
      <c r="R75" s="708">
        <v>476.78699999999998</v>
      </c>
      <c r="S75" s="708"/>
      <c r="T75" s="708">
        <v>701.9</v>
      </c>
      <c r="U75" s="708"/>
      <c r="V75" s="708">
        <v>544.77099999999996</v>
      </c>
      <c r="W75" s="708"/>
      <c r="X75" s="708">
        <v>476.78699999999998</v>
      </c>
      <c r="Y75" s="708"/>
      <c r="Z75" s="708">
        <v>701.90200000000004</v>
      </c>
      <c r="AA75" s="708"/>
      <c r="AB75" s="708">
        <v>544.77099999999996</v>
      </c>
      <c r="AC75" s="708"/>
      <c r="AD75" s="708">
        <v>392.22199999999998</v>
      </c>
      <c r="AE75" s="708"/>
      <c r="AF75" s="817"/>
      <c r="AG75" s="818"/>
      <c r="AH75" s="819">
        <f t="shared" ref="AH75:AH98" si="37">C75-E75</f>
        <v>630.97599999999989</v>
      </c>
    </row>
    <row r="76" spans="1:34" x14ac:dyDescent="0.3">
      <c r="A76" s="200" t="s">
        <v>221</v>
      </c>
      <c r="B76" s="192">
        <f>H76+J76+L76+N76+P76+R76+T76+V76+X76+Z76+AB76+AD76</f>
        <v>0</v>
      </c>
      <c r="C76" s="192">
        <f>H76+J76</f>
        <v>0</v>
      </c>
      <c r="D76" s="192">
        <f t="shared" ref="D76" si="38">E76</f>
        <v>0</v>
      </c>
      <c r="E76" s="192">
        <v>0</v>
      </c>
      <c r="F76" s="194">
        <v>0</v>
      </c>
      <c r="G76" s="194">
        <v>0</v>
      </c>
      <c r="H76" s="192">
        <v>0</v>
      </c>
      <c r="I76" s="192">
        <v>0</v>
      </c>
      <c r="J76" s="192">
        <v>0</v>
      </c>
      <c r="K76" s="192">
        <v>0</v>
      </c>
      <c r="L76" s="192">
        <v>0</v>
      </c>
      <c r="M76" s="192">
        <v>0</v>
      </c>
      <c r="N76" s="192"/>
      <c r="O76" s="192"/>
      <c r="P76" s="192"/>
      <c r="Q76" s="192"/>
      <c r="R76" s="192"/>
      <c r="S76" s="192"/>
      <c r="T76" s="192"/>
      <c r="U76" s="192"/>
      <c r="V76" s="192"/>
      <c r="W76" s="192"/>
      <c r="X76" s="192"/>
      <c r="Y76" s="192"/>
      <c r="Z76" s="192"/>
      <c r="AA76" s="192"/>
      <c r="AB76" s="192"/>
      <c r="AC76" s="192"/>
      <c r="AD76" s="192"/>
      <c r="AE76" s="192"/>
      <c r="AF76" s="196"/>
      <c r="AG76" s="176"/>
      <c r="AH76" s="672">
        <f t="shared" si="37"/>
        <v>0</v>
      </c>
    </row>
    <row r="77" spans="1:34" ht="40.15" customHeight="1" x14ac:dyDescent="0.3">
      <c r="A77" s="191" t="s">
        <v>248</v>
      </c>
      <c r="B77" s="192"/>
      <c r="C77" s="192"/>
      <c r="D77" s="192"/>
      <c r="E77" s="193"/>
      <c r="F77" s="194"/>
      <c r="G77" s="194"/>
      <c r="H77" s="192"/>
      <c r="I77" s="193"/>
      <c r="J77" s="192"/>
      <c r="K77" s="193"/>
      <c r="L77" s="192"/>
      <c r="M77" s="193"/>
      <c r="N77" s="192"/>
      <c r="O77" s="193"/>
      <c r="P77" s="192"/>
      <c r="Q77" s="193"/>
      <c r="R77" s="192"/>
      <c r="S77" s="193"/>
      <c r="T77" s="192"/>
      <c r="U77" s="193"/>
      <c r="V77" s="192"/>
      <c r="W77" s="193"/>
      <c r="X77" s="192"/>
      <c r="Y77" s="193"/>
      <c r="Z77" s="192"/>
      <c r="AA77" s="193"/>
      <c r="AB77" s="192"/>
      <c r="AC77" s="193"/>
      <c r="AD77" s="192"/>
      <c r="AE77" s="195"/>
      <c r="AF77" s="196"/>
      <c r="AG77" s="176"/>
      <c r="AH77" s="672">
        <f t="shared" si="37"/>
        <v>0</v>
      </c>
    </row>
    <row r="78" spans="1:34" s="178" customFormat="1" ht="60" x14ac:dyDescent="0.3">
      <c r="A78" s="197" t="s">
        <v>31</v>
      </c>
      <c r="B78" s="198">
        <f>B79+B80+B81+B82</f>
        <v>3665.7999999999997</v>
      </c>
      <c r="C78" s="198">
        <f>C79+C80+C81+C82</f>
        <v>1066.404</v>
      </c>
      <c r="D78" s="198">
        <f>D79+D80+D81+D82</f>
        <v>737.58300000000008</v>
      </c>
      <c r="E78" s="198">
        <f>E79+E80+E81+E82</f>
        <v>737.58300000000008</v>
      </c>
      <c r="F78" s="199">
        <f>F79+F80+F81+F82</f>
        <v>20.120655791368872</v>
      </c>
      <c r="G78" s="199">
        <f>E78/C78*100</f>
        <v>69.165438239166406</v>
      </c>
      <c r="H78" s="198">
        <f>H79+H80+H81+H82</f>
        <v>512.93100000000004</v>
      </c>
      <c r="I78" s="198">
        <f>I79+I80+I81+I82</f>
        <v>205.011</v>
      </c>
      <c r="J78" s="198">
        <f>J79+J80+J81+J82</f>
        <v>308.41800000000001</v>
      </c>
      <c r="K78" s="198">
        <f>K81</f>
        <v>264.72800000000001</v>
      </c>
      <c r="L78" s="198">
        <f>L79+L80+L81+L82</f>
        <v>245.05500000000001</v>
      </c>
      <c r="M78" s="198">
        <f>M81</f>
        <v>267.84399999999999</v>
      </c>
      <c r="N78" s="198">
        <f>N79+N80+N81+N82</f>
        <v>360.76100000000002</v>
      </c>
      <c r="O78" s="198"/>
      <c r="P78" s="198">
        <f>P79+P80+P81+P82</f>
        <v>279.99900000000002</v>
      </c>
      <c r="Q78" s="198"/>
      <c r="R78" s="198">
        <f>R79+R80+R81+R82</f>
        <v>245.05500000000001</v>
      </c>
      <c r="S78" s="198"/>
      <c r="T78" s="198">
        <f>T79+T80+T81+T82</f>
        <v>360.76100000000002</v>
      </c>
      <c r="U78" s="198"/>
      <c r="V78" s="198">
        <f>V79+V80+V81+V82</f>
        <v>279.99799999999999</v>
      </c>
      <c r="W78" s="198"/>
      <c r="X78" s="198">
        <f>X79+X80+X81+X82</f>
        <v>245.05500000000001</v>
      </c>
      <c r="Y78" s="198"/>
      <c r="Z78" s="198">
        <f>Z79+Z80+Z81+Z82</f>
        <v>360.76100000000002</v>
      </c>
      <c r="AA78" s="198"/>
      <c r="AB78" s="198">
        <f>AB79+AB80+AB81+AB82</f>
        <v>279.99799999999999</v>
      </c>
      <c r="AC78" s="198"/>
      <c r="AD78" s="198">
        <f>AD79+AD80+AD81+AD82</f>
        <v>187.00800000000001</v>
      </c>
      <c r="AE78" s="198"/>
      <c r="AF78" s="227" t="s">
        <v>586</v>
      </c>
      <c r="AG78" s="176"/>
      <c r="AH78" s="672">
        <f t="shared" si="37"/>
        <v>328.82099999999991</v>
      </c>
    </row>
    <row r="79" spans="1:34" x14ac:dyDescent="0.3">
      <c r="A79" s="200" t="s">
        <v>169</v>
      </c>
      <c r="B79" s="192">
        <f>H79+J79+L79+N79+P79+R79+T79+V79+X79+Z79+AB79+AD79</f>
        <v>0</v>
      </c>
      <c r="C79" s="192">
        <f>H79+J79</f>
        <v>0</v>
      </c>
      <c r="D79" s="192">
        <f t="shared" ref="D79:D80" si="39">E79</f>
        <v>0</v>
      </c>
      <c r="E79" s="192">
        <v>0</v>
      </c>
      <c r="F79" s="194">
        <v>0</v>
      </c>
      <c r="G79" s="194">
        <v>0</v>
      </c>
      <c r="H79" s="192">
        <v>0</v>
      </c>
      <c r="I79" s="192">
        <v>0</v>
      </c>
      <c r="J79" s="192">
        <v>0</v>
      </c>
      <c r="K79" s="192">
        <v>0</v>
      </c>
      <c r="L79" s="192">
        <v>0</v>
      </c>
      <c r="M79" s="192">
        <v>0</v>
      </c>
      <c r="N79" s="192"/>
      <c r="O79" s="192"/>
      <c r="P79" s="192"/>
      <c r="Q79" s="192"/>
      <c r="R79" s="192"/>
      <c r="S79" s="192"/>
      <c r="T79" s="192"/>
      <c r="U79" s="192"/>
      <c r="V79" s="192"/>
      <c r="W79" s="192"/>
      <c r="X79" s="192"/>
      <c r="Y79" s="192"/>
      <c r="Z79" s="192"/>
      <c r="AA79" s="192"/>
      <c r="AB79" s="192"/>
      <c r="AC79" s="192"/>
      <c r="AD79" s="192"/>
      <c r="AE79" s="192"/>
      <c r="AF79" s="196"/>
      <c r="AG79" s="176"/>
      <c r="AH79" s="672">
        <f t="shared" si="37"/>
        <v>0</v>
      </c>
    </row>
    <row r="80" spans="1:34" x14ac:dyDescent="0.3">
      <c r="A80" s="200" t="s">
        <v>32</v>
      </c>
      <c r="B80" s="192">
        <f>H80+J80+L80+N80+P80+R80+T80+V80+X80+Z80+AB80+AD80</f>
        <v>0</v>
      </c>
      <c r="C80" s="192">
        <f>H80+J80</f>
        <v>0</v>
      </c>
      <c r="D80" s="192">
        <f t="shared" si="39"/>
        <v>0</v>
      </c>
      <c r="E80" s="192">
        <v>0</v>
      </c>
      <c r="F80" s="194">
        <v>0</v>
      </c>
      <c r="G80" s="194">
        <v>0</v>
      </c>
      <c r="H80" s="192">
        <v>0</v>
      </c>
      <c r="I80" s="192">
        <v>0</v>
      </c>
      <c r="J80" s="192">
        <v>0</v>
      </c>
      <c r="K80" s="192">
        <v>0</v>
      </c>
      <c r="L80" s="192">
        <v>0</v>
      </c>
      <c r="M80" s="192">
        <v>0</v>
      </c>
      <c r="N80" s="192"/>
      <c r="O80" s="192"/>
      <c r="P80" s="192"/>
      <c r="Q80" s="192"/>
      <c r="R80" s="192"/>
      <c r="S80" s="192"/>
      <c r="T80" s="192"/>
      <c r="U80" s="192"/>
      <c r="V80" s="192"/>
      <c r="W80" s="192"/>
      <c r="X80" s="192"/>
      <c r="Y80" s="192"/>
      <c r="Z80" s="192"/>
      <c r="AA80" s="192"/>
      <c r="AB80" s="192"/>
      <c r="AC80" s="192"/>
      <c r="AD80" s="192"/>
      <c r="AE80" s="192"/>
      <c r="AF80" s="196"/>
      <c r="AG80" s="176"/>
      <c r="AH80" s="672">
        <f t="shared" si="37"/>
        <v>0</v>
      </c>
    </row>
    <row r="81" spans="1:35" s="670" customFormat="1" x14ac:dyDescent="0.3">
      <c r="A81" s="815" t="s">
        <v>33</v>
      </c>
      <c r="B81" s="708">
        <f>H81+J81+L81+N81+P81+R81+T81+V81+X81+Z81+AB81+AD81</f>
        <v>3665.7999999999997</v>
      </c>
      <c r="C81" s="708">
        <f>H81+J81+L81</f>
        <v>1066.404</v>
      </c>
      <c r="D81" s="820">
        <f>E81</f>
        <v>737.58300000000008</v>
      </c>
      <c r="E81" s="816">
        <f>I81+K81+M81</f>
        <v>737.58300000000008</v>
      </c>
      <c r="F81" s="708">
        <f>E81/B81*100</f>
        <v>20.120655791368872</v>
      </c>
      <c r="G81" s="708">
        <f>E81/C81*100</f>
        <v>69.165438239166406</v>
      </c>
      <c r="H81" s="708">
        <v>512.93100000000004</v>
      </c>
      <c r="I81" s="708">
        <v>205.011</v>
      </c>
      <c r="J81" s="708">
        <v>308.41800000000001</v>
      </c>
      <c r="K81" s="708">
        <v>264.72800000000001</v>
      </c>
      <c r="L81" s="708">
        <v>245.05500000000001</v>
      </c>
      <c r="M81" s="708">
        <v>267.84399999999999</v>
      </c>
      <c r="N81" s="708">
        <v>360.76100000000002</v>
      </c>
      <c r="O81" s="708"/>
      <c r="P81" s="708">
        <v>279.99900000000002</v>
      </c>
      <c r="Q81" s="708"/>
      <c r="R81" s="708">
        <v>245.05500000000001</v>
      </c>
      <c r="S81" s="708"/>
      <c r="T81" s="708">
        <v>360.76100000000002</v>
      </c>
      <c r="U81" s="708"/>
      <c r="V81" s="708">
        <v>279.99799999999999</v>
      </c>
      <c r="W81" s="708"/>
      <c r="X81" s="708">
        <v>245.05500000000001</v>
      </c>
      <c r="Y81" s="708"/>
      <c r="Z81" s="708">
        <v>360.76100000000002</v>
      </c>
      <c r="AA81" s="708"/>
      <c r="AB81" s="708">
        <v>279.99799999999999</v>
      </c>
      <c r="AC81" s="708"/>
      <c r="AD81" s="708">
        <v>187.00800000000001</v>
      </c>
      <c r="AE81" s="708"/>
      <c r="AF81" s="817"/>
      <c r="AG81" s="818"/>
      <c r="AH81" s="819">
        <f t="shared" si="37"/>
        <v>328.82099999999991</v>
      </c>
    </row>
    <row r="82" spans="1:35" x14ac:dyDescent="0.3">
      <c r="A82" s="200" t="s">
        <v>221</v>
      </c>
      <c r="B82" s="192">
        <f>H82+J82+L82+N82+P82+R82+T82+V82+X82+Z82+AB82+AD82</f>
        <v>0</v>
      </c>
      <c r="C82" s="192">
        <f>H82+J82</f>
        <v>0</v>
      </c>
      <c r="D82" s="192">
        <f t="shared" ref="D82" si="40">E82</f>
        <v>0</v>
      </c>
      <c r="E82" s="192">
        <v>0</v>
      </c>
      <c r="F82" s="194">
        <v>0</v>
      </c>
      <c r="G82" s="194">
        <v>0</v>
      </c>
      <c r="H82" s="192">
        <v>0</v>
      </c>
      <c r="I82" s="192">
        <v>0</v>
      </c>
      <c r="J82" s="192">
        <v>0</v>
      </c>
      <c r="K82" s="192">
        <v>0</v>
      </c>
      <c r="L82" s="192">
        <v>0</v>
      </c>
      <c r="M82" s="192">
        <v>0</v>
      </c>
      <c r="N82" s="192"/>
      <c r="O82" s="192"/>
      <c r="P82" s="192"/>
      <c r="Q82" s="192"/>
      <c r="R82" s="192"/>
      <c r="S82" s="192"/>
      <c r="T82" s="192"/>
      <c r="U82" s="192"/>
      <c r="V82" s="192"/>
      <c r="W82" s="192"/>
      <c r="X82" s="192"/>
      <c r="Y82" s="192"/>
      <c r="Z82" s="192"/>
      <c r="AA82" s="192"/>
      <c r="AB82" s="192"/>
      <c r="AC82" s="192"/>
      <c r="AD82" s="192"/>
      <c r="AE82" s="192"/>
      <c r="AF82" s="196"/>
      <c r="AG82" s="176"/>
      <c r="AH82" s="672">
        <f t="shared" si="37"/>
        <v>0</v>
      </c>
    </row>
    <row r="83" spans="1:35" ht="32.450000000000003" customHeight="1" x14ac:dyDescent="0.3">
      <c r="A83" s="191" t="s">
        <v>249</v>
      </c>
      <c r="B83" s="192"/>
      <c r="C83" s="192"/>
      <c r="D83" s="192"/>
      <c r="E83" s="193"/>
      <c r="F83" s="194"/>
      <c r="G83" s="194"/>
      <c r="H83" s="192"/>
      <c r="I83" s="193"/>
      <c r="J83" s="192"/>
      <c r="K83" s="193"/>
      <c r="L83" s="192"/>
      <c r="M83" s="193"/>
      <c r="N83" s="192"/>
      <c r="O83" s="193"/>
      <c r="P83" s="192"/>
      <c r="Q83" s="193"/>
      <c r="R83" s="192"/>
      <c r="S83" s="193"/>
      <c r="T83" s="192"/>
      <c r="U83" s="193"/>
      <c r="V83" s="192"/>
      <c r="W83" s="193"/>
      <c r="X83" s="192"/>
      <c r="Y83" s="193"/>
      <c r="Z83" s="192"/>
      <c r="AA83" s="193"/>
      <c r="AB83" s="192"/>
      <c r="AC83" s="193"/>
      <c r="AD83" s="192"/>
      <c r="AE83" s="195"/>
      <c r="AF83" s="196"/>
      <c r="AG83" s="176"/>
      <c r="AH83" s="672">
        <f t="shared" si="37"/>
        <v>0</v>
      </c>
    </row>
    <row r="84" spans="1:35" s="178" customFormat="1" x14ac:dyDescent="0.3">
      <c r="A84" s="197" t="s">
        <v>31</v>
      </c>
      <c r="B84" s="198">
        <f>B85+B86+B87+B88</f>
        <v>16390.2</v>
      </c>
      <c r="C84" s="198">
        <f>C85+C86+C87+C88</f>
        <v>4554.0789999999997</v>
      </c>
      <c r="D84" s="198">
        <f>D85+D86+D87+D88</f>
        <v>3837.0110000000004</v>
      </c>
      <c r="E84" s="198">
        <f>E85+E86+E87+E88</f>
        <v>3837.0110000000004</v>
      </c>
      <c r="F84" s="199">
        <f>F85+F86+F87+F88</f>
        <v>23.410397676660445</v>
      </c>
      <c r="G84" s="199">
        <f>E84/C84*100</f>
        <v>84.254379425565546</v>
      </c>
      <c r="H84" s="198">
        <f>H85+H86+H87+H88</f>
        <v>2067.46</v>
      </c>
      <c r="I84" s="198">
        <f>I85+I86+I87+I88</f>
        <v>1047.556</v>
      </c>
      <c r="J84" s="198">
        <f>J85+J86+J87+J88</f>
        <v>1384.5540000000001</v>
      </c>
      <c r="K84" s="198">
        <f>K87</f>
        <v>1483.78</v>
      </c>
      <c r="L84" s="198">
        <f>L85+L86+L87+L88</f>
        <v>1102.0650000000001</v>
      </c>
      <c r="M84" s="198">
        <f>M87</f>
        <v>1305.675</v>
      </c>
      <c r="N84" s="198">
        <f>N85+N86+N87+N88</f>
        <v>1614.24</v>
      </c>
      <c r="O84" s="198"/>
      <c r="P84" s="198">
        <f>P85+P86+P87+P88</f>
        <v>1293.442</v>
      </c>
      <c r="Q84" s="198"/>
      <c r="R84" s="198">
        <f>R85+R86+R87+R88</f>
        <v>1102.0650000000001</v>
      </c>
      <c r="S84" s="198"/>
      <c r="T84" s="198">
        <f>T85+T86+T87+T88</f>
        <v>1650.94</v>
      </c>
      <c r="U84" s="198"/>
      <c r="V84" s="198">
        <f>V85+V86+V87+V88</f>
        <v>1256.742</v>
      </c>
      <c r="W84" s="198"/>
      <c r="X84" s="198">
        <f>X85+X86+X87+X88</f>
        <v>1102.0650000000001</v>
      </c>
      <c r="Y84" s="198"/>
      <c r="Z84" s="198">
        <f>Z85+Z86+Z87+Z88</f>
        <v>1614.24</v>
      </c>
      <c r="AA84" s="198"/>
      <c r="AB84" s="198">
        <f>AB85+AB86+AB87+AB88</f>
        <v>1256.742</v>
      </c>
      <c r="AC84" s="198"/>
      <c r="AD84" s="198">
        <f>AD85+AD86+AD87+AD88</f>
        <v>945.64499999999998</v>
      </c>
      <c r="AE84" s="198"/>
      <c r="AF84" s="196"/>
      <c r="AG84" s="176"/>
      <c r="AH84" s="672">
        <f t="shared" si="37"/>
        <v>717.0679999999993</v>
      </c>
    </row>
    <row r="85" spans="1:35" x14ac:dyDescent="0.3">
      <c r="A85" s="200" t="s">
        <v>169</v>
      </c>
      <c r="B85" s="192">
        <f>H85+J85+L85+N85+P85+R85+T85+V85+X85+Z85+AB85+AD85</f>
        <v>0</v>
      </c>
      <c r="C85" s="192">
        <f>H85+J85</f>
        <v>0</v>
      </c>
      <c r="D85" s="192">
        <f t="shared" ref="D85:D86" si="41">E85</f>
        <v>0</v>
      </c>
      <c r="E85" s="192">
        <v>0</v>
      </c>
      <c r="F85" s="194">
        <v>0</v>
      </c>
      <c r="G85" s="194">
        <v>0</v>
      </c>
      <c r="H85" s="192">
        <v>0</v>
      </c>
      <c r="I85" s="192">
        <v>0</v>
      </c>
      <c r="J85" s="192">
        <v>0</v>
      </c>
      <c r="K85" s="192">
        <v>0</v>
      </c>
      <c r="L85" s="192">
        <v>0</v>
      </c>
      <c r="M85" s="192">
        <v>0</v>
      </c>
      <c r="N85" s="192"/>
      <c r="O85" s="192"/>
      <c r="P85" s="192"/>
      <c r="Q85" s="192"/>
      <c r="R85" s="192"/>
      <c r="S85" s="192"/>
      <c r="T85" s="192"/>
      <c r="U85" s="192"/>
      <c r="V85" s="192"/>
      <c r="W85" s="192"/>
      <c r="X85" s="192"/>
      <c r="Y85" s="192"/>
      <c r="Z85" s="192"/>
      <c r="AA85" s="192"/>
      <c r="AB85" s="192"/>
      <c r="AC85" s="192"/>
      <c r="AD85" s="192"/>
      <c r="AE85" s="192"/>
      <c r="AF85" s="196"/>
      <c r="AG85" s="176"/>
      <c r="AH85" s="672">
        <f t="shared" si="37"/>
        <v>0</v>
      </c>
    </row>
    <row r="86" spans="1:35" x14ac:dyDescent="0.3">
      <c r="A86" s="200" t="s">
        <v>32</v>
      </c>
      <c r="B86" s="192">
        <f>H86+J86+L86+N86+P86+R86+T86+V86+X86+Z86+AB86+AD86</f>
        <v>0</v>
      </c>
      <c r="C86" s="192">
        <f>H86+J86</f>
        <v>0</v>
      </c>
      <c r="D86" s="192">
        <f t="shared" si="41"/>
        <v>0</v>
      </c>
      <c r="E86" s="192">
        <v>0</v>
      </c>
      <c r="F86" s="194">
        <v>0</v>
      </c>
      <c r="G86" s="194">
        <v>0</v>
      </c>
      <c r="H86" s="192">
        <v>0</v>
      </c>
      <c r="I86" s="192">
        <v>0</v>
      </c>
      <c r="J86" s="192">
        <v>0</v>
      </c>
      <c r="K86" s="192">
        <v>0</v>
      </c>
      <c r="L86" s="192">
        <v>0</v>
      </c>
      <c r="M86" s="192">
        <v>0</v>
      </c>
      <c r="N86" s="192"/>
      <c r="O86" s="192"/>
      <c r="P86" s="192"/>
      <c r="Q86" s="192"/>
      <c r="R86" s="192"/>
      <c r="S86" s="192"/>
      <c r="T86" s="192"/>
      <c r="U86" s="192"/>
      <c r="V86" s="192"/>
      <c r="W86" s="192"/>
      <c r="X86" s="192"/>
      <c r="Y86" s="192"/>
      <c r="Z86" s="192"/>
      <c r="AA86" s="192"/>
      <c r="AB86" s="192"/>
      <c r="AC86" s="192"/>
      <c r="AD86" s="192"/>
      <c r="AE86" s="192"/>
      <c r="AF86" s="196"/>
      <c r="AG86" s="176"/>
      <c r="AH86" s="672">
        <f t="shared" si="37"/>
        <v>0</v>
      </c>
    </row>
    <row r="87" spans="1:35" s="670" customFormat="1" ht="60" x14ac:dyDescent="0.3">
      <c r="A87" s="815" t="s">
        <v>33</v>
      </c>
      <c r="B87" s="816">
        <f>H87+J87+L87+N87+P87+R87+T87+V87+X87+Z87+AB87+AD87</f>
        <v>16390.2</v>
      </c>
      <c r="C87" s="816">
        <f>H87+J87+L87</f>
        <v>4554.0789999999997</v>
      </c>
      <c r="D87" s="820">
        <f>E87</f>
        <v>3837.0110000000004</v>
      </c>
      <c r="E87" s="816">
        <f>I87+K87+M87</f>
        <v>3837.0110000000004</v>
      </c>
      <c r="F87" s="708">
        <f>E87/B87*100</f>
        <v>23.410397676660445</v>
      </c>
      <c r="G87" s="708">
        <f>E87/C87*100</f>
        <v>84.254379425565546</v>
      </c>
      <c r="H87" s="708">
        <v>2067.46</v>
      </c>
      <c r="I87" s="708">
        <v>1047.556</v>
      </c>
      <c r="J87" s="708">
        <v>1384.5540000000001</v>
      </c>
      <c r="K87" s="708">
        <v>1483.78</v>
      </c>
      <c r="L87" s="708">
        <v>1102.0650000000001</v>
      </c>
      <c r="M87" s="708">
        <v>1305.675</v>
      </c>
      <c r="N87" s="708">
        <v>1614.24</v>
      </c>
      <c r="O87" s="708"/>
      <c r="P87" s="708">
        <v>1293.442</v>
      </c>
      <c r="Q87" s="708"/>
      <c r="R87" s="708">
        <v>1102.0650000000001</v>
      </c>
      <c r="S87" s="708"/>
      <c r="T87" s="708">
        <v>1650.94</v>
      </c>
      <c r="U87" s="708"/>
      <c r="V87" s="708">
        <v>1256.742</v>
      </c>
      <c r="W87" s="708"/>
      <c r="X87" s="708">
        <v>1102.0650000000001</v>
      </c>
      <c r="Y87" s="708"/>
      <c r="Z87" s="708">
        <v>1614.24</v>
      </c>
      <c r="AA87" s="708"/>
      <c r="AB87" s="708">
        <v>1256.742</v>
      </c>
      <c r="AC87" s="708"/>
      <c r="AD87" s="708">
        <v>945.64499999999998</v>
      </c>
      <c r="AE87" s="708"/>
      <c r="AF87" s="673" t="s">
        <v>588</v>
      </c>
      <c r="AG87" s="818"/>
      <c r="AH87" s="819">
        <f t="shared" si="37"/>
        <v>717.0679999999993</v>
      </c>
      <c r="AI87" s="670">
        <v>717.06</v>
      </c>
    </row>
    <row r="88" spans="1:35" x14ac:dyDescent="0.3">
      <c r="A88" s="200" t="s">
        <v>221</v>
      </c>
      <c r="B88" s="192">
        <f>H88+J88+L88+N88+P88+R88+T88+V88+X88+Z88+AB88+AD88</f>
        <v>0</v>
      </c>
      <c r="C88" s="192">
        <f>H88+J88</f>
        <v>0</v>
      </c>
      <c r="D88" s="192">
        <f t="shared" ref="D88" si="42">E88</f>
        <v>0</v>
      </c>
      <c r="E88" s="192">
        <v>0</v>
      </c>
      <c r="F88" s="194">
        <v>0</v>
      </c>
      <c r="G88" s="194">
        <v>0</v>
      </c>
      <c r="H88" s="192">
        <v>0</v>
      </c>
      <c r="I88" s="192">
        <v>0</v>
      </c>
      <c r="J88" s="192">
        <v>0</v>
      </c>
      <c r="K88" s="192">
        <v>0</v>
      </c>
      <c r="L88" s="192">
        <v>0</v>
      </c>
      <c r="M88" s="192">
        <v>0</v>
      </c>
      <c r="N88" s="192"/>
      <c r="O88" s="192"/>
      <c r="P88" s="192"/>
      <c r="Q88" s="192"/>
      <c r="R88" s="192"/>
      <c r="S88" s="192"/>
      <c r="T88" s="192"/>
      <c r="U88" s="192"/>
      <c r="V88" s="192"/>
      <c r="W88" s="192"/>
      <c r="X88" s="192"/>
      <c r="Y88" s="192"/>
      <c r="Z88" s="192"/>
      <c r="AA88" s="192"/>
      <c r="AB88" s="192"/>
      <c r="AC88" s="192"/>
      <c r="AD88" s="192"/>
      <c r="AE88" s="192"/>
      <c r="AF88" s="196"/>
      <c r="AG88" s="176"/>
      <c r="AH88" s="672">
        <f t="shared" si="37"/>
        <v>0</v>
      </c>
    </row>
    <row r="89" spans="1:35" s="178" customFormat="1" x14ac:dyDescent="0.3">
      <c r="A89" s="149" t="s">
        <v>233</v>
      </c>
      <c r="B89" s="208">
        <f>B90+B91+B92+B93</f>
        <v>52857.201000000001</v>
      </c>
      <c r="C89" s="208">
        <f>C90+C91+C92+C93</f>
        <v>17319.095969999998</v>
      </c>
      <c r="D89" s="208">
        <f>D92</f>
        <v>11903.296999999999</v>
      </c>
      <c r="E89" s="208">
        <f>E90+E91+E92+E93</f>
        <v>11903.296999999999</v>
      </c>
      <c r="F89" s="208">
        <f>F92</f>
        <v>14.42</v>
      </c>
      <c r="G89" s="208">
        <f>G92</f>
        <v>74.66</v>
      </c>
      <c r="H89" s="208">
        <f>H90+H91+H92+H93</f>
        <v>10203.874809999999</v>
      </c>
      <c r="I89" s="208">
        <f>I92</f>
        <v>7618.1379999999999</v>
      </c>
      <c r="J89" s="208">
        <f>J90+J91+J92+J93</f>
        <v>3753.0886200000004</v>
      </c>
      <c r="K89" s="208">
        <f>K92</f>
        <v>3564.5210000000002</v>
      </c>
      <c r="L89" s="208">
        <f t="shared" ref="L89:AD89" si="43">L90+L91+L92+L93</f>
        <v>3362.1325400000005</v>
      </c>
      <c r="M89" s="208">
        <f>M92</f>
        <v>3334.3150000000001</v>
      </c>
      <c r="N89" s="208">
        <f t="shared" si="43"/>
        <v>4191.9160000000002</v>
      </c>
      <c r="O89" s="208"/>
      <c r="P89" s="208">
        <f t="shared" si="43"/>
        <v>3571.94328</v>
      </c>
      <c r="Q89" s="208"/>
      <c r="R89" s="208">
        <f t="shared" si="43"/>
        <v>3488.9270000000001</v>
      </c>
      <c r="S89" s="208"/>
      <c r="T89" s="208">
        <f t="shared" si="43"/>
        <v>4599.0159999999996</v>
      </c>
      <c r="U89" s="208"/>
      <c r="V89" s="208">
        <f t="shared" si="43"/>
        <v>3623.5509999999999</v>
      </c>
      <c r="W89" s="208"/>
      <c r="X89" s="208">
        <f t="shared" si="43"/>
        <v>4289.9470000000001</v>
      </c>
      <c r="Y89" s="208"/>
      <c r="Z89" s="208">
        <f t="shared" si="43"/>
        <v>4220.3180000000002</v>
      </c>
      <c r="AA89" s="208"/>
      <c r="AB89" s="208">
        <f t="shared" si="43"/>
        <v>4467.0319999999992</v>
      </c>
      <c r="AC89" s="208"/>
      <c r="AD89" s="208">
        <f t="shared" si="43"/>
        <v>3085.4547499999999</v>
      </c>
      <c r="AE89" s="208"/>
      <c r="AF89" s="209"/>
      <c r="AG89" s="176"/>
      <c r="AH89" s="672">
        <f t="shared" si="37"/>
        <v>5415.7989699999998</v>
      </c>
    </row>
    <row r="90" spans="1:35" s="178" customFormat="1" x14ac:dyDescent="0.3">
      <c r="A90" s="210" t="e">
        <f t="shared" ref="A90:AB90" si="44">A13+A33+A39+A47+A67</f>
        <v>#VALUE!</v>
      </c>
      <c r="B90" s="210">
        <f t="shared" si="44"/>
        <v>0</v>
      </c>
      <c r="C90" s="210">
        <f t="shared" si="44"/>
        <v>0</v>
      </c>
      <c r="D90" s="210">
        <f t="shared" si="44"/>
        <v>0</v>
      </c>
      <c r="E90" s="210">
        <f t="shared" si="44"/>
        <v>0</v>
      </c>
      <c r="F90" s="210">
        <f t="shared" si="44"/>
        <v>0</v>
      </c>
      <c r="G90" s="210">
        <f t="shared" si="44"/>
        <v>0</v>
      </c>
      <c r="H90" s="210">
        <f t="shared" si="44"/>
        <v>0</v>
      </c>
      <c r="I90" s="210">
        <f t="shared" si="44"/>
        <v>0</v>
      </c>
      <c r="J90" s="210">
        <f t="shared" si="44"/>
        <v>0</v>
      </c>
      <c r="K90" s="210">
        <f t="shared" si="44"/>
        <v>0</v>
      </c>
      <c r="L90" s="210">
        <f t="shared" si="44"/>
        <v>0</v>
      </c>
      <c r="M90" s="210">
        <f t="shared" si="44"/>
        <v>0</v>
      </c>
      <c r="N90" s="210">
        <f t="shared" si="44"/>
        <v>0</v>
      </c>
      <c r="O90" s="210">
        <f t="shared" si="44"/>
        <v>0</v>
      </c>
      <c r="P90" s="210">
        <f t="shared" si="44"/>
        <v>0</v>
      </c>
      <c r="Q90" s="210">
        <f t="shared" si="44"/>
        <v>0</v>
      </c>
      <c r="R90" s="210">
        <f t="shared" si="44"/>
        <v>0</v>
      </c>
      <c r="S90" s="210">
        <f t="shared" si="44"/>
        <v>0</v>
      </c>
      <c r="T90" s="210">
        <f t="shared" si="44"/>
        <v>0</v>
      </c>
      <c r="U90" s="210">
        <f t="shared" si="44"/>
        <v>0</v>
      </c>
      <c r="V90" s="210">
        <f t="shared" si="44"/>
        <v>0</v>
      </c>
      <c r="W90" s="210">
        <f t="shared" si="44"/>
        <v>0</v>
      </c>
      <c r="X90" s="210">
        <f t="shared" si="44"/>
        <v>0</v>
      </c>
      <c r="Y90" s="210">
        <f t="shared" si="44"/>
        <v>0</v>
      </c>
      <c r="Z90" s="210">
        <f t="shared" si="44"/>
        <v>0</v>
      </c>
      <c r="AA90" s="210">
        <f t="shared" si="44"/>
        <v>0</v>
      </c>
      <c r="AB90" s="210">
        <f t="shared" si="44"/>
        <v>0</v>
      </c>
      <c r="AC90" s="210">
        <f t="shared" ref="H90:AE93" si="45">AC13+AC33+AC39+AC47+AC67</f>
        <v>0</v>
      </c>
      <c r="AD90" s="210">
        <f t="shared" si="45"/>
        <v>0</v>
      </c>
      <c r="AE90" s="210">
        <f t="shared" si="45"/>
        <v>0</v>
      </c>
      <c r="AF90" s="211"/>
      <c r="AG90" s="176"/>
      <c r="AH90" s="672">
        <f t="shared" si="37"/>
        <v>0</v>
      </c>
    </row>
    <row r="91" spans="1:35" s="178" customFormat="1" x14ac:dyDescent="0.3">
      <c r="A91" s="151" t="s">
        <v>32</v>
      </c>
      <c r="B91" s="210">
        <f t="shared" ref="B91:E93" si="46">B14+B34+B40+B48+B68</f>
        <v>0</v>
      </c>
      <c r="C91" s="210">
        <f t="shared" si="46"/>
        <v>0</v>
      </c>
      <c r="D91" s="210">
        <f t="shared" si="46"/>
        <v>0</v>
      </c>
      <c r="E91" s="210">
        <f t="shared" si="46"/>
        <v>0</v>
      </c>
      <c r="F91" s="210">
        <f t="shared" ref="F91:F98" si="47">IFERROR(E91/B91*100,0)</f>
        <v>0</v>
      </c>
      <c r="G91" s="210">
        <f t="shared" ref="G91:G98" si="48">IFERROR(E91/C91*100,0)</f>
        <v>0</v>
      </c>
      <c r="H91" s="210">
        <f t="shared" si="45"/>
        <v>0</v>
      </c>
      <c r="I91" s="210">
        <f t="shared" si="45"/>
        <v>0</v>
      </c>
      <c r="J91" s="210">
        <f t="shared" si="45"/>
        <v>0</v>
      </c>
      <c r="K91" s="210">
        <f t="shared" si="45"/>
        <v>0</v>
      </c>
      <c r="L91" s="210">
        <f t="shared" si="45"/>
        <v>0</v>
      </c>
      <c r="M91" s="210">
        <f t="shared" si="45"/>
        <v>0</v>
      </c>
      <c r="N91" s="210">
        <f t="shared" si="45"/>
        <v>0</v>
      </c>
      <c r="O91" s="210">
        <f t="shared" si="45"/>
        <v>0</v>
      </c>
      <c r="P91" s="210">
        <f t="shared" si="45"/>
        <v>0</v>
      </c>
      <c r="Q91" s="210">
        <f t="shared" si="45"/>
        <v>0</v>
      </c>
      <c r="R91" s="210">
        <f t="shared" si="45"/>
        <v>0</v>
      </c>
      <c r="S91" s="210">
        <f t="shared" si="45"/>
        <v>0</v>
      </c>
      <c r="T91" s="210">
        <f t="shared" si="45"/>
        <v>0</v>
      </c>
      <c r="U91" s="210">
        <f t="shared" si="45"/>
        <v>0</v>
      </c>
      <c r="V91" s="210">
        <f t="shared" si="45"/>
        <v>0</v>
      </c>
      <c r="W91" s="210">
        <f t="shared" si="45"/>
        <v>0</v>
      </c>
      <c r="X91" s="210">
        <f t="shared" si="45"/>
        <v>0</v>
      </c>
      <c r="Y91" s="210">
        <f t="shared" si="45"/>
        <v>0</v>
      </c>
      <c r="Z91" s="210">
        <f t="shared" si="45"/>
        <v>0</v>
      </c>
      <c r="AA91" s="210">
        <f t="shared" si="45"/>
        <v>0</v>
      </c>
      <c r="AB91" s="210">
        <f t="shared" si="45"/>
        <v>0</v>
      </c>
      <c r="AC91" s="210">
        <f t="shared" si="45"/>
        <v>0</v>
      </c>
      <c r="AD91" s="210">
        <f t="shared" si="45"/>
        <v>0</v>
      </c>
      <c r="AE91" s="210">
        <f t="shared" si="45"/>
        <v>0</v>
      </c>
      <c r="AF91" s="212"/>
      <c r="AG91" s="176"/>
      <c r="AH91" s="672">
        <f t="shared" si="37"/>
        <v>0</v>
      </c>
    </row>
    <row r="92" spans="1:35" s="178" customFormat="1" x14ac:dyDescent="0.3">
      <c r="A92" s="151" t="s">
        <v>33</v>
      </c>
      <c r="B92" s="210">
        <f t="shared" si="46"/>
        <v>52857.201000000001</v>
      </c>
      <c r="C92" s="210">
        <f>C15+C35+C41+C49+C69</f>
        <v>17319.095969999998</v>
      </c>
      <c r="D92" s="210">
        <f>D15+D35+D49+D69</f>
        <v>11903.296999999999</v>
      </c>
      <c r="E92" s="210">
        <f>E15+E35+E41+E49+E69</f>
        <v>11903.296999999999</v>
      </c>
      <c r="F92" s="210">
        <f>F94</f>
        <v>14.42</v>
      </c>
      <c r="G92" s="210">
        <f>G94</f>
        <v>74.66</v>
      </c>
      <c r="H92" s="210">
        <f>H93+H94+H95+H96</f>
        <v>10203.874809999999</v>
      </c>
      <c r="I92" s="210">
        <f>I15+I35+I49+I69</f>
        <v>7618.1379999999999</v>
      </c>
      <c r="J92" s="210">
        <f t="shared" si="45"/>
        <v>3753.0886200000004</v>
      </c>
      <c r="K92" s="210">
        <f t="shared" si="45"/>
        <v>3564.5210000000002</v>
      </c>
      <c r="L92" s="210">
        <f t="shared" si="45"/>
        <v>3362.1325400000005</v>
      </c>
      <c r="M92" s="210">
        <f t="shared" si="45"/>
        <v>3334.3150000000001</v>
      </c>
      <c r="N92" s="210">
        <f t="shared" si="45"/>
        <v>4191.9160000000002</v>
      </c>
      <c r="O92" s="210">
        <f t="shared" si="45"/>
        <v>0</v>
      </c>
      <c r="P92" s="210">
        <f t="shared" si="45"/>
        <v>3571.94328</v>
      </c>
      <c r="Q92" s="210">
        <f t="shared" si="45"/>
        <v>0</v>
      </c>
      <c r="R92" s="210">
        <f t="shared" si="45"/>
        <v>3488.9270000000001</v>
      </c>
      <c r="S92" s="210">
        <f t="shared" si="45"/>
        <v>0</v>
      </c>
      <c r="T92" s="210">
        <f t="shared" si="45"/>
        <v>4599.0159999999996</v>
      </c>
      <c r="U92" s="210">
        <f t="shared" si="45"/>
        <v>0</v>
      </c>
      <c r="V92" s="210">
        <f t="shared" si="45"/>
        <v>3623.5509999999999</v>
      </c>
      <c r="W92" s="210">
        <f t="shared" si="45"/>
        <v>0</v>
      </c>
      <c r="X92" s="210">
        <f t="shared" si="45"/>
        <v>4289.9470000000001</v>
      </c>
      <c r="Y92" s="210">
        <f t="shared" si="45"/>
        <v>0</v>
      </c>
      <c r="Z92" s="210">
        <f t="shared" si="45"/>
        <v>4220.3180000000002</v>
      </c>
      <c r="AA92" s="210">
        <f t="shared" si="45"/>
        <v>0</v>
      </c>
      <c r="AB92" s="210">
        <f t="shared" si="45"/>
        <v>4467.0319999999992</v>
      </c>
      <c r="AC92" s="210">
        <f t="shared" si="45"/>
        <v>0</v>
      </c>
      <c r="AD92" s="210">
        <f t="shared" si="45"/>
        <v>3085.4547499999999</v>
      </c>
      <c r="AE92" s="210">
        <f t="shared" si="45"/>
        <v>0</v>
      </c>
      <c r="AF92" s="212"/>
      <c r="AG92" s="176"/>
      <c r="AH92" s="672">
        <f t="shared" si="37"/>
        <v>5415.7989699999998</v>
      </c>
    </row>
    <row r="93" spans="1:35" s="178" customFormat="1" x14ac:dyDescent="0.3">
      <c r="A93" s="153" t="s">
        <v>221</v>
      </c>
      <c r="B93" s="210">
        <f t="shared" si="46"/>
        <v>0</v>
      </c>
      <c r="C93" s="210">
        <f t="shared" si="46"/>
        <v>0</v>
      </c>
      <c r="D93" s="210">
        <f t="shared" si="46"/>
        <v>0</v>
      </c>
      <c r="E93" s="210">
        <f t="shared" si="46"/>
        <v>0</v>
      </c>
      <c r="F93" s="210">
        <f t="shared" si="47"/>
        <v>0</v>
      </c>
      <c r="G93" s="210">
        <f t="shared" si="48"/>
        <v>0</v>
      </c>
      <c r="H93" s="210">
        <f t="shared" si="45"/>
        <v>0</v>
      </c>
      <c r="I93" s="210">
        <f t="shared" si="45"/>
        <v>0</v>
      </c>
      <c r="J93" s="210">
        <f t="shared" si="45"/>
        <v>0</v>
      </c>
      <c r="K93" s="210">
        <f t="shared" si="45"/>
        <v>0</v>
      </c>
      <c r="L93" s="210">
        <f t="shared" si="45"/>
        <v>0</v>
      </c>
      <c r="M93" s="210">
        <f t="shared" si="45"/>
        <v>0</v>
      </c>
      <c r="N93" s="210">
        <f t="shared" si="45"/>
        <v>0</v>
      </c>
      <c r="O93" s="210">
        <f t="shared" si="45"/>
        <v>0</v>
      </c>
      <c r="P93" s="210">
        <f t="shared" si="45"/>
        <v>0</v>
      </c>
      <c r="Q93" s="210">
        <f t="shared" si="45"/>
        <v>0</v>
      </c>
      <c r="R93" s="210">
        <f t="shared" si="45"/>
        <v>0</v>
      </c>
      <c r="S93" s="210">
        <f t="shared" si="45"/>
        <v>0</v>
      </c>
      <c r="T93" s="210">
        <f t="shared" si="45"/>
        <v>0</v>
      </c>
      <c r="U93" s="210">
        <f t="shared" si="45"/>
        <v>0</v>
      </c>
      <c r="V93" s="210">
        <f t="shared" si="45"/>
        <v>0</v>
      </c>
      <c r="W93" s="210">
        <f t="shared" si="45"/>
        <v>0</v>
      </c>
      <c r="X93" s="210">
        <f t="shared" si="45"/>
        <v>0</v>
      </c>
      <c r="Y93" s="210">
        <f t="shared" si="45"/>
        <v>0</v>
      </c>
      <c r="Z93" s="210">
        <f>Z16+Z36+Z42+Z50+Z70</f>
        <v>0</v>
      </c>
      <c r="AA93" s="210">
        <f t="shared" si="45"/>
        <v>0</v>
      </c>
      <c r="AB93" s="210">
        <f t="shared" si="45"/>
        <v>0</v>
      </c>
      <c r="AC93" s="210">
        <f t="shared" si="45"/>
        <v>0</v>
      </c>
      <c r="AD93" s="210">
        <f t="shared" si="45"/>
        <v>0</v>
      </c>
      <c r="AE93" s="210">
        <f t="shared" si="45"/>
        <v>0</v>
      </c>
      <c r="AF93" s="212"/>
      <c r="AG93" s="176"/>
      <c r="AH93" s="672">
        <f t="shared" si="37"/>
        <v>0</v>
      </c>
    </row>
    <row r="94" spans="1:35" s="178" customFormat="1" ht="37.5" x14ac:dyDescent="0.3">
      <c r="A94" s="149" t="s">
        <v>64</v>
      </c>
      <c r="B94" s="208">
        <f>B95+B96+B97+B98</f>
        <v>52857.201000000001</v>
      </c>
      <c r="C94" s="208">
        <f>C92</f>
        <v>17319.095969999998</v>
      </c>
      <c r="D94" s="208">
        <f>D97</f>
        <v>11903.296999999999</v>
      </c>
      <c r="E94" s="208">
        <f>E95+E96+E97+E98</f>
        <v>11903.296999999999</v>
      </c>
      <c r="F94" s="208">
        <v>14.42</v>
      </c>
      <c r="G94" s="208">
        <f>G97</f>
        <v>74.66</v>
      </c>
      <c r="H94" s="208">
        <f>H95+H96+H97+H98</f>
        <v>10203.874809999999</v>
      </c>
      <c r="I94" s="208">
        <f>I97</f>
        <v>7618.1379999999999</v>
      </c>
      <c r="J94" s="208">
        <f>J95+J96+J97+J98</f>
        <v>3753.0886200000004</v>
      </c>
      <c r="K94" s="208">
        <f>K97</f>
        <v>3564.5210000000002</v>
      </c>
      <c r="L94" s="208">
        <f>L95+L96+L97+L98</f>
        <v>3362.1325400000005</v>
      </c>
      <c r="M94" s="208">
        <f>M97</f>
        <v>3334.3150000000001</v>
      </c>
      <c r="N94" s="208">
        <f>N95+N96+N97+N98</f>
        <v>4191.9160000000002</v>
      </c>
      <c r="O94" s="208"/>
      <c r="P94" s="208">
        <f>P95+P96+P97+P98</f>
        <v>3571.94328</v>
      </c>
      <c r="Q94" s="208"/>
      <c r="R94" s="208">
        <f>R95+R96+R97+R98</f>
        <v>3488.9270000000001</v>
      </c>
      <c r="S94" s="208"/>
      <c r="T94" s="208">
        <f>T95+T96+T97+T98</f>
        <v>4599.0159999999996</v>
      </c>
      <c r="U94" s="208"/>
      <c r="V94" s="208">
        <f>V95+V96+V97+V98</f>
        <v>3623.5509999999999</v>
      </c>
      <c r="W94" s="208"/>
      <c r="X94" s="208">
        <f>X95+X96+X97+X98</f>
        <v>4289.9470000000001</v>
      </c>
      <c r="Y94" s="208"/>
      <c r="Z94" s="208">
        <f>Z95+Z96+Z97+Z98</f>
        <v>4220.3180000000002</v>
      </c>
      <c r="AA94" s="208"/>
      <c r="AB94" s="208">
        <f>AB95+AB96+AB97+AB98</f>
        <v>4467.0319999999992</v>
      </c>
      <c r="AC94" s="208"/>
      <c r="AD94" s="208">
        <f>AD95+AD96+AD97+AD98</f>
        <v>3085.4547499999999</v>
      </c>
      <c r="AE94" s="208"/>
      <c r="AF94" s="209"/>
      <c r="AG94" s="176"/>
      <c r="AH94" s="672">
        <f t="shared" si="37"/>
        <v>5415.7989699999998</v>
      </c>
    </row>
    <row r="95" spans="1:35" s="178" customFormat="1" x14ac:dyDescent="0.3">
      <c r="A95" s="151" t="s">
        <v>169</v>
      </c>
      <c r="B95" s="210">
        <f>B13+B33+B39+B47+B67</f>
        <v>0</v>
      </c>
      <c r="C95" s="210">
        <f t="shared" ref="C95:E95" si="49">C13+C33+C39+C47+C67</f>
        <v>0</v>
      </c>
      <c r="D95" s="210">
        <f t="shared" si="49"/>
        <v>0</v>
      </c>
      <c r="E95" s="210">
        <f t="shared" si="49"/>
        <v>0</v>
      </c>
      <c r="F95" s="210">
        <f t="shared" si="47"/>
        <v>0</v>
      </c>
      <c r="G95" s="210" t="s">
        <v>482</v>
      </c>
      <c r="H95" s="210">
        <f t="shared" ref="H95:AE98" si="50">H13+H33+H39+H47+H67</f>
        <v>0</v>
      </c>
      <c r="I95" s="210">
        <f t="shared" si="50"/>
        <v>0</v>
      </c>
      <c r="J95" s="210">
        <f t="shared" si="50"/>
        <v>0</v>
      </c>
      <c r="K95" s="210">
        <f t="shared" si="50"/>
        <v>0</v>
      </c>
      <c r="L95" s="210">
        <f t="shared" si="50"/>
        <v>0</v>
      </c>
      <c r="M95" s="210">
        <f t="shared" si="50"/>
        <v>0</v>
      </c>
      <c r="N95" s="210">
        <f t="shared" si="50"/>
        <v>0</v>
      </c>
      <c r="O95" s="210">
        <f t="shared" si="50"/>
        <v>0</v>
      </c>
      <c r="P95" s="210">
        <f t="shared" si="50"/>
        <v>0</v>
      </c>
      <c r="Q95" s="210">
        <f t="shared" si="50"/>
        <v>0</v>
      </c>
      <c r="R95" s="210">
        <f t="shared" si="50"/>
        <v>0</v>
      </c>
      <c r="S95" s="210">
        <f t="shared" si="50"/>
        <v>0</v>
      </c>
      <c r="T95" s="210">
        <f t="shared" si="50"/>
        <v>0</v>
      </c>
      <c r="U95" s="210">
        <f t="shared" si="50"/>
        <v>0</v>
      </c>
      <c r="V95" s="210">
        <f t="shared" si="50"/>
        <v>0</v>
      </c>
      <c r="W95" s="210">
        <f t="shared" si="50"/>
        <v>0</v>
      </c>
      <c r="X95" s="210">
        <f t="shared" si="50"/>
        <v>0</v>
      </c>
      <c r="Y95" s="210">
        <f t="shared" si="50"/>
        <v>0</v>
      </c>
      <c r="Z95" s="210">
        <f t="shared" si="50"/>
        <v>0</v>
      </c>
      <c r="AA95" s="210">
        <f t="shared" si="50"/>
        <v>0</v>
      </c>
      <c r="AB95" s="210">
        <f t="shared" si="50"/>
        <v>0</v>
      </c>
      <c r="AC95" s="210">
        <f t="shared" si="50"/>
        <v>0</v>
      </c>
      <c r="AD95" s="210">
        <f t="shared" si="50"/>
        <v>0</v>
      </c>
      <c r="AE95" s="210">
        <f t="shared" si="50"/>
        <v>0</v>
      </c>
      <c r="AF95" s="211"/>
      <c r="AG95" s="176"/>
      <c r="AH95" s="672">
        <f t="shared" si="37"/>
        <v>0</v>
      </c>
    </row>
    <row r="96" spans="1:35" s="178" customFormat="1" x14ac:dyDescent="0.3">
      <c r="A96" s="151" t="s">
        <v>32</v>
      </c>
      <c r="B96" s="210">
        <f t="shared" ref="B96:E98" si="51">B14+B34+B40+B48+B68</f>
        <v>0</v>
      </c>
      <c r="C96" s="210">
        <f t="shared" si="51"/>
        <v>0</v>
      </c>
      <c r="D96" s="210">
        <f t="shared" si="51"/>
        <v>0</v>
      </c>
      <c r="E96" s="210">
        <f t="shared" si="51"/>
        <v>0</v>
      </c>
      <c r="F96" s="210">
        <f t="shared" si="47"/>
        <v>0</v>
      </c>
      <c r="G96" s="210">
        <f t="shared" si="48"/>
        <v>0</v>
      </c>
      <c r="H96" s="210">
        <f t="shared" si="50"/>
        <v>0</v>
      </c>
      <c r="I96" s="210">
        <f t="shared" si="50"/>
        <v>0</v>
      </c>
      <c r="J96" s="210">
        <f t="shared" si="50"/>
        <v>0</v>
      </c>
      <c r="K96" s="210">
        <f t="shared" si="50"/>
        <v>0</v>
      </c>
      <c r="L96" s="210">
        <f t="shared" si="50"/>
        <v>0</v>
      </c>
      <c r="M96" s="210">
        <f t="shared" si="50"/>
        <v>0</v>
      </c>
      <c r="N96" s="210">
        <f t="shared" si="50"/>
        <v>0</v>
      </c>
      <c r="O96" s="210">
        <f t="shared" si="50"/>
        <v>0</v>
      </c>
      <c r="P96" s="210">
        <f t="shared" si="50"/>
        <v>0</v>
      </c>
      <c r="Q96" s="210">
        <f t="shared" si="50"/>
        <v>0</v>
      </c>
      <c r="R96" s="210">
        <f t="shared" si="50"/>
        <v>0</v>
      </c>
      <c r="S96" s="210">
        <f t="shared" si="50"/>
        <v>0</v>
      </c>
      <c r="T96" s="210">
        <f t="shared" si="50"/>
        <v>0</v>
      </c>
      <c r="U96" s="210">
        <f t="shared" si="50"/>
        <v>0</v>
      </c>
      <c r="V96" s="210">
        <f t="shared" si="50"/>
        <v>0</v>
      </c>
      <c r="W96" s="210">
        <f t="shared" si="50"/>
        <v>0</v>
      </c>
      <c r="X96" s="210">
        <f t="shared" si="50"/>
        <v>0</v>
      </c>
      <c r="Y96" s="210">
        <f t="shared" si="50"/>
        <v>0</v>
      </c>
      <c r="Z96" s="210">
        <f t="shared" si="50"/>
        <v>0</v>
      </c>
      <c r="AA96" s="210">
        <f t="shared" si="50"/>
        <v>0</v>
      </c>
      <c r="AB96" s="210">
        <f t="shared" si="50"/>
        <v>0</v>
      </c>
      <c r="AC96" s="210">
        <f t="shared" si="50"/>
        <v>0</v>
      </c>
      <c r="AD96" s="210">
        <f t="shared" si="50"/>
        <v>0</v>
      </c>
      <c r="AE96" s="210">
        <f t="shared" si="50"/>
        <v>0</v>
      </c>
      <c r="AF96" s="212"/>
      <c r="AG96" s="176"/>
      <c r="AH96" s="672">
        <f t="shared" si="37"/>
        <v>0</v>
      </c>
    </row>
    <row r="97" spans="1:35" s="178" customFormat="1" x14ac:dyDescent="0.3">
      <c r="A97" s="151" t="s">
        <v>33</v>
      </c>
      <c r="B97" s="210">
        <f t="shared" si="51"/>
        <v>52857.201000000001</v>
      </c>
      <c r="C97" s="210">
        <f>C94</f>
        <v>17319.095969999998</v>
      </c>
      <c r="D97" s="210">
        <f>D15+D35+D41+D49+D69</f>
        <v>11903.296999999999</v>
      </c>
      <c r="E97" s="210">
        <f t="shared" si="51"/>
        <v>11903.296999999999</v>
      </c>
      <c r="F97" s="210">
        <v>14.42</v>
      </c>
      <c r="G97" s="210">
        <v>74.66</v>
      </c>
      <c r="H97" s="210">
        <f t="shared" si="50"/>
        <v>10203.874809999999</v>
      </c>
      <c r="I97" s="210">
        <f t="shared" si="50"/>
        <v>7618.1379999999999</v>
      </c>
      <c r="J97" s="210">
        <f t="shared" si="50"/>
        <v>3753.0886200000004</v>
      </c>
      <c r="K97" s="210">
        <f t="shared" si="50"/>
        <v>3564.5210000000002</v>
      </c>
      <c r="L97" s="210">
        <f t="shared" si="50"/>
        <v>3362.1325400000005</v>
      </c>
      <c r="M97" s="210">
        <f t="shared" si="50"/>
        <v>3334.3150000000001</v>
      </c>
      <c r="N97" s="210">
        <f t="shared" si="50"/>
        <v>4191.9160000000002</v>
      </c>
      <c r="O97" s="210">
        <f t="shared" si="50"/>
        <v>0</v>
      </c>
      <c r="P97" s="210">
        <f t="shared" si="50"/>
        <v>3571.94328</v>
      </c>
      <c r="Q97" s="210">
        <f t="shared" si="50"/>
        <v>0</v>
      </c>
      <c r="R97" s="210">
        <f t="shared" si="50"/>
        <v>3488.9270000000001</v>
      </c>
      <c r="S97" s="210">
        <f t="shared" si="50"/>
        <v>0</v>
      </c>
      <c r="T97" s="210">
        <f t="shared" si="50"/>
        <v>4599.0159999999996</v>
      </c>
      <c r="U97" s="210">
        <f t="shared" si="50"/>
        <v>0</v>
      </c>
      <c r="V97" s="210">
        <f t="shared" si="50"/>
        <v>3623.5509999999999</v>
      </c>
      <c r="W97" s="210">
        <f t="shared" si="50"/>
        <v>0</v>
      </c>
      <c r="X97" s="210">
        <f t="shared" si="50"/>
        <v>4289.9470000000001</v>
      </c>
      <c r="Y97" s="210">
        <f t="shared" si="50"/>
        <v>0</v>
      </c>
      <c r="Z97" s="210">
        <f t="shared" si="50"/>
        <v>4220.3180000000002</v>
      </c>
      <c r="AA97" s="210">
        <f t="shared" si="50"/>
        <v>0</v>
      </c>
      <c r="AB97" s="210">
        <f t="shared" si="50"/>
        <v>4467.0319999999992</v>
      </c>
      <c r="AC97" s="210">
        <f t="shared" si="50"/>
        <v>0</v>
      </c>
      <c r="AD97" s="210">
        <f t="shared" si="50"/>
        <v>3085.4547499999999</v>
      </c>
      <c r="AE97" s="210">
        <f t="shared" si="50"/>
        <v>0</v>
      </c>
      <c r="AF97" s="212"/>
      <c r="AG97" s="176"/>
      <c r="AH97" s="672">
        <f t="shared" si="37"/>
        <v>5415.7989699999998</v>
      </c>
    </row>
    <row r="98" spans="1:35" s="178" customFormat="1" x14ac:dyDescent="0.3">
      <c r="A98" s="153" t="s">
        <v>221</v>
      </c>
      <c r="B98" s="210">
        <f t="shared" si="51"/>
        <v>0</v>
      </c>
      <c r="C98" s="210">
        <f t="shared" si="51"/>
        <v>0</v>
      </c>
      <c r="D98" s="210">
        <f t="shared" si="51"/>
        <v>0</v>
      </c>
      <c r="E98" s="210">
        <f t="shared" si="51"/>
        <v>0</v>
      </c>
      <c r="F98" s="210">
        <f t="shared" si="47"/>
        <v>0</v>
      </c>
      <c r="G98" s="210">
        <f t="shared" si="48"/>
        <v>0</v>
      </c>
      <c r="H98" s="210">
        <f t="shared" si="50"/>
        <v>0</v>
      </c>
      <c r="I98" s="210">
        <f t="shared" si="50"/>
        <v>0</v>
      </c>
      <c r="J98" s="210">
        <f t="shared" si="50"/>
        <v>0</v>
      </c>
      <c r="K98" s="210">
        <f t="shared" si="50"/>
        <v>0</v>
      </c>
      <c r="L98" s="210">
        <f t="shared" si="50"/>
        <v>0</v>
      </c>
      <c r="M98" s="210">
        <f t="shared" si="50"/>
        <v>0</v>
      </c>
      <c r="N98" s="210">
        <f t="shared" si="50"/>
        <v>0</v>
      </c>
      <c r="O98" s="210">
        <f t="shared" si="50"/>
        <v>0</v>
      </c>
      <c r="P98" s="210">
        <f t="shared" si="50"/>
        <v>0</v>
      </c>
      <c r="Q98" s="210">
        <f t="shared" si="50"/>
        <v>0</v>
      </c>
      <c r="R98" s="210">
        <f t="shared" si="50"/>
        <v>0</v>
      </c>
      <c r="S98" s="210">
        <f t="shared" si="50"/>
        <v>0</v>
      </c>
      <c r="T98" s="210">
        <f t="shared" si="50"/>
        <v>0</v>
      </c>
      <c r="U98" s="210">
        <f t="shared" si="50"/>
        <v>0</v>
      </c>
      <c r="V98" s="210">
        <f t="shared" si="50"/>
        <v>0</v>
      </c>
      <c r="W98" s="210">
        <f t="shared" si="50"/>
        <v>0</v>
      </c>
      <c r="X98" s="210">
        <f t="shared" si="50"/>
        <v>0</v>
      </c>
      <c r="Y98" s="210">
        <f t="shared" si="50"/>
        <v>0</v>
      </c>
      <c r="Z98" s="210">
        <f>Z16+Z36+Z42+Z50+Z70</f>
        <v>0</v>
      </c>
      <c r="AA98" s="210">
        <f t="shared" si="50"/>
        <v>0</v>
      </c>
      <c r="AB98" s="210">
        <f t="shared" si="50"/>
        <v>0</v>
      </c>
      <c r="AC98" s="210">
        <f t="shared" si="50"/>
        <v>0</v>
      </c>
      <c r="AD98" s="210">
        <f t="shared" si="50"/>
        <v>0</v>
      </c>
      <c r="AE98" s="210">
        <f t="shared" si="50"/>
        <v>0</v>
      </c>
      <c r="AF98" s="212"/>
      <c r="AG98" s="176"/>
      <c r="AH98" s="672">
        <f t="shared" si="37"/>
        <v>0</v>
      </c>
    </row>
    <row r="99" spans="1:35" s="160" customFormat="1" x14ac:dyDescent="0.3">
      <c r="B99" s="176"/>
      <c r="C99" s="818"/>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G99" s="176"/>
      <c r="AI99" s="176"/>
    </row>
    <row r="100" spans="1:35" s="160" customFormat="1" x14ac:dyDescent="0.3">
      <c r="B100" s="176"/>
      <c r="AH100" s="773" t="s">
        <v>568</v>
      </c>
      <c r="AI100" s="772">
        <f>AH55+AI61+AH75+AH81+AI87</f>
        <v>2802.1102499999997</v>
      </c>
    </row>
    <row r="101" spans="1:35" x14ac:dyDescent="0.3">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row>
    <row r="102" spans="1:35" x14ac:dyDescent="0.3">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row>
    <row r="103" spans="1:35" x14ac:dyDescent="0.3">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row>
    <row r="104" spans="1:35" x14ac:dyDescent="0.3">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row>
    <row r="153" spans="6:7" x14ac:dyDescent="0.3">
      <c r="F153" s="10">
        <v>0</v>
      </c>
      <c r="G153" s="10" t="e">
        <f>E153/C153*100</f>
        <v>#DIV/0!</v>
      </c>
    </row>
    <row r="156" spans="6:7" x14ac:dyDescent="0.3">
      <c r="F156" s="10">
        <v>0</v>
      </c>
      <c r="G156" s="10">
        <v>0</v>
      </c>
    </row>
  </sheetData>
  <customSheetViews>
    <customSheetView guid="{533DC55B-6AD4-4674-9488-685EF2039F3E}" scale="55">
      <pane xSplit="2" ySplit="10" topLeftCell="C101" activePane="bottomRight" state="frozen"/>
      <selection pane="bottomRight" activeCell="F23" sqref="F23"/>
      <pageMargins left="0.7" right="0.7" top="0.75" bottom="0.75" header="0.3" footer="0.3"/>
      <pageSetup paperSize="9" orientation="portrait" r:id="rId1"/>
    </customSheetView>
    <customSheetView guid="{85F4575B-DBC5-482A-9916-255D8F0BC94E}" scale="50">
      <pane xSplit="2" ySplit="10" topLeftCell="Z59" activePane="bottomRight" state="frozen"/>
      <selection pane="bottomRight" activeCell="AA71" sqref="AA71"/>
      <pageMargins left="0.7" right="0.7" top="0.75" bottom="0.75" header="0.3" footer="0.3"/>
      <pageSetup paperSize="9" orientation="portrait" r:id="rId2"/>
    </customSheetView>
    <customSheetView guid="{B1BF08D1-D416-4B47-ADD0-4F59132DC9E8}" scale="50">
      <pane xSplit="2" ySplit="10" topLeftCell="Z59" activePane="bottomRight" state="frozen"/>
      <selection pane="bottomRight" activeCell="AA71" sqref="AA71"/>
      <pageMargins left="0.7" right="0.7" top="0.75" bottom="0.75" header="0.3" footer="0.3"/>
      <pageSetup paperSize="9" orientation="portrait" r:id="rId3"/>
    </customSheetView>
    <customSheetView guid="{4F41B9CC-959D-442C-80B0-1F0DB2C76D27}" scale="50">
      <pane xSplit="2" ySplit="10" topLeftCell="M51" activePane="bottomRight" state="frozen"/>
      <selection pane="bottomRight" activeCell="AF58" sqref="AF58"/>
      <pageMargins left="0.7" right="0.7" top="0.75" bottom="0.75" header="0.3" footer="0.3"/>
      <pageSetup paperSize="9" orientation="portrait" r:id="rId4"/>
    </customSheetView>
    <customSheetView guid="{602C8EDB-B9EF-4C85-B0D5-0558C3A0ABAB}" scale="70">
      <pane xSplit="2" ySplit="10" topLeftCell="T11" activePane="bottomRight" state="frozen"/>
      <selection pane="bottomRight" activeCell="AF23" sqref="AF23"/>
      <pageMargins left="0.7" right="0.7" top="0.75" bottom="0.75" header="0.3" footer="0.3"/>
      <pageSetup paperSize="9" orientation="portrait" r:id="rId5"/>
    </customSheetView>
    <customSheetView guid="{D01FA037-9AEC-4167-ADB8-2F327C01ECE6}" scale="70">
      <pane xSplit="2" ySplit="10" topLeftCell="T11" activePane="bottomRight" state="frozen"/>
      <selection pane="bottomRight" activeCell="AF23" sqref="AF23"/>
      <pageMargins left="0.7" right="0.7" top="0.75" bottom="0.75" header="0.3" footer="0.3"/>
      <pageSetup paperSize="9" orientation="portrait" r:id="rId6"/>
    </customSheetView>
    <customSheetView guid="{84867370-1F3E-4368-AF79-FBCE46FFFE92}" scale="70">
      <pane xSplit="2" ySplit="10" topLeftCell="C11" activePane="bottomRight" state="frozen"/>
      <selection pane="bottomRight" activeCell="AF23" sqref="AF23"/>
      <pageMargins left="0.7" right="0.7" top="0.75" bottom="0.75" header="0.3" footer="0.3"/>
      <pageSetup paperSize="9" orientation="portrait" r:id="rId7"/>
    </customSheetView>
    <customSheetView guid="{0C2B9C2A-7B94-41EF-A2E6-F8AC9A67DE25}" scale="70">
      <pane xSplit="2" ySplit="10" topLeftCell="T11" activePane="bottomRight" state="frozen"/>
      <selection pane="bottomRight" activeCell="AF23" sqref="AF23"/>
      <pageMargins left="0.7" right="0.7" top="0.75" bottom="0.75" header="0.3" footer="0.3"/>
      <pageSetup paperSize="9" orientation="portrait" r:id="rId8"/>
    </customSheetView>
    <customSheetView guid="{47B983AB-FE5F-4725-860C-A2F29420596D}" scale="70">
      <pane xSplit="2" ySplit="10" topLeftCell="C11" activePane="bottomRight" state="frozen"/>
      <selection pane="bottomRight" activeCell="E23" sqref="E23"/>
      <pageMargins left="0.7" right="0.7" top="0.75" bottom="0.75" header="0.3" footer="0.3"/>
      <pageSetup paperSize="9" orientation="portrait" r:id="rId9"/>
    </customSheetView>
    <customSheetView guid="{DAA8A688-7558-4B5B-8DBD-E2629BD9E9A8}" scale="70">
      <pane xSplit="2" ySplit="10" topLeftCell="F83" activePane="bottomRight" state="frozen"/>
      <selection pane="bottomRight" activeCell="J98" sqref="J98"/>
      <pageMargins left="0.7" right="0.7" top="0.75" bottom="0.75" header="0.3" footer="0.3"/>
      <pageSetup paperSize="9" orientation="portrait" r:id="rId10"/>
    </customSheetView>
    <customSheetView guid="{BCD82A82-B724-4763-8580-D765356E09BA}" scale="70">
      <pane xSplit="2" ySplit="10" topLeftCell="C11" activePane="bottomRight" state="frozen"/>
      <selection pane="bottomRight" activeCell="A4" sqref="A4:AD4"/>
      <pageMargins left="0.7" right="0.7" top="0.75" bottom="0.75" header="0.3" footer="0.3"/>
      <pageSetup paperSize="9" orientation="portrait" r:id="rId11"/>
    </customSheetView>
    <customSheetView guid="{C236B307-BD63-48C4-A75F-B3F3717BF55C}" scale="70">
      <pane xSplit="2" ySplit="10" topLeftCell="C11" activePane="bottomRight" state="frozen"/>
      <selection pane="bottomRight" activeCell="Q27" sqref="Q27"/>
      <pageMargins left="0.7" right="0.7" top="0.75" bottom="0.75" header="0.3" footer="0.3"/>
      <pageSetup paperSize="9" orientation="portrait" r:id="rId12"/>
    </customSheetView>
    <customSheetView guid="{87218168-6C8E-4D5B-A5E5-DCCC26803AA3}" scale="70">
      <pane xSplit="2" ySplit="10" topLeftCell="F83" activePane="bottomRight" state="frozen"/>
      <selection pane="bottomRight" activeCell="J98" sqref="J98"/>
      <pageMargins left="0.7" right="0.7" top="0.75" bottom="0.75" header="0.3" footer="0.3"/>
      <pageSetup paperSize="9" orientation="portrait" r:id="rId13"/>
    </customSheetView>
    <customSheetView guid="{874882D1-E741-4CCA-BF0D-E72FA60B771D}" scale="70">
      <pane xSplit="2" ySplit="10" topLeftCell="F83" activePane="bottomRight" state="frozen"/>
      <selection pane="bottomRight" activeCell="J98" sqref="J98"/>
      <pageMargins left="0.7" right="0.7" top="0.75" bottom="0.75" header="0.3" footer="0.3"/>
      <pageSetup paperSize="9" orientation="portrait" r:id="rId14"/>
    </customSheetView>
    <customSheetView guid="{B82BA08A-1A30-4F4D-A478-74A6BD09EA97}" scale="70">
      <pane xSplit="2" ySplit="10" topLeftCell="F83" activePane="bottomRight" state="frozen"/>
      <selection pane="bottomRight" activeCell="J98" sqref="J98"/>
      <pageMargins left="0.7" right="0.7" top="0.75" bottom="0.75" header="0.3" footer="0.3"/>
      <pageSetup paperSize="9" orientation="portrait" r:id="rId15"/>
    </customSheetView>
    <customSheetView guid="{4D0DFB57-2CBA-42F2-9A97-C453A6851FBA}" scale="70">
      <pane xSplit="2" ySplit="10" topLeftCell="C11" activePane="bottomRight" state="frozen"/>
      <selection pane="bottomRight" activeCell="E23" sqref="E23"/>
      <pageMargins left="0.7" right="0.7" top="0.75" bottom="0.75" header="0.3" footer="0.3"/>
      <pageSetup paperSize="9" orientation="portrait" r:id="rId16"/>
    </customSheetView>
    <customSheetView guid="{770624BF-07F3-44B6-94C3-4CC447CDD45C}" scale="70">
      <pane xSplit="2" ySplit="10" topLeftCell="C11" activePane="bottomRight" state="frozen"/>
      <selection pane="bottomRight" activeCell="E23" sqref="E23"/>
      <pageMargins left="0.7" right="0.7" top="0.75" bottom="0.75" header="0.3" footer="0.3"/>
      <pageSetup paperSize="9" orientation="portrait" r:id="rId17"/>
    </customSheetView>
    <customSheetView guid="{E508E171-4ED9-4B07-84DF-DA28C60E1969}" scale="70">
      <pane xSplit="2" ySplit="10" topLeftCell="C11" activePane="bottomRight" state="frozen"/>
      <selection pane="bottomRight" activeCell="E23" sqref="E23"/>
      <pageMargins left="0.7" right="0.7" top="0.75" bottom="0.75" header="0.3" footer="0.3"/>
      <pageSetup paperSize="9" orientation="portrait" r:id="rId18"/>
    </customSheetView>
    <customSheetView guid="{74870EE6-26B9-40F7-9DC9-260EF16D8959}" scale="70">
      <pane xSplit="2" ySplit="10" topLeftCell="T11" activePane="bottomRight" state="frozen"/>
      <selection pane="bottomRight" activeCell="AF23" sqref="AF23"/>
      <pageMargins left="0.7" right="0.7" top="0.75" bottom="0.75" header="0.3" footer="0.3"/>
      <pageSetup paperSize="9" orientation="portrait" r:id="rId19"/>
    </customSheetView>
    <customSheetView guid="{009B3074-D8EC-4952-BF50-43CD64449612}" scale="70">
      <pane xSplit="2" ySplit="10" topLeftCell="T11" activePane="bottomRight" state="frozen"/>
      <selection pane="bottomRight" activeCell="AF23" sqref="AF23"/>
      <pageMargins left="0.7" right="0.7" top="0.75" bottom="0.75" header="0.3" footer="0.3"/>
      <pageSetup paperSize="9" orientation="portrait" r:id="rId20"/>
    </customSheetView>
    <customSheetView guid="{F679EF4A-C5FD-4B86-B87B-D85968E0F2CA}" scale="50">
      <pane xSplit="2" ySplit="10" topLeftCell="C50" activePane="bottomRight" state="frozen"/>
      <selection pane="bottomRight" activeCell="C61" sqref="C61"/>
      <pageMargins left="0.7" right="0.7" top="0.75" bottom="0.75" header="0.3" footer="0.3"/>
      <pageSetup paperSize="9" orientation="portrait" r:id="rId21"/>
    </customSheetView>
    <customSheetView guid="{959E901C-5DDE-42EE-AE94-AB8976B5E00B}" scale="50">
      <pane xSplit="2" ySplit="10" topLeftCell="Z59" activePane="bottomRight" state="frozen"/>
      <selection pane="bottomRight" activeCell="AA71" sqref="AA71"/>
      <pageMargins left="0.7" right="0.7" top="0.75" bottom="0.75" header="0.3" footer="0.3"/>
      <pageSetup paperSize="9" orientation="portrait" r:id="rId22"/>
    </customSheetView>
    <customSheetView guid="{69DABE6F-6182-4403-A4A2-969F10F1C13A}" scale="50">
      <pane xSplit="2" ySplit="10" topLeftCell="Z59" activePane="bottomRight" state="frozen"/>
      <selection pane="bottomRight" activeCell="AA71" sqref="AA71"/>
      <pageMargins left="0.7" right="0.7" top="0.75" bottom="0.75" header="0.3" footer="0.3"/>
      <pageSetup paperSize="9" orientation="portrait" r:id="rId23"/>
    </customSheetView>
    <customSheetView guid="{09C3E205-981E-4A4E-BE89-8B7044192060}" scale="55">
      <pane xSplit="2" ySplit="10" topLeftCell="C38" activePane="bottomRight" state="frozen"/>
      <selection pane="bottomRight" activeCell="C61" sqref="C61"/>
      <pageMargins left="0.7" right="0.7" top="0.75" bottom="0.75" header="0.3" footer="0.3"/>
      <pageSetup paperSize="9" orientation="portrait" r:id="rId24"/>
    </customSheetView>
    <customSheetView guid="{6A602CB8-B24C-4ED4-B378-B27354BE0A1A}" scale="55">
      <pane xSplit="2" ySplit="10" topLeftCell="C38" activePane="bottomRight" state="frozen"/>
      <selection pane="bottomRight" activeCell="C61" sqref="C61"/>
      <pageMargins left="0.7" right="0.7" top="0.75" bottom="0.75" header="0.3" footer="0.3"/>
      <pageSetup paperSize="9" orientation="portrait" r:id="rId25"/>
    </customSheetView>
    <customSheetView guid="{7C130984-112A-4861-AA43-E2940708E3DC}" scale="55" state="hidden">
      <pane xSplit="2" ySplit="10" topLeftCell="C38" activePane="bottomRight" state="frozen"/>
      <selection pane="bottomRight" activeCell="C61" sqref="C61"/>
      <pageMargins left="0.7" right="0.7" top="0.75" bottom="0.75" header="0.3" footer="0.3"/>
      <pageSetup paperSize="9" orientation="portrait" r:id="rId26"/>
    </customSheetView>
  </customSheetViews>
  <mergeCells count="28">
    <mergeCell ref="J6:K6"/>
    <mergeCell ref="L6:M6"/>
    <mergeCell ref="A1:AD1"/>
    <mergeCell ref="A2:AD2"/>
    <mergeCell ref="A3:AD3"/>
    <mergeCell ref="A4:AD4"/>
    <mergeCell ref="AB5:AD5"/>
    <mergeCell ref="A64:AF64"/>
    <mergeCell ref="Z6:AA6"/>
    <mergeCell ref="AB6:AC6"/>
    <mergeCell ref="AD6:AE6"/>
    <mergeCell ref="AF6:AF7"/>
    <mergeCell ref="A9:AF9"/>
    <mergeCell ref="A10:AF10"/>
    <mergeCell ref="N6:O6"/>
    <mergeCell ref="P6:Q6"/>
    <mergeCell ref="R6:S6"/>
    <mergeCell ref="T6:U6"/>
    <mergeCell ref="V6:W6"/>
    <mergeCell ref="X6:Y6"/>
    <mergeCell ref="A6:A7"/>
    <mergeCell ref="F6:G6"/>
    <mergeCell ref="H6:I6"/>
    <mergeCell ref="A29:AF29"/>
    <mergeCell ref="A30:AF30"/>
    <mergeCell ref="A43:AF43"/>
    <mergeCell ref="A44:AF44"/>
    <mergeCell ref="A63:AF63"/>
  </mergeCells>
  <hyperlinks>
    <hyperlink ref="A4:AD4" location="Оглавление!A1" display="Комплексный план (сетевой график) по реализации муниципальной программы &quot;Развитие институтов гражданского общества города Когалыма&quot;"/>
  </hyperlinks>
  <pageMargins left="0.7" right="0.7" top="0.75" bottom="0.75" header="0.3" footer="0.3"/>
  <pageSetup paperSize="9" orientation="portrait" r:id="rId27"/>
  <legacyDrawing r:id="rId28"/>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I160"/>
  <sheetViews>
    <sheetView zoomScale="55" zoomScaleNormal="55" workbookViewId="0">
      <pane xSplit="7" ySplit="10" topLeftCell="H113" activePane="bottomRight" state="frozen"/>
      <selection pane="topRight" activeCell="H1" sqref="H1"/>
      <selection pane="bottomLeft" activeCell="A11" sqref="A11"/>
      <selection pane="bottomRight" activeCell="E30" sqref="E30"/>
    </sheetView>
  </sheetViews>
  <sheetFormatPr defaultColWidth="9.140625" defaultRowHeight="18.75" x14ac:dyDescent="0.3"/>
  <cols>
    <col min="1" max="1" width="55" style="33" customWidth="1"/>
    <col min="2" max="5" width="16.7109375" style="33" customWidth="1"/>
    <col min="6" max="7" width="16.42578125" style="33" customWidth="1"/>
    <col min="8" max="10" width="13.42578125" style="33" customWidth="1"/>
    <col min="11" max="11" width="15.7109375" style="33" customWidth="1"/>
    <col min="12" max="31" width="13.42578125" style="33" customWidth="1"/>
    <col min="32" max="32" width="27.5703125" style="33" customWidth="1"/>
    <col min="33" max="33" width="10.7109375" style="33" customWidth="1"/>
    <col min="34" max="34" width="16.7109375" style="33" bestFit="1" customWidth="1"/>
    <col min="35" max="35" width="12.7109375" style="33" bestFit="1" customWidth="1"/>
    <col min="36" max="16384" width="9.140625" style="33"/>
  </cols>
  <sheetData>
    <row r="4" spans="1:35" x14ac:dyDescent="0.3">
      <c r="A4" s="911" t="s">
        <v>250</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row>
    <row r="6" spans="1:35" ht="50.25" customHeight="1" x14ac:dyDescent="0.3">
      <c r="A6" s="912" t="s">
        <v>163</v>
      </c>
      <c r="B6" s="95" t="s">
        <v>3</v>
      </c>
      <c r="C6" s="95" t="s">
        <v>3</v>
      </c>
      <c r="D6" s="95" t="s">
        <v>4</v>
      </c>
      <c r="E6" s="95" t="s">
        <v>5</v>
      </c>
      <c r="F6" s="913" t="s">
        <v>6</v>
      </c>
      <c r="G6" s="914"/>
      <c r="H6" s="913" t="s">
        <v>7</v>
      </c>
      <c r="I6" s="915"/>
      <c r="J6" s="913" t="s">
        <v>8</v>
      </c>
      <c r="K6" s="915"/>
      <c r="L6" s="913" t="s">
        <v>9</v>
      </c>
      <c r="M6" s="915"/>
      <c r="N6" s="913" t="s">
        <v>10</v>
      </c>
      <c r="O6" s="915"/>
      <c r="P6" s="913" t="s">
        <v>11</v>
      </c>
      <c r="Q6" s="915"/>
      <c r="R6" s="913" t="s">
        <v>12</v>
      </c>
      <c r="S6" s="915"/>
      <c r="T6" s="913" t="s">
        <v>13</v>
      </c>
      <c r="U6" s="915"/>
      <c r="V6" s="913" t="s">
        <v>14</v>
      </c>
      <c r="W6" s="915"/>
      <c r="X6" s="913" t="s">
        <v>15</v>
      </c>
      <c r="Y6" s="915"/>
      <c r="Z6" s="913" t="s">
        <v>16</v>
      </c>
      <c r="AA6" s="915"/>
      <c r="AB6" s="913" t="s">
        <v>17</v>
      </c>
      <c r="AC6" s="915"/>
      <c r="AD6" s="916" t="s">
        <v>18</v>
      </c>
      <c r="AE6" s="916"/>
      <c r="AF6" s="902" t="s">
        <v>19</v>
      </c>
    </row>
    <row r="7" spans="1:35" ht="56.25" x14ac:dyDescent="0.3">
      <c r="A7" s="912"/>
      <c r="B7" s="3">
        <v>2024</v>
      </c>
      <c r="C7" s="4">
        <v>45383</v>
      </c>
      <c r="D7" s="4">
        <v>45383</v>
      </c>
      <c r="E7" s="4">
        <v>45383</v>
      </c>
      <c r="F7" s="5" t="s">
        <v>20</v>
      </c>
      <c r="G7" s="5" t="s">
        <v>21</v>
      </c>
      <c r="H7" s="96" t="s">
        <v>22</v>
      </c>
      <c r="I7" s="96" t="s">
        <v>164</v>
      </c>
      <c r="J7" s="96" t="s">
        <v>22</v>
      </c>
      <c r="K7" s="96" t="s">
        <v>164</v>
      </c>
      <c r="L7" s="96" t="s">
        <v>22</v>
      </c>
      <c r="M7" s="96" t="s">
        <v>164</v>
      </c>
      <c r="N7" s="96" t="s">
        <v>22</v>
      </c>
      <c r="O7" s="96" t="s">
        <v>164</v>
      </c>
      <c r="P7" s="96" t="s">
        <v>22</v>
      </c>
      <c r="Q7" s="96" t="s">
        <v>164</v>
      </c>
      <c r="R7" s="96" t="s">
        <v>22</v>
      </c>
      <c r="S7" s="96" t="s">
        <v>164</v>
      </c>
      <c r="T7" s="96" t="s">
        <v>22</v>
      </c>
      <c r="U7" s="96" t="s">
        <v>164</v>
      </c>
      <c r="V7" s="96" t="s">
        <v>22</v>
      </c>
      <c r="W7" s="96" t="s">
        <v>164</v>
      </c>
      <c r="X7" s="96" t="s">
        <v>22</v>
      </c>
      <c r="Y7" s="96" t="s">
        <v>164</v>
      </c>
      <c r="Z7" s="96" t="s">
        <v>22</v>
      </c>
      <c r="AA7" s="96" t="s">
        <v>164</v>
      </c>
      <c r="AB7" s="96" t="s">
        <v>22</v>
      </c>
      <c r="AC7" s="96" t="s">
        <v>164</v>
      </c>
      <c r="AD7" s="96" t="s">
        <v>165</v>
      </c>
      <c r="AE7" s="96" t="s">
        <v>164</v>
      </c>
      <c r="AF7" s="903"/>
    </row>
    <row r="8" spans="1:35"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5" s="97" customFormat="1" x14ac:dyDescent="0.3">
      <c r="A9" s="908" t="s">
        <v>251</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10"/>
      <c r="AH9" s="97" t="s">
        <v>595</v>
      </c>
    </row>
    <row r="10" spans="1:35" s="97" customFormat="1" x14ac:dyDescent="0.3">
      <c r="A10" s="908" t="s">
        <v>167</v>
      </c>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10"/>
      <c r="AH10" s="800">
        <v>10600.25</v>
      </c>
      <c r="AI10" s="807">
        <f>AI70+AH64+AH110</f>
        <v>10599.845869999997</v>
      </c>
    </row>
    <row r="11" spans="1:35" ht="56.25" customHeight="1" x14ac:dyDescent="0.3">
      <c r="A11" s="98" t="s">
        <v>252</v>
      </c>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1"/>
      <c r="AG11" s="102">
        <f>B11-H11-J11-L11-N11-P11-R11-T11-V11-X11-Z11-AB11-AD11</f>
        <v>0</v>
      </c>
    </row>
    <row r="12" spans="1:35" x14ac:dyDescent="0.3">
      <c r="A12" s="103" t="s">
        <v>31</v>
      </c>
      <c r="B12" s="104">
        <f>B13+B14+B15+B16</f>
        <v>0</v>
      </c>
      <c r="C12" s="104">
        <f>C13+C14+C15+C16</f>
        <v>0</v>
      </c>
      <c r="D12" s="104">
        <f>D13+D14+D15+D16</f>
        <v>0</v>
      </c>
      <c r="E12" s="104">
        <f>E13+E14+E15+E16</f>
        <v>0</v>
      </c>
      <c r="F12" s="105">
        <f t="shared" ref="F12:F16" si="0">IFERROR(E12/B12*100,0)</f>
        <v>0</v>
      </c>
      <c r="G12" s="105">
        <f t="shared" ref="G12:G16" si="1">IFERROR(E12/C12*100,0)</f>
        <v>0</v>
      </c>
      <c r="H12" s="104">
        <f>H13+H14+H15+H16</f>
        <v>0</v>
      </c>
      <c r="I12" s="104">
        <f t="shared" ref="I12:AE12" si="2">I13+I14+I15+I16</f>
        <v>0</v>
      </c>
      <c r="J12" s="104">
        <f t="shared" si="2"/>
        <v>0</v>
      </c>
      <c r="K12" s="104">
        <f t="shared" si="2"/>
        <v>0</v>
      </c>
      <c r="L12" s="104">
        <f t="shared" si="2"/>
        <v>0</v>
      </c>
      <c r="M12" s="104">
        <f t="shared" si="2"/>
        <v>0</v>
      </c>
      <c r="N12" s="104">
        <f t="shared" si="2"/>
        <v>0</v>
      </c>
      <c r="O12" s="104">
        <f t="shared" si="2"/>
        <v>0</v>
      </c>
      <c r="P12" s="104">
        <f t="shared" si="2"/>
        <v>0</v>
      </c>
      <c r="Q12" s="104">
        <f t="shared" si="2"/>
        <v>0</v>
      </c>
      <c r="R12" s="104">
        <f t="shared" si="2"/>
        <v>0</v>
      </c>
      <c r="S12" s="104">
        <f t="shared" si="2"/>
        <v>0</v>
      </c>
      <c r="T12" s="104">
        <f t="shared" si="2"/>
        <v>0</v>
      </c>
      <c r="U12" s="104">
        <f t="shared" si="2"/>
        <v>0</v>
      </c>
      <c r="V12" s="104">
        <f t="shared" si="2"/>
        <v>0</v>
      </c>
      <c r="W12" s="104">
        <f t="shared" si="2"/>
        <v>0</v>
      </c>
      <c r="X12" s="104">
        <f t="shared" si="2"/>
        <v>0</v>
      </c>
      <c r="Y12" s="104">
        <f t="shared" si="2"/>
        <v>0</v>
      </c>
      <c r="Z12" s="104">
        <f t="shared" si="2"/>
        <v>0</v>
      </c>
      <c r="AA12" s="104">
        <f t="shared" si="2"/>
        <v>0</v>
      </c>
      <c r="AB12" s="104">
        <f t="shared" si="2"/>
        <v>0</v>
      </c>
      <c r="AC12" s="104">
        <f t="shared" si="2"/>
        <v>0</v>
      </c>
      <c r="AD12" s="104">
        <f t="shared" si="2"/>
        <v>0</v>
      </c>
      <c r="AE12" s="104">
        <f t="shared" si="2"/>
        <v>0</v>
      </c>
      <c r="AF12" s="101"/>
      <c r="AG12" s="102">
        <f t="shared" ref="AG12:AG75" si="3">B12-H12-J12-L12-N12-P12-R12-T12-V12-X12-Z12-AB12-AD12</f>
        <v>0</v>
      </c>
      <c r="AH12" s="156">
        <f>C12-E12</f>
        <v>0</v>
      </c>
    </row>
    <row r="13" spans="1:35" x14ac:dyDescent="0.3">
      <c r="A13" s="106" t="s">
        <v>169</v>
      </c>
      <c r="B13" s="107">
        <f t="shared" ref="B13:B16" si="4">J13+L13+N13+P13+R13+T13+V13+X13+Z13+AB13+AD13+H13</f>
        <v>0</v>
      </c>
      <c r="C13" s="107">
        <f t="shared" ref="C13:C16" si="5">SUM(H13)</f>
        <v>0</v>
      </c>
      <c r="D13" s="107">
        <f t="shared" ref="D13:D16" si="6">E13</f>
        <v>0</v>
      </c>
      <c r="E13" s="107">
        <f t="shared" ref="E13:E16" si="7">SUM(I13,K13,M13,O13,Q13,S13,U13,W13,Y13,AA13,AC13,AE13)</f>
        <v>0</v>
      </c>
      <c r="F13" s="107">
        <f t="shared" si="0"/>
        <v>0</v>
      </c>
      <c r="G13" s="107">
        <f t="shared" si="1"/>
        <v>0</v>
      </c>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1"/>
      <c r="AG13" s="102">
        <f t="shared" si="3"/>
        <v>0</v>
      </c>
      <c r="AH13" s="156">
        <f t="shared" ref="AH13:AH76" si="8">C13-E13</f>
        <v>0</v>
      </c>
    </row>
    <row r="14" spans="1:35" x14ac:dyDescent="0.3">
      <c r="A14" s="106" t="s">
        <v>32</v>
      </c>
      <c r="B14" s="107">
        <f t="shared" si="4"/>
        <v>0</v>
      </c>
      <c r="C14" s="107">
        <f t="shared" si="5"/>
        <v>0</v>
      </c>
      <c r="D14" s="107">
        <f t="shared" si="6"/>
        <v>0</v>
      </c>
      <c r="E14" s="107">
        <f t="shared" si="7"/>
        <v>0</v>
      </c>
      <c r="F14" s="107">
        <f t="shared" si="0"/>
        <v>0</v>
      </c>
      <c r="G14" s="107">
        <f t="shared" si="1"/>
        <v>0</v>
      </c>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1"/>
      <c r="AG14" s="102">
        <f t="shared" si="3"/>
        <v>0</v>
      </c>
      <c r="AH14" s="156">
        <f t="shared" si="8"/>
        <v>0</v>
      </c>
    </row>
    <row r="15" spans="1:35" x14ac:dyDescent="0.3">
      <c r="A15" s="106" t="s">
        <v>33</v>
      </c>
      <c r="B15" s="107">
        <f t="shared" si="4"/>
        <v>0</v>
      </c>
      <c r="C15" s="107">
        <f t="shared" si="5"/>
        <v>0</v>
      </c>
      <c r="D15" s="107">
        <f t="shared" si="6"/>
        <v>0</v>
      </c>
      <c r="E15" s="107">
        <f t="shared" si="7"/>
        <v>0</v>
      </c>
      <c r="F15" s="107">
        <f t="shared" si="0"/>
        <v>0</v>
      </c>
      <c r="G15" s="107">
        <f t="shared" si="1"/>
        <v>0</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1"/>
      <c r="AG15" s="102">
        <f t="shared" si="3"/>
        <v>0</v>
      </c>
      <c r="AH15" s="156">
        <f t="shared" si="8"/>
        <v>0</v>
      </c>
    </row>
    <row r="16" spans="1:35" x14ac:dyDescent="0.3">
      <c r="A16" s="106" t="s">
        <v>170</v>
      </c>
      <c r="B16" s="107">
        <f t="shared" si="4"/>
        <v>0</v>
      </c>
      <c r="C16" s="107">
        <f t="shared" si="5"/>
        <v>0</v>
      </c>
      <c r="D16" s="107">
        <f t="shared" si="6"/>
        <v>0</v>
      </c>
      <c r="E16" s="107">
        <f t="shared" si="7"/>
        <v>0</v>
      </c>
      <c r="F16" s="107">
        <f t="shared" si="0"/>
        <v>0</v>
      </c>
      <c r="G16" s="107">
        <f t="shared" si="1"/>
        <v>0</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1"/>
      <c r="AG16" s="102">
        <f t="shared" si="3"/>
        <v>0</v>
      </c>
      <c r="AH16" s="156">
        <f t="shared" si="8"/>
        <v>0</v>
      </c>
    </row>
    <row r="17" spans="1:35" s="97" customFormat="1" x14ac:dyDescent="0.3">
      <c r="A17" s="908" t="s">
        <v>54</v>
      </c>
      <c r="B17" s="909"/>
      <c r="C17" s="909"/>
      <c r="D17" s="909"/>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c r="AD17" s="909"/>
      <c r="AE17" s="909"/>
      <c r="AF17" s="910"/>
      <c r="AG17" s="102">
        <f t="shared" si="3"/>
        <v>0</v>
      </c>
      <c r="AH17" s="156">
        <f t="shared" si="8"/>
        <v>0</v>
      </c>
    </row>
    <row r="18" spans="1:35" ht="75" x14ac:dyDescent="0.3">
      <c r="A18" s="98" t="s">
        <v>253</v>
      </c>
      <c r="B18" s="99"/>
      <c r="C18" s="100"/>
      <c r="D18" s="100"/>
      <c r="E18" s="100"/>
      <c r="F18" s="100"/>
      <c r="G18" s="100"/>
      <c r="H18" s="99"/>
      <c r="I18" s="99"/>
      <c r="J18" s="99"/>
      <c r="K18" s="99"/>
      <c r="L18" s="99"/>
      <c r="M18" s="99"/>
      <c r="N18" s="99"/>
      <c r="O18" s="99"/>
      <c r="P18" s="99"/>
      <c r="Q18" s="99"/>
      <c r="R18" s="99"/>
      <c r="S18" s="99"/>
      <c r="T18" s="99"/>
      <c r="U18" s="99"/>
      <c r="V18" s="99"/>
      <c r="W18" s="99"/>
      <c r="X18" s="99"/>
      <c r="Y18" s="99"/>
      <c r="Z18" s="99"/>
      <c r="AA18" s="99"/>
      <c r="AB18" s="99"/>
      <c r="AC18" s="99"/>
      <c r="AD18" s="99"/>
      <c r="AE18" s="99"/>
      <c r="AF18" s="101"/>
      <c r="AG18" s="102">
        <f t="shared" si="3"/>
        <v>0</v>
      </c>
      <c r="AH18" s="156">
        <f t="shared" si="8"/>
        <v>0</v>
      </c>
    </row>
    <row r="19" spans="1:35" x14ac:dyDescent="0.3">
      <c r="A19" s="103" t="s">
        <v>31</v>
      </c>
      <c r="B19" s="104">
        <f>B20+B21+B22+B23</f>
        <v>240477.99343</v>
      </c>
      <c r="C19" s="104">
        <f>C20+C21+C22+C23</f>
        <v>81456.291570000001</v>
      </c>
      <c r="D19" s="104">
        <f>D20+D21+D22+D23</f>
        <v>34821.380000000005</v>
      </c>
      <c r="E19" s="104">
        <f>E20+E21+E22+E23</f>
        <v>34821.380000000005</v>
      </c>
      <c r="F19" s="105">
        <f t="shared" ref="F19:F23" si="9">IFERROR(E19/B19*100,0)</f>
        <v>14.480069258452147</v>
      </c>
      <c r="G19" s="105">
        <f t="shared" ref="G19:G23" si="10">IFERROR(E19/C19*100,0)</f>
        <v>42.748545666452323</v>
      </c>
      <c r="H19" s="104">
        <f>H20+H21+H22+H23</f>
        <v>38540.860939999999</v>
      </c>
      <c r="I19" s="104">
        <f t="shared" ref="I19:AE19" si="11">I20+I21+I22+I23</f>
        <v>7563.55</v>
      </c>
      <c r="J19" s="104">
        <f t="shared" si="11"/>
        <v>26110.393010000003</v>
      </c>
      <c r="K19" s="104">
        <f t="shared" si="11"/>
        <v>13743.5</v>
      </c>
      <c r="L19" s="104">
        <f t="shared" si="11"/>
        <v>16805.037619999999</v>
      </c>
      <c r="M19" s="104">
        <f t="shared" si="11"/>
        <v>13514.329999999998</v>
      </c>
      <c r="N19" s="104">
        <f t="shared" si="11"/>
        <v>27566.97034</v>
      </c>
      <c r="O19" s="104">
        <f t="shared" si="11"/>
        <v>0</v>
      </c>
      <c r="P19" s="104">
        <f t="shared" si="11"/>
        <v>21914.311460000001</v>
      </c>
      <c r="Q19" s="104">
        <f t="shared" si="11"/>
        <v>0</v>
      </c>
      <c r="R19" s="104">
        <f t="shared" si="11"/>
        <v>19807.271629999999</v>
      </c>
      <c r="S19" s="104">
        <f t="shared" si="11"/>
        <v>0</v>
      </c>
      <c r="T19" s="104">
        <f t="shared" si="11"/>
        <v>17636.867310000001</v>
      </c>
      <c r="U19" s="104">
        <f t="shared" si="11"/>
        <v>0</v>
      </c>
      <c r="V19" s="104">
        <f t="shared" si="11"/>
        <v>16766.265780000002</v>
      </c>
      <c r="W19" s="104">
        <f t="shared" si="11"/>
        <v>0</v>
      </c>
      <c r="X19" s="104">
        <f t="shared" si="11"/>
        <v>12749.46845</v>
      </c>
      <c r="Y19" s="104">
        <f t="shared" si="11"/>
        <v>0</v>
      </c>
      <c r="Z19" s="104">
        <f t="shared" si="11"/>
        <v>15131.99</v>
      </c>
      <c r="AA19" s="104">
        <f t="shared" si="11"/>
        <v>0</v>
      </c>
      <c r="AB19" s="104">
        <f t="shared" si="11"/>
        <v>14768.56972</v>
      </c>
      <c r="AC19" s="104">
        <f t="shared" si="11"/>
        <v>0</v>
      </c>
      <c r="AD19" s="104">
        <f t="shared" si="11"/>
        <v>12679.98717</v>
      </c>
      <c r="AE19" s="104">
        <f t="shared" si="11"/>
        <v>0</v>
      </c>
      <c r="AF19" s="101"/>
      <c r="AG19" s="102">
        <f t="shared" si="3"/>
        <v>0</v>
      </c>
      <c r="AH19" s="156">
        <f>C19-E19</f>
        <v>46634.911569999997</v>
      </c>
    </row>
    <row r="20" spans="1:35" x14ac:dyDescent="0.3">
      <c r="A20" s="106" t="s">
        <v>169</v>
      </c>
      <c r="B20" s="107">
        <f>B26+B32+B38+B44+B50</f>
        <v>0</v>
      </c>
      <c r="C20" s="107">
        <f t="shared" ref="C20:D20" si="12">C26+C32+C38+C44+C50</f>
        <v>0</v>
      </c>
      <c r="D20" s="107">
        <f t="shared" si="12"/>
        <v>0</v>
      </c>
      <c r="E20" s="107">
        <f>E26+E32+E38+E44+E50</f>
        <v>0</v>
      </c>
      <c r="F20" s="107">
        <f t="shared" si="9"/>
        <v>0</v>
      </c>
      <c r="G20" s="107">
        <f t="shared" si="10"/>
        <v>0</v>
      </c>
      <c r="H20" s="107">
        <f t="shared" ref="H20:AE23" si="13">H26+H32+H38+H44+H50</f>
        <v>0</v>
      </c>
      <c r="I20" s="107">
        <f t="shared" si="13"/>
        <v>0</v>
      </c>
      <c r="J20" s="107">
        <f t="shared" si="13"/>
        <v>0</v>
      </c>
      <c r="K20" s="107">
        <f t="shared" si="13"/>
        <v>0</v>
      </c>
      <c r="L20" s="107">
        <f t="shared" si="13"/>
        <v>0</v>
      </c>
      <c r="M20" s="107">
        <f t="shared" si="13"/>
        <v>0</v>
      </c>
      <c r="N20" s="107">
        <f t="shared" si="13"/>
        <v>0</v>
      </c>
      <c r="O20" s="107">
        <f t="shared" si="13"/>
        <v>0</v>
      </c>
      <c r="P20" s="107">
        <f t="shared" si="13"/>
        <v>0</v>
      </c>
      <c r="Q20" s="107">
        <f t="shared" si="13"/>
        <v>0</v>
      </c>
      <c r="R20" s="107">
        <f t="shared" si="13"/>
        <v>0</v>
      </c>
      <c r="S20" s="107">
        <f t="shared" si="13"/>
        <v>0</v>
      </c>
      <c r="T20" s="107">
        <f t="shared" si="13"/>
        <v>0</v>
      </c>
      <c r="U20" s="107">
        <f t="shared" si="13"/>
        <v>0</v>
      </c>
      <c r="V20" s="107">
        <f t="shared" si="13"/>
        <v>0</v>
      </c>
      <c r="W20" s="107">
        <f t="shared" si="13"/>
        <v>0</v>
      </c>
      <c r="X20" s="107">
        <f t="shared" si="13"/>
        <v>0</v>
      </c>
      <c r="Y20" s="107">
        <f t="shared" si="13"/>
        <v>0</v>
      </c>
      <c r="Z20" s="107">
        <f t="shared" si="13"/>
        <v>0</v>
      </c>
      <c r="AA20" s="107">
        <f t="shared" si="13"/>
        <v>0</v>
      </c>
      <c r="AB20" s="107">
        <f t="shared" si="13"/>
        <v>0</v>
      </c>
      <c r="AC20" s="107">
        <f t="shared" si="13"/>
        <v>0</v>
      </c>
      <c r="AD20" s="107">
        <f t="shared" si="13"/>
        <v>0</v>
      </c>
      <c r="AE20" s="107">
        <f t="shared" si="13"/>
        <v>0</v>
      </c>
      <c r="AF20" s="101"/>
      <c r="AG20" s="102">
        <f t="shared" si="3"/>
        <v>0</v>
      </c>
      <c r="AH20" s="156">
        <f t="shared" si="8"/>
        <v>0</v>
      </c>
    </row>
    <row r="21" spans="1:35" x14ac:dyDescent="0.3">
      <c r="A21" s="106" t="s">
        <v>32</v>
      </c>
      <c r="B21" s="107">
        <f>B27+B33+B39+B45+B51</f>
        <v>1741.2</v>
      </c>
      <c r="C21" s="107">
        <f>H21+J21+L21</f>
        <v>1741.2</v>
      </c>
      <c r="D21" s="107">
        <f t="shared" ref="B21:E23" si="14">D27+D33+D39+D45+D51</f>
        <v>0</v>
      </c>
      <c r="E21" s="107">
        <f t="shared" si="14"/>
        <v>0</v>
      </c>
      <c r="F21" s="107">
        <f t="shared" si="9"/>
        <v>0</v>
      </c>
      <c r="G21" s="107">
        <f t="shared" si="10"/>
        <v>0</v>
      </c>
      <c r="H21" s="107">
        <f t="shared" si="13"/>
        <v>0</v>
      </c>
      <c r="I21" s="107">
        <f t="shared" si="13"/>
        <v>0</v>
      </c>
      <c r="J21" s="107">
        <f t="shared" si="13"/>
        <v>0</v>
      </c>
      <c r="K21" s="107">
        <f t="shared" si="13"/>
        <v>0</v>
      </c>
      <c r="L21" s="107">
        <f t="shared" si="13"/>
        <v>1741.2</v>
      </c>
      <c r="M21" s="107">
        <f t="shared" si="13"/>
        <v>0</v>
      </c>
      <c r="N21" s="107">
        <f t="shared" si="13"/>
        <v>0</v>
      </c>
      <c r="O21" s="107">
        <f t="shared" si="13"/>
        <v>0</v>
      </c>
      <c r="P21" s="107">
        <f t="shared" si="13"/>
        <v>0</v>
      </c>
      <c r="Q21" s="107">
        <f t="shared" si="13"/>
        <v>0</v>
      </c>
      <c r="R21" s="107">
        <f t="shared" si="13"/>
        <v>0</v>
      </c>
      <c r="S21" s="107">
        <f t="shared" si="13"/>
        <v>0</v>
      </c>
      <c r="T21" s="107">
        <f t="shared" si="13"/>
        <v>0</v>
      </c>
      <c r="U21" s="107">
        <f t="shared" si="13"/>
        <v>0</v>
      </c>
      <c r="V21" s="107">
        <f t="shared" si="13"/>
        <v>0</v>
      </c>
      <c r="W21" s="107">
        <f t="shared" si="13"/>
        <v>0</v>
      </c>
      <c r="X21" s="107">
        <f t="shared" si="13"/>
        <v>0</v>
      </c>
      <c r="Y21" s="107">
        <f t="shared" si="13"/>
        <v>0</v>
      </c>
      <c r="Z21" s="107">
        <f t="shared" si="13"/>
        <v>0</v>
      </c>
      <c r="AA21" s="107">
        <f t="shared" si="13"/>
        <v>0</v>
      </c>
      <c r="AB21" s="107">
        <f t="shared" si="13"/>
        <v>0</v>
      </c>
      <c r="AC21" s="107">
        <f t="shared" si="13"/>
        <v>0</v>
      </c>
      <c r="AD21" s="107">
        <f t="shared" si="13"/>
        <v>0</v>
      </c>
      <c r="AE21" s="107">
        <f t="shared" si="13"/>
        <v>0</v>
      </c>
      <c r="AF21" s="101"/>
      <c r="AG21" s="102">
        <f t="shared" si="3"/>
        <v>0</v>
      </c>
      <c r="AH21" s="156">
        <f t="shared" si="8"/>
        <v>1741.2</v>
      </c>
    </row>
    <row r="22" spans="1:35" x14ac:dyDescent="0.3">
      <c r="A22" s="106" t="s">
        <v>33</v>
      </c>
      <c r="B22" s="107">
        <f>B28+B34+B40+B46+B52</f>
        <v>238736.79342999999</v>
      </c>
      <c r="C22" s="107">
        <f>H22+J22+L22</f>
        <v>79715.091570000004</v>
      </c>
      <c r="D22" s="107">
        <f>D28+D34+D40+D46+D52</f>
        <v>34821.380000000005</v>
      </c>
      <c r="E22" s="107">
        <f>E28+E34+E40+E46+E52</f>
        <v>34821.380000000005</v>
      </c>
      <c r="F22" s="107">
        <f t="shared" si="9"/>
        <v>14.585678017917242</v>
      </c>
      <c r="G22" s="107">
        <f t="shared" si="10"/>
        <v>43.682293169571786</v>
      </c>
      <c r="H22" s="107">
        <f t="shared" si="13"/>
        <v>38540.860939999999</v>
      </c>
      <c r="I22" s="107">
        <f t="shared" si="13"/>
        <v>7563.55</v>
      </c>
      <c r="J22" s="107">
        <f t="shared" si="13"/>
        <v>26110.393010000003</v>
      </c>
      <c r="K22" s="107">
        <f t="shared" si="13"/>
        <v>13743.5</v>
      </c>
      <c r="L22" s="107">
        <f t="shared" si="13"/>
        <v>15063.83762</v>
      </c>
      <c r="M22" s="107">
        <f t="shared" si="13"/>
        <v>13514.329999999998</v>
      </c>
      <c r="N22" s="107">
        <f t="shared" si="13"/>
        <v>27566.97034</v>
      </c>
      <c r="O22" s="107">
        <f t="shared" si="13"/>
        <v>0</v>
      </c>
      <c r="P22" s="107">
        <f t="shared" si="13"/>
        <v>21914.311460000001</v>
      </c>
      <c r="Q22" s="107">
        <f t="shared" si="13"/>
        <v>0</v>
      </c>
      <c r="R22" s="107">
        <f t="shared" si="13"/>
        <v>19807.271629999999</v>
      </c>
      <c r="S22" s="107">
        <f t="shared" si="13"/>
        <v>0</v>
      </c>
      <c r="T22" s="107">
        <f t="shared" si="13"/>
        <v>17636.867310000001</v>
      </c>
      <c r="U22" s="107">
        <f t="shared" si="13"/>
        <v>0</v>
      </c>
      <c r="V22" s="107">
        <f t="shared" si="13"/>
        <v>16766.265780000002</v>
      </c>
      <c r="W22" s="107">
        <f t="shared" si="13"/>
        <v>0</v>
      </c>
      <c r="X22" s="107">
        <f t="shared" si="13"/>
        <v>12749.46845</v>
      </c>
      <c r="Y22" s="107">
        <f t="shared" si="13"/>
        <v>0</v>
      </c>
      <c r="Z22" s="107">
        <f t="shared" si="13"/>
        <v>15131.99</v>
      </c>
      <c r="AA22" s="107">
        <f t="shared" si="13"/>
        <v>0</v>
      </c>
      <c r="AB22" s="107">
        <f t="shared" si="13"/>
        <v>14768.56972</v>
      </c>
      <c r="AC22" s="107">
        <f t="shared" si="13"/>
        <v>0</v>
      </c>
      <c r="AD22" s="107">
        <f t="shared" si="13"/>
        <v>12679.98717</v>
      </c>
      <c r="AE22" s="107">
        <f t="shared" si="13"/>
        <v>0</v>
      </c>
      <c r="AF22" s="101"/>
      <c r="AG22" s="102">
        <f t="shared" si="3"/>
        <v>-2.9103830456733704E-11</v>
      </c>
      <c r="AH22" s="156">
        <f>C22-E22</f>
        <v>44893.711569999999</v>
      </c>
    </row>
    <row r="23" spans="1:35" x14ac:dyDescent="0.3">
      <c r="A23" s="106" t="s">
        <v>170</v>
      </c>
      <c r="B23" s="107">
        <f t="shared" si="14"/>
        <v>0</v>
      </c>
      <c r="C23" s="107">
        <f>H23+J23+L23</f>
        <v>0</v>
      </c>
      <c r="D23" s="107">
        <f t="shared" si="14"/>
        <v>0</v>
      </c>
      <c r="E23" s="107">
        <f t="shared" si="14"/>
        <v>0</v>
      </c>
      <c r="F23" s="107">
        <f t="shared" si="9"/>
        <v>0</v>
      </c>
      <c r="G23" s="107">
        <f t="shared" si="10"/>
        <v>0</v>
      </c>
      <c r="H23" s="107">
        <f t="shared" si="13"/>
        <v>0</v>
      </c>
      <c r="I23" s="107">
        <f t="shared" si="13"/>
        <v>0</v>
      </c>
      <c r="J23" s="107">
        <f t="shared" si="13"/>
        <v>0</v>
      </c>
      <c r="K23" s="107">
        <f t="shared" si="13"/>
        <v>0</v>
      </c>
      <c r="L23" s="107">
        <f t="shared" si="13"/>
        <v>0</v>
      </c>
      <c r="M23" s="107">
        <f t="shared" si="13"/>
        <v>0</v>
      </c>
      <c r="N23" s="107">
        <f t="shared" si="13"/>
        <v>0</v>
      </c>
      <c r="O23" s="107">
        <f t="shared" si="13"/>
        <v>0</v>
      </c>
      <c r="P23" s="107">
        <f t="shared" si="13"/>
        <v>0</v>
      </c>
      <c r="Q23" s="107">
        <f t="shared" si="13"/>
        <v>0</v>
      </c>
      <c r="R23" s="107">
        <f t="shared" si="13"/>
        <v>0</v>
      </c>
      <c r="S23" s="107">
        <f t="shared" si="13"/>
        <v>0</v>
      </c>
      <c r="T23" s="107">
        <f t="shared" si="13"/>
        <v>0</v>
      </c>
      <c r="U23" s="107">
        <f t="shared" si="13"/>
        <v>0</v>
      </c>
      <c r="V23" s="107">
        <f t="shared" si="13"/>
        <v>0</v>
      </c>
      <c r="W23" s="107">
        <f t="shared" si="13"/>
        <v>0</v>
      </c>
      <c r="X23" s="107">
        <f t="shared" si="13"/>
        <v>0</v>
      </c>
      <c r="Y23" s="107">
        <f t="shared" si="13"/>
        <v>0</v>
      </c>
      <c r="Z23" s="107">
        <f t="shared" si="13"/>
        <v>0</v>
      </c>
      <c r="AA23" s="107">
        <f t="shared" si="13"/>
        <v>0</v>
      </c>
      <c r="AB23" s="107">
        <f t="shared" si="13"/>
        <v>0</v>
      </c>
      <c r="AC23" s="107">
        <f t="shared" si="13"/>
        <v>0</v>
      </c>
      <c r="AD23" s="107">
        <f t="shared" si="13"/>
        <v>0</v>
      </c>
      <c r="AE23" s="107">
        <f t="shared" si="13"/>
        <v>0</v>
      </c>
      <c r="AF23" s="101"/>
      <c r="AG23" s="102">
        <f t="shared" si="3"/>
        <v>0</v>
      </c>
      <c r="AH23" s="156">
        <f t="shared" si="8"/>
        <v>0</v>
      </c>
    </row>
    <row r="24" spans="1:35" ht="190.5" customHeight="1" x14ac:dyDescent="0.3">
      <c r="A24" s="108" t="s">
        <v>254</v>
      </c>
      <c r="B24" s="109"/>
      <c r="C24" s="110"/>
      <c r="D24" s="110"/>
      <c r="E24" s="110"/>
      <c r="F24" s="110"/>
      <c r="G24" s="110"/>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795" t="s">
        <v>592</v>
      </c>
      <c r="AG24" s="102">
        <f t="shared" si="3"/>
        <v>0</v>
      </c>
      <c r="AH24" s="156">
        <f>C24-E24</f>
        <v>0</v>
      </c>
    </row>
    <row r="25" spans="1:35" x14ac:dyDescent="0.3">
      <c r="A25" s="112" t="s">
        <v>31</v>
      </c>
      <c r="B25" s="113">
        <f>B27+B28+B26+B29</f>
        <v>2516.5</v>
      </c>
      <c r="C25" s="113">
        <f>C27+C28+C26+C29</f>
        <v>1503.5317</v>
      </c>
      <c r="D25" s="114">
        <f>D27+D28+D26+D29</f>
        <v>464.85</v>
      </c>
      <c r="E25" s="113">
        <f>E27+E28+E26+E29</f>
        <v>464.85</v>
      </c>
      <c r="F25" s="113">
        <f>IFERROR(E25/B25*100,0)</f>
        <v>18.47208424398967</v>
      </c>
      <c r="G25" s="113">
        <f>IFERROR(E25/C25*100,0)</f>
        <v>30.917206467944773</v>
      </c>
      <c r="H25" s="113">
        <f t="shared" ref="H25:AE25" si="15">H27+H28+H26+H29</f>
        <v>130.49279999999999</v>
      </c>
      <c r="I25" s="113">
        <f t="shared" si="15"/>
        <v>28.35</v>
      </c>
      <c r="J25" s="113">
        <f t="shared" si="15"/>
        <v>1130.4317000000001</v>
      </c>
      <c r="K25" s="113">
        <f t="shared" si="15"/>
        <v>141.19999999999999</v>
      </c>
      <c r="L25" s="113">
        <f t="shared" si="15"/>
        <v>242.60720000000001</v>
      </c>
      <c r="M25" s="113">
        <f t="shared" si="15"/>
        <v>295.3</v>
      </c>
      <c r="N25" s="113">
        <f t="shared" si="15"/>
        <v>169.04730000000001</v>
      </c>
      <c r="O25" s="113">
        <f t="shared" si="15"/>
        <v>0</v>
      </c>
      <c r="P25" s="113">
        <f t="shared" si="15"/>
        <v>94.354600000000005</v>
      </c>
      <c r="Q25" s="113">
        <f t="shared" si="15"/>
        <v>0</v>
      </c>
      <c r="R25" s="113">
        <f t="shared" si="15"/>
        <v>0</v>
      </c>
      <c r="S25" s="113">
        <f t="shared" si="15"/>
        <v>0</v>
      </c>
      <c r="T25" s="113">
        <f t="shared" si="15"/>
        <v>0</v>
      </c>
      <c r="U25" s="113">
        <f t="shared" si="15"/>
        <v>0</v>
      </c>
      <c r="V25" s="113">
        <f t="shared" si="15"/>
        <v>0</v>
      </c>
      <c r="W25" s="113">
        <f t="shared" si="15"/>
        <v>0</v>
      </c>
      <c r="X25" s="113">
        <f t="shared" si="15"/>
        <v>164.81460000000001</v>
      </c>
      <c r="Y25" s="113">
        <f t="shared" si="15"/>
        <v>0</v>
      </c>
      <c r="Z25" s="113">
        <f t="shared" si="15"/>
        <v>292.48169999999999</v>
      </c>
      <c r="AA25" s="113">
        <f t="shared" si="15"/>
        <v>0</v>
      </c>
      <c r="AB25" s="113">
        <f t="shared" si="15"/>
        <v>275.75209999999998</v>
      </c>
      <c r="AC25" s="113">
        <f t="shared" si="15"/>
        <v>0</v>
      </c>
      <c r="AD25" s="113">
        <f t="shared" si="15"/>
        <v>16.518000000000001</v>
      </c>
      <c r="AE25" s="113">
        <f t="shared" si="15"/>
        <v>0</v>
      </c>
      <c r="AF25" s="29"/>
      <c r="AG25" s="102">
        <f t="shared" si="3"/>
        <v>-1.9895196601282805E-13</v>
      </c>
      <c r="AH25" s="156">
        <f>C25-E25</f>
        <v>1038.6817000000001</v>
      </c>
    </row>
    <row r="26" spans="1:35" x14ac:dyDescent="0.3">
      <c r="A26" s="115" t="s">
        <v>169</v>
      </c>
      <c r="B26" s="116">
        <f>J26+L26+N26+P26+R26+T26+V26+X26+Z26+AB26+AD26+H26</f>
        <v>0</v>
      </c>
      <c r="C26" s="117">
        <f>H26+J26+L26</f>
        <v>0</v>
      </c>
      <c r="D26" s="118">
        <f>E26</f>
        <v>0</v>
      </c>
      <c r="E26" s="117">
        <f>SUM(I26,K26,M26,O26,Q26,S26,U26,W26,Y26,AA26,AC26,AE26)</f>
        <v>0</v>
      </c>
      <c r="F26" s="116">
        <f>IFERROR(E26/B26*100,0)</f>
        <v>0</v>
      </c>
      <c r="G26" s="116">
        <f>IFERROR(E26/C26*100,0)</f>
        <v>0</v>
      </c>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29"/>
      <c r="AG26" s="102">
        <f t="shared" si="3"/>
        <v>0</v>
      </c>
      <c r="AH26" s="156">
        <f t="shared" si="8"/>
        <v>0</v>
      </c>
    </row>
    <row r="27" spans="1:35" x14ac:dyDescent="0.3">
      <c r="A27" s="115" t="s">
        <v>32</v>
      </c>
      <c r="B27" s="116">
        <f>J27+L27+N27+P27+R27+T27+V27+X27+Z27+AB27+AD27+H27</f>
        <v>0</v>
      </c>
      <c r="C27" s="117">
        <f>H27+J27+L27</f>
        <v>0</v>
      </c>
      <c r="D27" s="118">
        <f>E27</f>
        <v>0</v>
      </c>
      <c r="E27" s="117">
        <f>SUM(I27,K27,M27,O27,Q27,S27,U27,W27,Y27,AA27,AC27,AE27)</f>
        <v>0</v>
      </c>
      <c r="F27" s="116">
        <f>IFERROR(E27/B27*100,0)</f>
        <v>0</v>
      </c>
      <c r="G27" s="116">
        <f>IFERROR(E27/C27*100,0)</f>
        <v>0</v>
      </c>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29"/>
      <c r="AG27" s="102">
        <f t="shared" si="3"/>
        <v>0</v>
      </c>
      <c r="AH27" s="156">
        <f t="shared" si="8"/>
        <v>0</v>
      </c>
    </row>
    <row r="28" spans="1:35" x14ac:dyDescent="0.3">
      <c r="A28" s="115" t="s">
        <v>33</v>
      </c>
      <c r="B28" s="116">
        <f>J28+L28+N28+P28+R28+T28+V28+X28+Z28+AB28+AD28+H28</f>
        <v>2516.5</v>
      </c>
      <c r="C28" s="117">
        <f>H28+J28+L28</f>
        <v>1503.5317</v>
      </c>
      <c r="D28" s="118">
        <f>E28</f>
        <v>464.85</v>
      </c>
      <c r="E28" s="760">
        <f>SUM(I28,K28,M28,O28,Q28,S28,U28,W28,Y28,AA28,AC28,AE28)</f>
        <v>464.85</v>
      </c>
      <c r="F28" s="116">
        <f>IFERROR(E28/B28*100,0)</f>
        <v>18.47208424398967</v>
      </c>
      <c r="G28" s="116">
        <f>IFERROR(E28/C28*100,0)</f>
        <v>30.917206467944773</v>
      </c>
      <c r="H28" s="111">
        <v>130.49279999999999</v>
      </c>
      <c r="I28" s="787">
        <v>28.35</v>
      </c>
      <c r="J28" s="111">
        <v>1130.4317000000001</v>
      </c>
      <c r="K28" s="111">
        <v>141.19999999999999</v>
      </c>
      <c r="L28" s="111">
        <v>242.60720000000001</v>
      </c>
      <c r="M28" s="111">
        <v>295.3</v>
      </c>
      <c r="N28" s="111">
        <v>169.04730000000001</v>
      </c>
      <c r="O28" s="111"/>
      <c r="P28" s="111">
        <v>94.354600000000005</v>
      </c>
      <c r="Q28" s="111"/>
      <c r="R28" s="111">
        <v>0</v>
      </c>
      <c r="S28" s="111"/>
      <c r="T28" s="111">
        <v>0</v>
      </c>
      <c r="U28" s="111"/>
      <c r="V28" s="111">
        <v>0</v>
      </c>
      <c r="W28" s="111"/>
      <c r="X28" s="111">
        <v>164.81460000000001</v>
      </c>
      <c r="Y28" s="111"/>
      <c r="Z28" s="111">
        <v>292.48169999999999</v>
      </c>
      <c r="AA28" s="111"/>
      <c r="AB28" s="111">
        <v>275.75209999999998</v>
      </c>
      <c r="AC28" s="111"/>
      <c r="AD28" s="111">
        <v>16.518000000000001</v>
      </c>
      <c r="AE28" s="111"/>
      <c r="AF28" s="29"/>
      <c r="AG28" s="102">
        <f>B28-H28-J28-L28-N28-P28-R28-T28-V28-X28-Z28-AB28-AD28</f>
        <v>-1.9895196601282805E-13</v>
      </c>
      <c r="AH28" s="806">
        <f>C28-E28</f>
        <v>1038.6817000000001</v>
      </c>
      <c r="AI28" s="799">
        <v>0</v>
      </c>
    </row>
    <row r="29" spans="1:35" x14ac:dyDescent="0.3">
      <c r="A29" s="115" t="s">
        <v>170</v>
      </c>
      <c r="B29" s="116"/>
      <c r="C29" s="117">
        <f>H29+J29+L29</f>
        <v>0</v>
      </c>
      <c r="D29" s="118"/>
      <c r="E29" s="117"/>
      <c r="F29" s="116"/>
      <c r="G29" s="116"/>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29"/>
      <c r="AG29" s="102">
        <f>B29-H29-J29-L29-N29-P29-R29-T29-V29-X29-Z29-AB29-AD29</f>
        <v>0</v>
      </c>
      <c r="AH29" s="156">
        <f t="shared" si="8"/>
        <v>0</v>
      </c>
    </row>
    <row r="30" spans="1:35" ht="294.75" customHeight="1" x14ac:dyDescent="0.3">
      <c r="A30" s="121" t="s">
        <v>255</v>
      </c>
      <c r="B30" s="113"/>
      <c r="C30" s="122"/>
      <c r="D30" s="122"/>
      <c r="E30" s="122"/>
      <c r="F30" s="122"/>
      <c r="G30" s="122"/>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583" t="s">
        <v>594</v>
      </c>
      <c r="AG30" s="102">
        <f t="shared" si="3"/>
        <v>0</v>
      </c>
      <c r="AH30" s="156">
        <f t="shared" si="8"/>
        <v>0</v>
      </c>
    </row>
    <row r="31" spans="1:35" x14ac:dyDescent="0.3">
      <c r="A31" s="112" t="s">
        <v>31</v>
      </c>
      <c r="B31" s="113">
        <f>B33+B34+B32+B35</f>
        <v>235071.79342999999</v>
      </c>
      <c r="C31" s="113">
        <f>C33+C34+C32+C35</f>
        <v>77657.385850000006</v>
      </c>
      <c r="D31" s="113">
        <f>D33+D34+D32+D35</f>
        <v>34325.800000000003</v>
      </c>
      <c r="E31" s="113">
        <f>E33+E34+E32+E35</f>
        <v>34325.800000000003</v>
      </c>
      <c r="F31" s="113">
        <f>IFERROR(E31/B31*100,0)</f>
        <v>14.602262355318093</v>
      </c>
      <c r="G31" s="113">
        <f>IFERROR(E31/C31*100,0)</f>
        <v>44.20159090379682</v>
      </c>
      <c r="H31" s="113">
        <f t="shared" ref="H31:AE31" si="16">H33+H34+H32+H35</f>
        <v>38397.546340000001</v>
      </c>
      <c r="I31" s="113">
        <f t="shared" si="16"/>
        <v>7535.2</v>
      </c>
      <c r="J31" s="113">
        <f t="shared" si="16"/>
        <v>24967.139510000001</v>
      </c>
      <c r="K31" s="113">
        <f t="shared" si="16"/>
        <v>13602.3</v>
      </c>
      <c r="L31" s="113">
        <f t="shared" si="16"/>
        <v>14292.7</v>
      </c>
      <c r="M31" s="113">
        <f t="shared" si="16"/>
        <v>13188.3</v>
      </c>
      <c r="N31" s="113">
        <f t="shared" si="16"/>
        <v>27385.10124</v>
      </c>
      <c r="O31" s="113">
        <f t="shared" si="16"/>
        <v>0</v>
      </c>
      <c r="P31" s="113">
        <f t="shared" si="16"/>
        <v>21386.740880000001</v>
      </c>
      <c r="Q31" s="113">
        <f t="shared" si="16"/>
        <v>0</v>
      </c>
      <c r="R31" s="113">
        <f t="shared" si="16"/>
        <v>19788.249830000001</v>
      </c>
      <c r="S31" s="113">
        <f t="shared" si="16"/>
        <v>0</v>
      </c>
      <c r="T31" s="113">
        <f t="shared" si="16"/>
        <v>17624.04551</v>
      </c>
      <c r="U31" s="113">
        <f t="shared" si="16"/>
        <v>0</v>
      </c>
      <c r="V31" s="113">
        <f t="shared" si="16"/>
        <v>16753.44398</v>
      </c>
      <c r="W31" s="113">
        <f t="shared" si="16"/>
        <v>0</v>
      </c>
      <c r="X31" s="113">
        <f t="shared" si="16"/>
        <v>12571.832050000001</v>
      </c>
      <c r="Y31" s="113">
        <f t="shared" si="16"/>
        <v>0</v>
      </c>
      <c r="Z31" s="113">
        <f t="shared" si="16"/>
        <v>14826.6865</v>
      </c>
      <c r="AA31" s="113">
        <f t="shared" si="16"/>
        <v>0</v>
      </c>
      <c r="AB31" s="113">
        <f t="shared" si="16"/>
        <v>14427.66022</v>
      </c>
      <c r="AC31" s="113">
        <f t="shared" si="16"/>
        <v>0</v>
      </c>
      <c r="AD31" s="113">
        <f t="shared" si="16"/>
        <v>12650.647370000001</v>
      </c>
      <c r="AE31" s="113">
        <f t="shared" si="16"/>
        <v>0</v>
      </c>
      <c r="AF31" s="29"/>
      <c r="AG31" s="102">
        <f t="shared" si="3"/>
        <v>-2.1827872842550278E-11</v>
      </c>
      <c r="AH31" s="156">
        <f t="shared" si="8"/>
        <v>43331.585850000003</v>
      </c>
    </row>
    <row r="32" spans="1:35" x14ac:dyDescent="0.3">
      <c r="A32" s="115" t="s">
        <v>169</v>
      </c>
      <c r="B32" s="116"/>
      <c r="C32" s="117"/>
      <c r="D32" s="118"/>
      <c r="E32" s="117"/>
      <c r="F32" s="116"/>
      <c r="G32" s="116"/>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29"/>
      <c r="AG32" s="102">
        <f t="shared" si="3"/>
        <v>0</v>
      </c>
      <c r="AH32" s="156">
        <f t="shared" si="8"/>
        <v>0</v>
      </c>
    </row>
    <row r="33" spans="1:35" x14ac:dyDescent="0.3">
      <c r="A33" s="115" t="s">
        <v>32</v>
      </c>
      <c r="B33" s="116"/>
      <c r="C33" s="117"/>
      <c r="D33" s="118"/>
      <c r="E33" s="117"/>
      <c r="F33" s="116"/>
      <c r="G33" s="116"/>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29"/>
      <c r="AG33" s="102">
        <f t="shared" si="3"/>
        <v>0</v>
      </c>
      <c r="AH33" s="156">
        <f t="shared" si="8"/>
        <v>0</v>
      </c>
    </row>
    <row r="34" spans="1:35" x14ac:dyDescent="0.3">
      <c r="A34" s="115" t="s">
        <v>33</v>
      </c>
      <c r="B34" s="803">
        <f>J34+L34+N34+P34+R34+T34+V34+X34+Z34+AB34+AD34+H34</f>
        <v>235071.79342999999</v>
      </c>
      <c r="C34" s="760">
        <f>H34+J34+L34</f>
        <v>77657.385850000006</v>
      </c>
      <c r="D34" s="118">
        <f>E34</f>
        <v>34325.800000000003</v>
      </c>
      <c r="E34" s="760">
        <f>SUM(I34,K34,M34,O34,Q34,S34,U34,W34,Y34,AA34,AC34,AE34)</f>
        <v>34325.800000000003</v>
      </c>
      <c r="F34" s="116">
        <f>IFERROR(E34/B34*100,0)</f>
        <v>14.602262355318093</v>
      </c>
      <c r="G34" s="116">
        <f>IFERROR(E34/C34*100,0)</f>
        <v>44.20159090379682</v>
      </c>
      <c r="H34" s="787">
        <v>38397.546340000001</v>
      </c>
      <c r="I34" s="787">
        <v>7535.2</v>
      </c>
      <c r="J34" s="111">
        <v>24967.139510000001</v>
      </c>
      <c r="K34" s="111">
        <v>13602.3</v>
      </c>
      <c r="L34" s="111">
        <v>14292.7</v>
      </c>
      <c r="M34" s="111">
        <v>13188.3</v>
      </c>
      <c r="N34" s="111">
        <v>27385.10124</v>
      </c>
      <c r="O34" s="111"/>
      <c r="P34" s="111">
        <v>21386.740880000001</v>
      </c>
      <c r="Q34" s="111"/>
      <c r="R34" s="111">
        <v>19788.249830000001</v>
      </c>
      <c r="S34" s="111"/>
      <c r="T34" s="111">
        <v>17624.04551</v>
      </c>
      <c r="U34" s="111"/>
      <c r="V34" s="111">
        <v>16753.44398</v>
      </c>
      <c r="W34" s="111"/>
      <c r="X34" s="111">
        <v>12571.832050000001</v>
      </c>
      <c r="Y34" s="111"/>
      <c r="Z34" s="111">
        <v>14826.6865</v>
      </c>
      <c r="AA34" s="111"/>
      <c r="AB34" s="111">
        <v>14427.66022</v>
      </c>
      <c r="AC34" s="111"/>
      <c r="AD34" s="111">
        <v>12650.647370000001</v>
      </c>
      <c r="AE34" s="111"/>
      <c r="AF34" s="29"/>
      <c r="AG34" s="102">
        <f t="shared" si="3"/>
        <v>-2.1827872842550278E-11</v>
      </c>
      <c r="AH34" s="806">
        <f t="shared" si="8"/>
        <v>43331.585850000003</v>
      </c>
      <c r="AI34" s="799">
        <v>0</v>
      </c>
    </row>
    <row r="35" spans="1:35" x14ac:dyDescent="0.3">
      <c r="A35" s="115" t="s">
        <v>170</v>
      </c>
      <c r="B35" s="116"/>
      <c r="C35" s="117"/>
      <c r="D35" s="118"/>
      <c r="E35" s="117"/>
      <c r="F35" s="116"/>
      <c r="G35" s="116"/>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29"/>
      <c r="AG35" s="102">
        <f t="shared" si="3"/>
        <v>0</v>
      </c>
      <c r="AH35" s="156">
        <f t="shared" si="8"/>
        <v>0</v>
      </c>
    </row>
    <row r="36" spans="1:35" ht="292.5" x14ac:dyDescent="0.3">
      <c r="A36" s="123" t="s">
        <v>256</v>
      </c>
      <c r="B36" s="113"/>
      <c r="C36" s="122"/>
      <c r="D36" s="122"/>
      <c r="E36" s="122"/>
      <c r="F36" s="122"/>
      <c r="G36" s="122"/>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584" t="s">
        <v>593</v>
      </c>
      <c r="AG36" s="102">
        <f t="shared" si="3"/>
        <v>0</v>
      </c>
      <c r="AH36" s="156">
        <f t="shared" si="8"/>
        <v>0</v>
      </c>
    </row>
    <row r="37" spans="1:35" x14ac:dyDescent="0.3">
      <c r="A37" s="112" t="s">
        <v>31</v>
      </c>
      <c r="B37" s="113">
        <f>B39+B40+B38+B41</f>
        <v>385.99999999999994</v>
      </c>
      <c r="C37" s="113">
        <f>C39+C40+C38+C41</f>
        <v>149.37402</v>
      </c>
      <c r="D37" s="113">
        <f>D39+D40+D38+D41</f>
        <v>30.73</v>
      </c>
      <c r="E37" s="113">
        <f>E39+E40+E38+E41</f>
        <v>30.73</v>
      </c>
      <c r="F37" s="113">
        <f>IFERROR(E37/B37*100,0)</f>
        <v>7.9611398963730577</v>
      </c>
      <c r="G37" s="113">
        <f>IFERROR(E37/C37*100,0)</f>
        <v>20.57251990674148</v>
      </c>
      <c r="H37" s="113">
        <f t="shared" ref="H37:AE37" si="17">H39+H40+H38+H41</f>
        <v>12.8218</v>
      </c>
      <c r="I37" s="113">
        <f t="shared" si="17"/>
        <v>0</v>
      </c>
      <c r="J37" s="113">
        <f t="shared" si="17"/>
        <v>12.8218</v>
      </c>
      <c r="K37" s="113">
        <f t="shared" si="17"/>
        <v>0</v>
      </c>
      <c r="L37" s="113">
        <f t="shared" si="17"/>
        <v>123.73042</v>
      </c>
      <c r="M37" s="113">
        <f t="shared" si="17"/>
        <v>30.73</v>
      </c>
      <c r="N37" s="113">
        <f t="shared" si="17"/>
        <v>12.8218</v>
      </c>
      <c r="O37" s="113">
        <f t="shared" si="17"/>
        <v>0</v>
      </c>
      <c r="P37" s="113">
        <f t="shared" si="17"/>
        <v>75.515979999999999</v>
      </c>
      <c r="Q37" s="113">
        <f t="shared" si="17"/>
        <v>0</v>
      </c>
      <c r="R37" s="113">
        <f t="shared" si="17"/>
        <v>19.021799999999999</v>
      </c>
      <c r="S37" s="113">
        <f t="shared" si="17"/>
        <v>0</v>
      </c>
      <c r="T37" s="113">
        <f t="shared" si="17"/>
        <v>12.8218</v>
      </c>
      <c r="U37" s="113">
        <f t="shared" si="17"/>
        <v>0</v>
      </c>
      <c r="V37" s="113">
        <f t="shared" si="17"/>
        <v>12.8218</v>
      </c>
      <c r="W37" s="113">
        <f t="shared" si="17"/>
        <v>0</v>
      </c>
      <c r="X37" s="113">
        <f t="shared" si="17"/>
        <v>12.8218</v>
      </c>
      <c r="Y37" s="113">
        <f t="shared" si="17"/>
        <v>0</v>
      </c>
      <c r="Z37" s="113">
        <f t="shared" si="17"/>
        <v>12.8218</v>
      </c>
      <c r="AA37" s="113">
        <f t="shared" si="17"/>
        <v>0</v>
      </c>
      <c r="AB37" s="113">
        <f t="shared" si="17"/>
        <v>65.157399999999996</v>
      </c>
      <c r="AC37" s="113">
        <f t="shared" si="17"/>
        <v>0</v>
      </c>
      <c r="AD37" s="113">
        <f t="shared" si="17"/>
        <v>12.8218</v>
      </c>
      <c r="AE37" s="113">
        <f t="shared" si="17"/>
        <v>0</v>
      </c>
      <c r="AF37" s="29"/>
      <c r="AG37" s="102">
        <f t="shared" si="3"/>
        <v>0</v>
      </c>
      <c r="AH37" s="156">
        <f t="shared" si="8"/>
        <v>118.64402</v>
      </c>
    </row>
    <row r="38" spans="1:35" x14ac:dyDescent="0.3">
      <c r="A38" s="115" t="s">
        <v>169</v>
      </c>
      <c r="B38" s="116"/>
      <c r="C38" s="117"/>
      <c r="D38" s="118"/>
      <c r="E38" s="117"/>
      <c r="F38" s="116"/>
      <c r="G38" s="116"/>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29"/>
      <c r="AG38" s="102">
        <f t="shared" si="3"/>
        <v>0</v>
      </c>
      <c r="AH38" s="156">
        <f t="shared" si="8"/>
        <v>0</v>
      </c>
    </row>
    <row r="39" spans="1:35" x14ac:dyDescent="0.3">
      <c r="A39" s="115" t="s">
        <v>32</v>
      </c>
      <c r="B39" s="116"/>
      <c r="C39" s="117"/>
      <c r="D39" s="118"/>
      <c r="E39" s="117"/>
      <c r="F39" s="116"/>
      <c r="G39" s="116"/>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29"/>
      <c r="AG39" s="102">
        <f t="shared" si="3"/>
        <v>0</v>
      </c>
      <c r="AH39" s="156">
        <f t="shared" si="8"/>
        <v>0</v>
      </c>
    </row>
    <row r="40" spans="1:35" x14ac:dyDescent="0.3">
      <c r="A40" s="115" t="s">
        <v>33</v>
      </c>
      <c r="B40" s="805">
        <f>J40+L40+N40+P40+R40+T40+V40+X40+Z40+AB40+AD40+H40</f>
        <v>385.99999999999994</v>
      </c>
      <c r="C40" s="804">
        <f>H40+J40+L40</f>
        <v>149.37402</v>
      </c>
      <c r="D40" s="118">
        <f>E40</f>
        <v>30.73</v>
      </c>
      <c r="E40" s="760">
        <f>SUM(I40,K40,M40,O40,Q40,S40,U40,W40,Y40,AA40,AC40,AE40)</f>
        <v>30.73</v>
      </c>
      <c r="F40" s="116">
        <f>IFERROR(E40/B40*100,0)</f>
        <v>7.9611398963730577</v>
      </c>
      <c r="G40" s="116">
        <f>IFERROR(E40/C40*100,0)</f>
        <v>20.57251990674148</v>
      </c>
      <c r="H40" s="111">
        <v>12.8218</v>
      </c>
      <c r="I40" s="737"/>
      <c r="J40" s="111">
        <v>12.8218</v>
      </c>
      <c r="K40" s="111"/>
      <c r="L40" s="111">
        <v>123.73042</v>
      </c>
      <c r="M40" s="111">
        <v>30.73</v>
      </c>
      <c r="N40" s="111">
        <v>12.8218</v>
      </c>
      <c r="O40" s="111"/>
      <c r="P40" s="111">
        <v>75.515979999999999</v>
      </c>
      <c r="Q40" s="111"/>
      <c r="R40" s="111">
        <v>19.021799999999999</v>
      </c>
      <c r="S40" s="111"/>
      <c r="T40" s="111">
        <v>12.8218</v>
      </c>
      <c r="U40" s="111"/>
      <c r="V40" s="111">
        <v>12.8218</v>
      </c>
      <c r="W40" s="111"/>
      <c r="X40" s="111">
        <v>12.8218</v>
      </c>
      <c r="Y40" s="111"/>
      <c r="Z40" s="111">
        <v>12.8218</v>
      </c>
      <c r="AA40" s="111"/>
      <c r="AB40" s="111">
        <v>65.157399999999996</v>
      </c>
      <c r="AC40" s="111"/>
      <c r="AD40" s="111">
        <v>12.8218</v>
      </c>
      <c r="AE40" s="111"/>
      <c r="AF40" s="29"/>
      <c r="AG40" s="102">
        <f t="shared" si="3"/>
        <v>0</v>
      </c>
      <c r="AH40" s="798">
        <f t="shared" si="8"/>
        <v>118.64402</v>
      </c>
      <c r="AI40" s="33">
        <v>0</v>
      </c>
    </row>
    <row r="41" spans="1:35" x14ac:dyDescent="0.3">
      <c r="A41" s="115" t="s">
        <v>170</v>
      </c>
      <c r="B41" s="116"/>
      <c r="C41" s="117"/>
      <c r="D41" s="118"/>
      <c r="E41" s="117"/>
      <c r="F41" s="116"/>
      <c r="G41" s="116"/>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29"/>
      <c r="AG41" s="102">
        <f t="shared" si="3"/>
        <v>0</v>
      </c>
      <c r="AH41" s="156">
        <f t="shared" si="8"/>
        <v>0</v>
      </c>
    </row>
    <row r="42" spans="1:35" ht="56.25" x14ac:dyDescent="0.3">
      <c r="A42" s="88" t="s">
        <v>257</v>
      </c>
      <c r="B42" s="116"/>
      <c r="C42" s="124"/>
      <c r="D42" s="124"/>
      <c r="E42" s="124"/>
      <c r="F42" s="124"/>
      <c r="G42" s="124"/>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29"/>
      <c r="AG42" s="102">
        <f t="shared" si="3"/>
        <v>0</v>
      </c>
      <c r="AH42" s="156">
        <f t="shared" si="8"/>
        <v>0</v>
      </c>
    </row>
    <row r="43" spans="1:35" x14ac:dyDescent="0.3">
      <c r="A43" s="11" t="s">
        <v>31</v>
      </c>
      <c r="B43" s="113">
        <f>B45+B46+B44+B47</f>
        <v>8.3000000000000007</v>
      </c>
      <c r="C43" s="113">
        <f>C45+C46+C44+C47</f>
        <v>0</v>
      </c>
      <c r="D43" s="114">
        <f>D45+D46+D44+D47</f>
        <v>0</v>
      </c>
      <c r="E43" s="113">
        <f>E45+E46+E44+E47</f>
        <v>0</v>
      </c>
      <c r="F43" s="113">
        <f>IFERROR(E43/B43*100,0)</f>
        <v>0</v>
      </c>
      <c r="G43" s="113">
        <f>IFERROR(E43/C43*100,0)</f>
        <v>0</v>
      </c>
      <c r="H43" s="113">
        <f t="shared" ref="H43:AE43" si="18">H45+H46+H44+H47</f>
        <v>0</v>
      </c>
      <c r="I43" s="113">
        <f t="shared" si="18"/>
        <v>0</v>
      </c>
      <c r="J43" s="113">
        <f t="shared" si="18"/>
        <v>0</v>
      </c>
      <c r="K43" s="113">
        <f t="shared" si="18"/>
        <v>0</v>
      </c>
      <c r="L43" s="113">
        <f t="shared" si="18"/>
        <v>0</v>
      </c>
      <c r="M43" s="113">
        <f t="shared" si="18"/>
        <v>0</v>
      </c>
      <c r="N43" s="113">
        <f t="shared" si="18"/>
        <v>0</v>
      </c>
      <c r="O43" s="113">
        <f t="shared" si="18"/>
        <v>0</v>
      </c>
      <c r="P43" s="113">
        <f t="shared" si="18"/>
        <v>8.3000000000000007</v>
      </c>
      <c r="Q43" s="113">
        <f t="shared" si="18"/>
        <v>0</v>
      </c>
      <c r="R43" s="113">
        <f t="shared" si="18"/>
        <v>0</v>
      </c>
      <c r="S43" s="113">
        <f t="shared" si="18"/>
        <v>0</v>
      </c>
      <c r="T43" s="113">
        <f t="shared" si="18"/>
        <v>0</v>
      </c>
      <c r="U43" s="113">
        <f t="shared" si="18"/>
        <v>0</v>
      </c>
      <c r="V43" s="113">
        <f t="shared" si="18"/>
        <v>0</v>
      </c>
      <c r="W43" s="113">
        <f t="shared" si="18"/>
        <v>0</v>
      </c>
      <c r="X43" s="113">
        <f t="shared" si="18"/>
        <v>0</v>
      </c>
      <c r="Y43" s="113">
        <f t="shared" si="18"/>
        <v>0</v>
      </c>
      <c r="Z43" s="113">
        <f t="shared" si="18"/>
        <v>0</v>
      </c>
      <c r="AA43" s="113">
        <f t="shared" si="18"/>
        <v>0</v>
      </c>
      <c r="AB43" s="113">
        <f t="shared" si="18"/>
        <v>0</v>
      </c>
      <c r="AC43" s="113">
        <f t="shared" si="18"/>
        <v>0</v>
      </c>
      <c r="AD43" s="113">
        <f t="shared" si="18"/>
        <v>0</v>
      </c>
      <c r="AE43" s="113">
        <f t="shared" si="18"/>
        <v>0</v>
      </c>
      <c r="AF43" s="29"/>
      <c r="AG43" s="102">
        <f t="shared" si="3"/>
        <v>0</v>
      </c>
      <c r="AH43" s="156">
        <f t="shared" si="8"/>
        <v>0</v>
      </c>
    </row>
    <row r="44" spans="1:35" x14ac:dyDescent="0.3">
      <c r="A44" s="7" t="s">
        <v>169</v>
      </c>
      <c r="B44" s="116"/>
      <c r="C44" s="117"/>
      <c r="D44" s="118"/>
      <c r="E44" s="117"/>
      <c r="F44" s="116"/>
      <c r="G44" s="116"/>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29"/>
      <c r="AG44" s="102">
        <f t="shared" si="3"/>
        <v>0</v>
      </c>
      <c r="AH44" s="156">
        <f t="shared" si="8"/>
        <v>0</v>
      </c>
    </row>
    <row r="45" spans="1:35" x14ac:dyDescent="0.3">
      <c r="A45" s="7" t="s">
        <v>32</v>
      </c>
      <c r="B45" s="116">
        <f t="shared" ref="B45:B46" si="19">J45+L45+N45+P45+R45+T45+V45+X45+Z45+AB45+AD45+H45</f>
        <v>0</v>
      </c>
      <c r="C45" s="117">
        <f>SUM(H45)</f>
        <v>0</v>
      </c>
      <c r="D45" s="118">
        <f>E45</f>
        <v>0</v>
      </c>
      <c r="E45" s="117">
        <f>SUM(I45,K45,M45,O45,Q45,S45,U45,W45,Y45,AA45,AC45,AE45)</f>
        <v>0</v>
      </c>
      <c r="F45" s="116">
        <f>IFERROR(E45/B45*100,0)</f>
        <v>0</v>
      </c>
      <c r="G45" s="116">
        <f>IFERROR(E45/C45*100,0)</f>
        <v>0</v>
      </c>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29"/>
      <c r="AG45" s="102">
        <f t="shared" si="3"/>
        <v>0</v>
      </c>
      <c r="AH45" s="156">
        <f t="shared" si="8"/>
        <v>0</v>
      </c>
    </row>
    <row r="46" spans="1:35" x14ac:dyDescent="0.3">
      <c r="A46" s="7" t="s">
        <v>33</v>
      </c>
      <c r="B46" s="116">
        <f t="shared" si="19"/>
        <v>8.3000000000000007</v>
      </c>
      <c r="C46" s="117">
        <f>SUM(H46)</f>
        <v>0</v>
      </c>
      <c r="D46" s="118">
        <f>E46</f>
        <v>0</v>
      </c>
      <c r="E46" s="117">
        <f>SUM(I46,K46,M46,O46,Q46,S46,U46,W46,Y46,AA46,AC46,AE46)</f>
        <v>0</v>
      </c>
      <c r="F46" s="116">
        <f>IFERROR(E46/B46*100,0)</f>
        <v>0</v>
      </c>
      <c r="G46" s="116">
        <f>IFERROR(E46/C46*100,0)</f>
        <v>0</v>
      </c>
      <c r="H46" s="111"/>
      <c r="I46" s="111"/>
      <c r="J46" s="111"/>
      <c r="K46" s="111"/>
      <c r="L46" s="111"/>
      <c r="M46" s="111"/>
      <c r="N46" s="111"/>
      <c r="O46" s="111"/>
      <c r="P46" s="111">
        <v>8.3000000000000007</v>
      </c>
      <c r="Q46" s="111"/>
      <c r="R46" s="111"/>
      <c r="S46" s="111"/>
      <c r="T46" s="111"/>
      <c r="U46" s="111"/>
      <c r="V46" s="111"/>
      <c r="W46" s="111"/>
      <c r="X46" s="111"/>
      <c r="Y46" s="111"/>
      <c r="Z46" s="111"/>
      <c r="AA46" s="111"/>
      <c r="AB46" s="111"/>
      <c r="AC46" s="111"/>
      <c r="AD46" s="111"/>
      <c r="AE46" s="111"/>
      <c r="AF46" s="29"/>
      <c r="AG46" s="102">
        <f t="shared" si="3"/>
        <v>0</v>
      </c>
      <c r="AH46" s="156">
        <f t="shared" si="8"/>
        <v>0</v>
      </c>
    </row>
    <row r="47" spans="1:35" x14ac:dyDescent="0.3">
      <c r="A47" s="7" t="s">
        <v>170</v>
      </c>
      <c r="B47" s="116"/>
      <c r="C47" s="117"/>
      <c r="D47" s="118"/>
      <c r="E47" s="117"/>
      <c r="F47" s="116"/>
      <c r="G47" s="116"/>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29"/>
      <c r="AG47" s="102">
        <f t="shared" si="3"/>
        <v>0</v>
      </c>
      <c r="AH47" s="156">
        <f t="shared" si="8"/>
        <v>0</v>
      </c>
    </row>
    <row r="48" spans="1:35" ht="90" x14ac:dyDescent="0.3">
      <c r="A48" s="123" t="s">
        <v>258</v>
      </c>
      <c r="B48" s="113"/>
      <c r="C48" s="122"/>
      <c r="D48" s="122"/>
      <c r="E48" s="122"/>
      <c r="F48" s="122"/>
      <c r="G48" s="122"/>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811" t="s">
        <v>601</v>
      </c>
      <c r="AG48" s="102">
        <f t="shared" si="3"/>
        <v>0</v>
      </c>
      <c r="AH48" s="156">
        <f t="shared" si="8"/>
        <v>0</v>
      </c>
    </row>
    <row r="49" spans="1:35" x14ac:dyDescent="0.3">
      <c r="A49" s="112" t="s">
        <v>31</v>
      </c>
      <c r="B49" s="113">
        <f>B52+B51+B50+B53</f>
        <v>2495.4</v>
      </c>
      <c r="C49" s="113">
        <f t="shared" ref="C49:E49" si="20">C52+C51+C50+C53</f>
        <v>2146</v>
      </c>
      <c r="D49" s="113">
        <f t="shared" si="20"/>
        <v>0</v>
      </c>
      <c r="E49" s="113">
        <f t="shared" si="20"/>
        <v>0</v>
      </c>
      <c r="F49" s="113">
        <f>IFERROR(E49/B49*100,0)</f>
        <v>0</v>
      </c>
      <c r="G49" s="113">
        <f>IFERROR(E49/C49*100,0)</f>
        <v>0</v>
      </c>
      <c r="H49" s="113">
        <f t="shared" ref="H49:U49" si="21">H52+H51+H50+H53</f>
        <v>0</v>
      </c>
      <c r="I49" s="113">
        <f t="shared" si="21"/>
        <v>0</v>
      </c>
      <c r="J49" s="113">
        <f t="shared" si="21"/>
        <v>0</v>
      </c>
      <c r="K49" s="113">
        <f t="shared" si="21"/>
        <v>0</v>
      </c>
      <c r="L49" s="113">
        <f t="shared" si="21"/>
        <v>2146</v>
      </c>
      <c r="M49" s="113">
        <f t="shared" si="21"/>
        <v>0</v>
      </c>
      <c r="N49" s="113">
        <f t="shared" si="21"/>
        <v>0</v>
      </c>
      <c r="O49" s="113">
        <f t="shared" si="21"/>
        <v>0</v>
      </c>
      <c r="P49" s="113">
        <f t="shared" si="21"/>
        <v>349.4</v>
      </c>
      <c r="Q49" s="113">
        <f t="shared" si="21"/>
        <v>0</v>
      </c>
      <c r="R49" s="113">
        <f t="shared" si="21"/>
        <v>0</v>
      </c>
      <c r="S49" s="113">
        <f t="shared" si="21"/>
        <v>0</v>
      </c>
      <c r="T49" s="113">
        <f t="shared" si="21"/>
        <v>0</v>
      </c>
      <c r="U49" s="113">
        <f t="shared" si="21"/>
        <v>0</v>
      </c>
      <c r="V49" s="113">
        <f t="shared" ref="V49:AE49" si="22">V51+V52+V50+V53</f>
        <v>0</v>
      </c>
      <c r="W49" s="113">
        <f t="shared" si="22"/>
        <v>0</v>
      </c>
      <c r="X49" s="113">
        <f t="shared" si="22"/>
        <v>0</v>
      </c>
      <c r="Y49" s="113">
        <f t="shared" si="22"/>
        <v>0</v>
      </c>
      <c r="Z49" s="113">
        <f t="shared" si="22"/>
        <v>0</v>
      </c>
      <c r="AA49" s="113">
        <f t="shared" si="22"/>
        <v>0</v>
      </c>
      <c r="AB49" s="113">
        <f t="shared" si="22"/>
        <v>0</v>
      </c>
      <c r="AC49" s="113">
        <f t="shared" si="22"/>
        <v>0</v>
      </c>
      <c r="AD49" s="113">
        <f t="shared" si="22"/>
        <v>0</v>
      </c>
      <c r="AE49" s="113">
        <f t="shared" si="22"/>
        <v>0</v>
      </c>
      <c r="AF49" s="29"/>
      <c r="AG49" s="102">
        <f t="shared" si="3"/>
        <v>1.1368683772161603E-13</v>
      </c>
      <c r="AH49" s="156">
        <f t="shared" si="8"/>
        <v>2146</v>
      </c>
    </row>
    <row r="50" spans="1:35" x14ac:dyDescent="0.3">
      <c r="A50" s="115" t="s">
        <v>169</v>
      </c>
      <c r="B50" s="116"/>
      <c r="C50" s="117"/>
      <c r="D50" s="118"/>
      <c r="E50" s="117"/>
      <c r="F50" s="116"/>
      <c r="G50" s="116"/>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29"/>
      <c r="AG50" s="102">
        <f t="shared" si="3"/>
        <v>0</v>
      </c>
      <c r="AH50" s="156">
        <f t="shared" si="8"/>
        <v>0</v>
      </c>
    </row>
    <row r="51" spans="1:35" x14ac:dyDescent="0.3">
      <c r="A51" s="713" t="s">
        <v>32</v>
      </c>
      <c r="B51" s="803">
        <f t="shared" ref="B51:B52" si="23">J51+L51+N51+P51+R51+T51+V51+X51+Z51+AB51+AD51+H51</f>
        <v>1741.2</v>
      </c>
      <c r="C51" s="760">
        <f>H51+J51+L51</f>
        <v>1741.2</v>
      </c>
      <c r="D51" s="118">
        <f t="shared" ref="D51:D52" si="24">E51</f>
        <v>0</v>
      </c>
      <c r="E51" s="117">
        <f t="shared" ref="E51:E52" si="25">SUM(I51,K51,M51,O51,Q51,S51,U51,W51,Y51,AA51,AC51,AE51)</f>
        <v>0</v>
      </c>
      <c r="F51" s="116">
        <f>IFERROR(E51/#REF!*100,0)</f>
        <v>0</v>
      </c>
      <c r="G51" s="116">
        <f>IFERROR(E51/C51*100,0)</f>
        <v>0</v>
      </c>
      <c r="H51" s="111"/>
      <c r="I51" s="111"/>
      <c r="J51" s="111"/>
      <c r="K51" s="111"/>
      <c r="L51" s="111">
        <v>1741.2</v>
      </c>
      <c r="M51" s="111"/>
      <c r="N51" s="111"/>
      <c r="O51" s="111"/>
      <c r="P51" s="111"/>
      <c r="Q51" s="111"/>
      <c r="R51" s="111"/>
      <c r="S51" s="111"/>
      <c r="T51" s="111"/>
      <c r="U51" s="111"/>
      <c r="V51" s="111"/>
      <c r="W51" s="111"/>
      <c r="X51" s="111"/>
      <c r="Y51" s="111"/>
      <c r="Z51" s="111"/>
      <c r="AA51" s="111"/>
      <c r="AB51" s="111"/>
      <c r="AC51" s="111"/>
      <c r="AD51" s="111"/>
      <c r="AE51" s="111"/>
      <c r="AF51" s="29"/>
      <c r="AG51" s="102">
        <f t="shared" si="3"/>
        <v>0</v>
      </c>
      <c r="AH51" s="156">
        <f>C51-E51</f>
        <v>1741.2</v>
      </c>
      <c r="AI51" s="799">
        <v>0</v>
      </c>
    </row>
    <row r="52" spans="1:35" x14ac:dyDescent="0.3">
      <c r="A52" s="802" t="s">
        <v>33</v>
      </c>
      <c r="B52" s="805">
        <f t="shared" si="23"/>
        <v>754.2</v>
      </c>
      <c r="C52" s="804">
        <f>H52+J52+L52</f>
        <v>404.8</v>
      </c>
      <c r="D52" s="118">
        <f t="shared" si="24"/>
        <v>0</v>
      </c>
      <c r="E52" s="760">
        <f t="shared" si="25"/>
        <v>0</v>
      </c>
      <c r="F52" s="116">
        <f>IFERROR(E52/B51*100,0)</f>
        <v>0</v>
      </c>
      <c r="G52" s="116">
        <f>IFERROR(E52/C52*100,0)</f>
        <v>0</v>
      </c>
      <c r="H52" s="111">
        <v>0</v>
      </c>
      <c r="I52" s="111"/>
      <c r="J52" s="111">
        <v>0</v>
      </c>
      <c r="K52" s="111"/>
      <c r="L52" s="111">
        <f>313.1+91.7</f>
        <v>404.8</v>
      </c>
      <c r="M52" s="111"/>
      <c r="N52" s="111">
        <v>0</v>
      </c>
      <c r="O52" s="111"/>
      <c r="P52" s="111">
        <v>349.4</v>
      </c>
      <c r="Q52" s="111"/>
      <c r="R52" s="111">
        <v>0</v>
      </c>
      <c r="S52" s="111"/>
      <c r="T52" s="111">
        <v>0</v>
      </c>
      <c r="U52" s="111"/>
      <c r="V52" s="111">
        <v>0</v>
      </c>
      <c r="W52" s="111"/>
      <c r="X52" s="111"/>
      <c r="Y52" s="111"/>
      <c r="Z52" s="111"/>
      <c r="AA52" s="111"/>
      <c r="AB52" s="111"/>
      <c r="AC52" s="111"/>
      <c r="AD52" s="111"/>
      <c r="AE52" s="111"/>
      <c r="AF52" s="29"/>
      <c r="AG52" s="102">
        <f t="shared" si="3"/>
        <v>5.6843418860808015E-14</v>
      </c>
      <c r="AH52" s="806">
        <f t="shared" si="8"/>
        <v>404.8</v>
      </c>
      <c r="AI52" s="799">
        <v>0</v>
      </c>
    </row>
    <row r="53" spans="1:35" x14ac:dyDescent="0.3">
      <c r="A53" s="115" t="s">
        <v>170</v>
      </c>
      <c r="B53" s="116"/>
      <c r="C53" s="117"/>
      <c r="D53" s="118"/>
      <c r="E53" s="117"/>
      <c r="F53" s="116"/>
      <c r="G53" s="116"/>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29"/>
      <c r="AG53" s="102">
        <f t="shared" si="3"/>
        <v>0</v>
      </c>
      <c r="AH53" s="156">
        <f t="shared" si="8"/>
        <v>0</v>
      </c>
    </row>
    <row r="54" spans="1:35" ht="75" x14ac:dyDescent="0.3">
      <c r="A54" s="125" t="s">
        <v>259</v>
      </c>
      <c r="B54" s="104"/>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01"/>
      <c r="AG54" s="102">
        <f t="shared" si="3"/>
        <v>0</v>
      </c>
      <c r="AH54" s="156">
        <f t="shared" si="8"/>
        <v>0</v>
      </c>
    </row>
    <row r="55" spans="1:35" x14ac:dyDescent="0.3">
      <c r="A55" s="103" t="s">
        <v>31</v>
      </c>
      <c r="B55" s="104">
        <f>B56+B57+B58</f>
        <v>98083.500549999997</v>
      </c>
      <c r="C55" s="104">
        <f>C56+C57+C58</f>
        <v>21487.603869999999</v>
      </c>
      <c r="D55" s="104">
        <f>D56+D57+D58</f>
        <v>12844.432000000001</v>
      </c>
      <c r="E55" s="104">
        <f>E56+E57+E58</f>
        <v>12844.432000000001</v>
      </c>
      <c r="F55" s="105">
        <f t="shared" ref="F55:F59" si="26">IFERROR(E55/B55*100,0)</f>
        <v>13.095405371928276</v>
      </c>
      <c r="G55" s="105">
        <f t="shared" ref="G55:G59" si="27">IFERROR(E55/C55*100,0)</f>
        <v>59.776008891958419</v>
      </c>
      <c r="H55" s="104">
        <f t="shared" ref="H55:AE55" si="28">H56+H57+H58</f>
        <v>4928.5648700000002</v>
      </c>
      <c r="I55" s="104">
        <f t="shared" si="28"/>
        <v>1723.4670000000001</v>
      </c>
      <c r="J55" s="104">
        <f t="shared" si="28"/>
        <v>8010.7690000000002</v>
      </c>
      <c r="K55" s="104">
        <f t="shared" si="28"/>
        <v>5954.1570000000002</v>
      </c>
      <c r="L55" s="104">
        <f t="shared" si="28"/>
        <v>8548.27</v>
      </c>
      <c r="M55" s="104">
        <f t="shared" si="28"/>
        <v>5166.808</v>
      </c>
      <c r="N55" s="104">
        <f t="shared" si="28"/>
        <v>8565.9169999999995</v>
      </c>
      <c r="O55" s="104">
        <f t="shared" si="28"/>
        <v>0</v>
      </c>
      <c r="P55" s="104">
        <f t="shared" si="28"/>
        <v>8612.8829600000008</v>
      </c>
      <c r="Q55" s="104">
        <f t="shared" si="28"/>
        <v>0</v>
      </c>
      <c r="R55" s="104">
        <f t="shared" si="28"/>
        <v>8340.0191900000009</v>
      </c>
      <c r="S55" s="104">
        <f t="shared" si="28"/>
        <v>0</v>
      </c>
      <c r="T55" s="104">
        <f t="shared" si="28"/>
        <v>7980.2191899999998</v>
      </c>
      <c r="U55" s="104">
        <f t="shared" si="28"/>
        <v>0</v>
      </c>
      <c r="V55" s="104">
        <f t="shared" si="28"/>
        <v>8183.63202</v>
      </c>
      <c r="W55" s="104">
        <f t="shared" si="28"/>
        <v>0</v>
      </c>
      <c r="X55" s="104">
        <f t="shared" si="28"/>
        <v>7980.2191899999998</v>
      </c>
      <c r="Y55" s="104">
        <f t="shared" si="28"/>
        <v>0</v>
      </c>
      <c r="Z55" s="104">
        <f t="shared" si="28"/>
        <v>7989.6878100000004</v>
      </c>
      <c r="AA55" s="104">
        <f t="shared" si="28"/>
        <v>0</v>
      </c>
      <c r="AB55" s="104">
        <f t="shared" si="28"/>
        <v>8196.3011600000009</v>
      </c>
      <c r="AC55" s="104">
        <f t="shared" si="28"/>
        <v>0</v>
      </c>
      <c r="AD55" s="104">
        <f t="shared" si="28"/>
        <v>10747.01816</v>
      </c>
      <c r="AE55" s="104">
        <f t="shared" si="28"/>
        <v>0</v>
      </c>
      <c r="AF55" s="101"/>
      <c r="AG55" s="102">
        <f t="shared" si="3"/>
        <v>0</v>
      </c>
      <c r="AH55" s="156">
        <f t="shared" si="8"/>
        <v>8643.1718699999983</v>
      </c>
    </row>
    <row r="56" spans="1:35" x14ac:dyDescent="0.3">
      <c r="A56" s="106" t="s">
        <v>169</v>
      </c>
      <c r="B56" s="107">
        <f>B62</f>
        <v>0</v>
      </c>
      <c r="C56" s="107">
        <f>H56+J56+L56+N56+P56+R56+T56+V56+X56+Z56+AB56+AD56</f>
        <v>0</v>
      </c>
      <c r="D56" s="107">
        <f t="shared" ref="D56:E56" si="29">D62</f>
        <v>0</v>
      </c>
      <c r="E56" s="107">
        <f t="shared" si="29"/>
        <v>0</v>
      </c>
      <c r="F56" s="107">
        <f t="shared" si="26"/>
        <v>0</v>
      </c>
      <c r="G56" s="107">
        <f t="shared" si="27"/>
        <v>0</v>
      </c>
      <c r="H56" s="107">
        <f t="shared" ref="H56:AE59" si="30">H62</f>
        <v>0</v>
      </c>
      <c r="I56" s="107">
        <f t="shared" si="30"/>
        <v>0</v>
      </c>
      <c r="J56" s="107">
        <f t="shared" si="30"/>
        <v>0</v>
      </c>
      <c r="K56" s="107">
        <f t="shared" si="30"/>
        <v>0</v>
      </c>
      <c r="L56" s="107">
        <f t="shared" si="30"/>
        <v>0</v>
      </c>
      <c r="M56" s="107">
        <f t="shared" si="30"/>
        <v>0</v>
      </c>
      <c r="N56" s="107">
        <f t="shared" si="30"/>
        <v>0</v>
      </c>
      <c r="O56" s="107">
        <f t="shared" si="30"/>
        <v>0</v>
      </c>
      <c r="P56" s="107">
        <f t="shared" si="30"/>
        <v>0</v>
      </c>
      <c r="Q56" s="107">
        <f t="shared" si="30"/>
        <v>0</v>
      </c>
      <c r="R56" s="107">
        <f t="shared" si="30"/>
        <v>0</v>
      </c>
      <c r="S56" s="107">
        <f t="shared" si="30"/>
        <v>0</v>
      </c>
      <c r="T56" s="107">
        <f t="shared" si="30"/>
        <v>0</v>
      </c>
      <c r="U56" s="107">
        <f t="shared" si="30"/>
        <v>0</v>
      </c>
      <c r="V56" s="107">
        <f t="shared" si="30"/>
        <v>0</v>
      </c>
      <c r="W56" s="107">
        <f t="shared" si="30"/>
        <v>0</v>
      </c>
      <c r="X56" s="107">
        <f t="shared" si="30"/>
        <v>0</v>
      </c>
      <c r="Y56" s="107">
        <f t="shared" si="30"/>
        <v>0</v>
      </c>
      <c r="Z56" s="107">
        <f t="shared" si="30"/>
        <v>0</v>
      </c>
      <c r="AA56" s="107">
        <f t="shared" si="30"/>
        <v>0</v>
      </c>
      <c r="AB56" s="107">
        <f t="shared" si="30"/>
        <v>0</v>
      </c>
      <c r="AC56" s="107">
        <f t="shared" si="30"/>
        <v>0</v>
      </c>
      <c r="AD56" s="107">
        <f t="shared" si="30"/>
        <v>0</v>
      </c>
      <c r="AE56" s="107">
        <f t="shared" si="30"/>
        <v>0</v>
      </c>
      <c r="AF56" s="101"/>
      <c r="AG56" s="102">
        <f t="shared" si="3"/>
        <v>0</v>
      </c>
      <c r="AH56" s="156">
        <f t="shared" si="8"/>
        <v>0</v>
      </c>
    </row>
    <row r="57" spans="1:35" x14ac:dyDescent="0.3">
      <c r="A57" s="106" t="s">
        <v>32</v>
      </c>
      <c r="B57" s="107">
        <f t="shared" ref="B57:E59" si="31">B63</f>
        <v>0</v>
      </c>
      <c r="C57" s="107">
        <f>H57+J57+L57+N57+P57+R57+T57+V57+X57+Z57+AB57+AD57</f>
        <v>0</v>
      </c>
      <c r="D57" s="107">
        <f t="shared" si="31"/>
        <v>0</v>
      </c>
      <c r="E57" s="107">
        <f t="shared" si="31"/>
        <v>0</v>
      </c>
      <c r="F57" s="107">
        <f t="shared" si="26"/>
        <v>0</v>
      </c>
      <c r="G57" s="107">
        <f t="shared" si="27"/>
        <v>0</v>
      </c>
      <c r="H57" s="107">
        <f t="shared" si="30"/>
        <v>0</v>
      </c>
      <c r="I57" s="107">
        <f t="shared" si="30"/>
        <v>0</v>
      </c>
      <c r="J57" s="107">
        <f t="shared" si="30"/>
        <v>0</v>
      </c>
      <c r="K57" s="107">
        <f t="shared" si="30"/>
        <v>0</v>
      </c>
      <c r="L57" s="107">
        <f t="shared" si="30"/>
        <v>0</v>
      </c>
      <c r="M57" s="107">
        <f t="shared" si="30"/>
        <v>0</v>
      </c>
      <c r="N57" s="107">
        <f t="shared" si="30"/>
        <v>0</v>
      </c>
      <c r="O57" s="107">
        <f t="shared" si="30"/>
        <v>0</v>
      </c>
      <c r="P57" s="107">
        <f t="shared" si="30"/>
        <v>0</v>
      </c>
      <c r="Q57" s="107">
        <f t="shared" si="30"/>
        <v>0</v>
      </c>
      <c r="R57" s="107">
        <f t="shared" si="30"/>
        <v>0</v>
      </c>
      <c r="S57" s="107">
        <f t="shared" si="30"/>
        <v>0</v>
      </c>
      <c r="T57" s="107">
        <f t="shared" si="30"/>
        <v>0</v>
      </c>
      <c r="U57" s="107">
        <f t="shared" si="30"/>
        <v>0</v>
      </c>
      <c r="V57" s="107">
        <f t="shared" si="30"/>
        <v>0</v>
      </c>
      <c r="W57" s="107">
        <f t="shared" si="30"/>
        <v>0</v>
      </c>
      <c r="X57" s="107">
        <f t="shared" si="30"/>
        <v>0</v>
      </c>
      <c r="Y57" s="107">
        <f t="shared" si="30"/>
        <v>0</v>
      </c>
      <c r="Z57" s="107">
        <f t="shared" si="30"/>
        <v>0</v>
      </c>
      <c r="AA57" s="107">
        <f t="shared" si="30"/>
        <v>0</v>
      </c>
      <c r="AB57" s="107">
        <f t="shared" si="30"/>
        <v>0</v>
      </c>
      <c r="AC57" s="107">
        <f t="shared" si="30"/>
        <v>0</v>
      </c>
      <c r="AD57" s="107">
        <f t="shared" si="30"/>
        <v>0</v>
      </c>
      <c r="AE57" s="107">
        <f t="shared" si="30"/>
        <v>0</v>
      </c>
      <c r="AF57" s="101"/>
      <c r="AG57" s="102">
        <f t="shared" si="3"/>
        <v>0</v>
      </c>
      <c r="AH57" s="156">
        <f t="shared" si="8"/>
        <v>0</v>
      </c>
    </row>
    <row r="58" spans="1:35" x14ac:dyDescent="0.3">
      <c r="A58" s="106" t="s">
        <v>33</v>
      </c>
      <c r="B58" s="107">
        <f t="shared" si="31"/>
        <v>98083.500549999997</v>
      </c>
      <c r="C58" s="107">
        <f>H58+J58+L58</f>
        <v>21487.603869999999</v>
      </c>
      <c r="D58" s="107">
        <f t="shared" si="31"/>
        <v>12844.432000000001</v>
      </c>
      <c r="E58" s="107">
        <f t="shared" si="31"/>
        <v>12844.432000000001</v>
      </c>
      <c r="F58" s="107">
        <f t="shared" si="26"/>
        <v>13.095405371928276</v>
      </c>
      <c r="G58" s="107">
        <f t="shared" si="27"/>
        <v>59.776008891958419</v>
      </c>
      <c r="H58" s="107">
        <f t="shared" si="30"/>
        <v>4928.5648700000002</v>
      </c>
      <c r="I58" s="107">
        <f t="shared" si="30"/>
        <v>1723.4670000000001</v>
      </c>
      <c r="J58" s="107">
        <f t="shared" si="30"/>
        <v>8010.7690000000002</v>
      </c>
      <c r="K58" s="107">
        <f t="shared" si="30"/>
        <v>5954.1570000000002</v>
      </c>
      <c r="L58" s="107">
        <f t="shared" si="30"/>
        <v>8548.27</v>
      </c>
      <c r="M58" s="107">
        <f t="shared" si="30"/>
        <v>5166.808</v>
      </c>
      <c r="N58" s="107">
        <f t="shared" si="30"/>
        <v>8565.9169999999995</v>
      </c>
      <c r="O58" s="107">
        <f t="shared" si="30"/>
        <v>0</v>
      </c>
      <c r="P58" s="107">
        <f t="shared" si="30"/>
        <v>8612.8829600000008</v>
      </c>
      <c r="Q58" s="107">
        <f t="shared" si="30"/>
        <v>0</v>
      </c>
      <c r="R58" s="107">
        <f t="shared" si="30"/>
        <v>8340.0191900000009</v>
      </c>
      <c r="S58" s="107">
        <f t="shared" si="30"/>
        <v>0</v>
      </c>
      <c r="T58" s="107">
        <f t="shared" si="30"/>
        <v>7980.2191899999998</v>
      </c>
      <c r="U58" s="107">
        <f t="shared" si="30"/>
        <v>0</v>
      </c>
      <c r="V58" s="107">
        <f t="shared" si="30"/>
        <v>8183.63202</v>
      </c>
      <c r="W58" s="107">
        <f t="shared" si="30"/>
        <v>0</v>
      </c>
      <c r="X58" s="107">
        <f t="shared" si="30"/>
        <v>7980.2191899999998</v>
      </c>
      <c r="Y58" s="107">
        <f t="shared" si="30"/>
        <v>0</v>
      </c>
      <c r="Z58" s="107">
        <f t="shared" si="30"/>
        <v>7989.6878100000004</v>
      </c>
      <c r="AA58" s="107">
        <f t="shared" si="30"/>
        <v>0</v>
      </c>
      <c r="AB58" s="107">
        <f t="shared" si="30"/>
        <v>8196.3011600000009</v>
      </c>
      <c r="AC58" s="107">
        <f t="shared" si="30"/>
        <v>0</v>
      </c>
      <c r="AD58" s="107">
        <f t="shared" si="30"/>
        <v>10747.01816</v>
      </c>
      <c r="AE58" s="107">
        <f t="shared" si="30"/>
        <v>0</v>
      </c>
      <c r="AF58" s="101"/>
      <c r="AG58" s="102">
        <f t="shared" si="3"/>
        <v>0</v>
      </c>
      <c r="AH58" s="156">
        <f t="shared" si="8"/>
        <v>8643.1718699999983</v>
      </c>
    </row>
    <row r="59" spans="1:35" x14ac:dyDescent="0.3">
      <c r="A59" s="106" t="s">
        <v>170</v>
      </c>
      <c r="B59" s="107">
        <f t="shared" si="31"/>
        <v>0</v>
      </c>
      <c r="C59" s="107">
        <f>H59+J59+L59+N59+P59+R59+T59+V59+X59+Z59+AB59+AD59</f>
        <v>0</v>
      </c>
      <c r="D59" s="107">
        <f t="shared" si="31"/>
        <v>0</v>
      </c>
      <c r="E59" s="107">
        <f t="shared" si="31"/>
        <v>0</v>
      </c>
      <c r="F59" s="107">
        <f t="shared" si="26"/>
        <v>0</v>
      </c>
      <c r="G59" s="107">
        <f t="shared" si="27"/>
        <v>0</v>
      </c>
      <c r="H59" s="107">
        <f t="shared" si="30"/>
        <v>0</v>
      </c>
      <c r="I59" s="107">
        <f t="shared" si="30"/>
        <v>0</v>
      </c>
      <c r="J59" s="107">
        <f t="shared" si="30"/>
        <v>0</v>
      </c>
      <c r="K59" s="107">
        <f t="shared" si="30"/>
        <v>0</v>
      </c>
      <c r="L59" s="107">
        <f t="shared" si="30"/>
        <v>0</v>
      </c>
      <c r="M59" s="107">
        <f t="shared" si="30"/>
        <v>0</v>
      </c>
      <c r="N59" s="107">
        <f t="shared" si="30"/>
        <v>0</v>
      </c>
      <c r="O59" s="107">
        <f t="shared" si="30"/>
        <v>0</v>
      </c>
      <c r="P59" s="107">
        <f t="shared" si="30"/>
        <v>0</v>
      </c>
      <c r="Q59" s="107">
        <f t="shared" si="30"/>
        <v>0</v>
      </c>
      <c r="R59" s="107">
        <f t="shared" si="30"/>
        <v>0</v>
      </c>
      <c r="S59" s="107">
        <f t="shared" si="30"/>
        <v>0</v>
      </c>
      <c r="T59" s="107">
        <f t="shared" si="30"/>
        <v>0</v>
      </c>
      <c r="U59" s="107">
        <f t="shared" si="30"/>
        <v>0</v>
      </c>
      <c r="V59" s="107">
        <f t="shared" si="30"/>
        <v>0</v>
      </c>
      <c r="W59" s="107">
        <f t="shared" si="30"/>
        <v>0</v>
      </c>
      <c r="X59" s="107">
        <f t="shared" si="30"/>
        <v>0</v>
      </c>
      <c r="Y59" s="107">
        <f t="shared" si="30"/>
        <v>0</v>
      </c>
      <c r="Z59" s="107">
        <f t="shared" si="30"/>
        <v>0</v>
      </c>
      <c r="AA59" s="107">
        <f t="shared" si="30"/>
        <v>0</v>
      </c>
      <c r="AB59" s="107">
        <f t="shared" si="30"/>
        <v>0</v>
      </c>
      <c r="AC59" s="107">
        <f t="shared" si="30"/>
        <v>0</v>
      </c>
      <c r="AD59" s="107">
        <f t="shared" si="30"/>
        <v>0</v>
      </c>
      <c r="AE59" s="107">
        <f t="shared" si="30"/>
        <v>0</v>
      </c>
      <c r="AF59" s="101"/>
      <c r="AG59" s="102">
        <f t="shared" si="3"/>
        <v>0</v>
      </c>
      <c r="AH59" s="156">
        <f t="shared" si="8"/>
        <v>0</v>
      </c>
    </row>
    <row r="60" spans="1:35" ht="101.25" x14ac:dyDescent="0.3">
      <c r="A60" s="108" t="s">
        <v>260</v>
      </c>
      <c r="B60" s="109"/>
      <c r="C60" s="110"/>
      <c r="D60" s="110"/>
      <c r="E60" s="110"/>
      <c r="F60" s="110"/>
      <c r="G60" s="110"/>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723" t="s">
        <v>548</v>
      </c>
      <c r="AG60" s="102">
        <f t="shared" si="3"/>
        <v>0</v>
      </c>
      <c r="AH60" s="156">
        <f t="shared" si="8"/>
        <v>0</v>
      </c>
    </row>
    <row r="61" spans="1:35" x14ac:dyDescent="0.3">
      <c r="A61" s="127" t="s">
        <v>31</v>
      </c>
      <c r="B61" s="113">
        <f>B63+B64+B62+B65</f>
        <v>98083.500549999997</v>
      </c>
      <c r="C61" s="113">
        <f>C63+C64+C62+C65</f>
        <v>21487.603869999999</v>
      </c>
      <c r="D61" s="113">
        <f>D63+D64+D62+D65</f>
        <v>12844.432000000001</v>
      </c>
      <c r="E61" s="113">
        <f>E63+E64+E62+E65</f>
        <v>12844.432000000001</v>
      </c>
      <c r="F61" s="113">
        <f>IFERROR(E61/B61*100,0)</f>
        <v>13.095405371928276</v>
      </c>
      <c r="G61" s="113">
        <f>IFERROR(E61/C61*100,0)</f>
        <v>59.776008891958419</v>
      </c>
      <c r="H61" s="113">
        <f t="shared" ref="H61:AE61" si="32">H63+H64+H62+H65</f>
        <v>4928.5648700000002</v>
      </c>
      <c r="I61" s="113">
        <f t="shared" si="32"/>
        <v>1723.4670000000001</v>
      </c>
      <c r="J61" s="113">
        <f t="shared" si="32"/>
        <v>8010.7690000000002</v>
      </c>
      <c r="K61" s="113">
        <f t="shared" si="32"/>
        <v>5954.1570000000002</v>
      </c>
      <c r="L61" s="113">
        <f t="shared" si="32"/>
        <v>8548.27</v>
      </c>
      <c r="M61" s="113">
        <f t="shared" si="32"/>
        <v>5166.808</v>
      </c>
      <c r="N61" s="113">
        <f t="shared" si="32"/>
        <v>8565.9169999999995</v>
      </c>
      <c r="O61" s="113">
        <f t="shared" si="32"/>
        <v>0</v>
      </c>
      <c r="P61" s="113">
        <f t="shared" si="32"/>
        <v>8612.8829600000008</v>
      </c>
      <c r="Q61" s="113">
        <f t="shared" si="32"/>
        <v>0</v>
      </c>
      <c r="R61" s="113">
        <f t="shared" si="32"/>
        <v>8340.0191900000009</v>
      </c>
      <c r="S61" s="113">
        <f t="shared" si="32"/>
        <v>0</v>
      </c>
      <c r="T61" s="113">
        <f t="shared" si="32"/>
        <v>7980.2191899999998</v>
      </c>
      <c r="U61" s="113">
        <f t="shared" si="32"/>
        <v>0</v>
      </c>
      <c r="V61" s="113">
        <f t="shared" si="32"/>
        <v>8183.63202</v>
      </c>
      <c r="W61" s="113">
        <f t="shared" si="32"/>
        <v>0</v>
      </c>
      <c r="X61" s="113">
        <f t="shared" si="32"/>
        <v>7980.2191899999998</v>
      </c>
      <c r="Y61" s="113">
        <f t="shared" si="32"/>
        <v>0</v>
      </c>
      <c r="Z61" s="113">
        <f t="shared" si="32"/>
        <v>7989.6878100000004</v>
      </c>
      <c r="AA61" s="113">
        <f t="shared" si="32"/>
        <v>0</v>
      </c>
      <c r="AB61" s="113">
        <f t="shared" si="32"/>
        <v>8196.3011600000009</v>
      </c>
      <c r="AC61" s="113">
        <f t="shared" si="32"/>
        <v>0</v>
      </c>
      <c r="AD61" s="113">
        <f t="shared" si="32"/>
        <v>10747.01816</v>
      </c>
      <c r="AE61" s="113">
        <f t="shared" si="32"/>
        <v>0</v>
      </c>
      <c r="AF61" s="29"/>
      <c r="AG61" s="102">
        <f t="shared" si="3"/>
        <v>0</v>
      </c>
      <c r="AH61" s="156">
        <f t="shared" si="8"/>
        <v>8643.1718699999983</v>
      </c>
    </row>
    <row r="62" spans="1:35" x14ac:dyDescent="0.3">
      <c r="A62" s="128" t="s">
        <v>169</v>
      </c>
      <c r="B62" s="116"/>
      <c r="C62" s="117"/>
      <c r="D62" s="118"/>
      <c r="E62" s="117"/>
      <c r="F62" s="116"/>
      <c r="G62" s="116"/>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29"/>
      <c r="AG62" s="102">
        <f t="shared" si="3"/>
        <v>0</v>
      </c>
      <c r="AH62" s="156">
        <f t="shared" si="8"/>
        <v>0</v>
      </c>
    </row>
    <row r="63" spans="1:35" x14ac:dyDescent="0.3">
      <c r="A63" s="128" t="s">
        <v>32</v>
      </c>
      <c r="B63" s="116"/>
      <c r="C63" s="117"/>
      <c r="D63" s="118"/>
      <c r="E63" s="117"/>
      <c r="F63" s="116"/>
      <c r="G63" s="116"/>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29"/>
      <c r="AG63" s="102">
        <f t="shared" si="3"/>
        <v>0</v>
      </c>
      <c r="AH63" s="156">
        <f t="shared" si="8"/>
        <v>0</v>
      </c>
    </row>
    <row r="64" spans="1:35" x14ac:dyDescent="0.3">
      <c r="A64" s="115" t="s">
        <v>33</v>
      </c>
      <c r="B64" s="803">
        <f>J64+L64+N64+P64+R64+T64+V64+X64+Z64+AB64+AD64+H64</f>
        <v>98083.500549999997</v>
      </c>
      <c r="C64" s="804">
        <f>H64+J64+L64</f>
        <v>21487.603869999999</v>
      </c>
      <c r="D64" s="118">
        <f>E64</f>
        <v>12844.432000000001</v>
      </c>
      <c r="E64" s="804">
        <f>SUM(I64,K64,M64,O64,Q64,S64,U64,W64,Y64,AA64,AC64,AE64)</f>
        <v>12844.432000000001</v>
      </c>
      <c r="F64" s="116">
        <f>IFERROR(E64/B64*100,0)</f>
        <v>13.095405371928276</v>
      </c>
      <c r="G64" s="116">
        <f>IFERROR(E64/C64*100,0)</f>
        <v>59.776008891958419</v>
      </c>
      <c r="H64" s="111">
        <v>4928.5648700000002</v>
      </c>
      <c r="I64" s="111">
        <v>1723.4670000000001</v>
      </c>
      <c r="J64" s="111">
        <v>8010.7690000000002</v>
      </c>
      <c r="K64" s="111">
        <v>5954.1570000000002</v>
      </c>
      <c r="L64" s="111">
        <v>8548.27</v>
      </c>
      <c r="M64" s="111">
        <v>5166.808</v>
      </c>
      <c r="N64" s="111">
        <v>8565.9169999999995</v>
      </c>
      <c r="O64" s="111"/>
      <c r="P64" s="111">
        <v>8612.8829600000008</v>
      </c>
      <c r="Q64" s="111"/>
      <c r="R64" s="111">
        <v>8340.0191900000009</v>
      </c>
      <c r="S64" s="111"/>
      <c r="T64" s="111">
        <v>7980.2191899999998</v>
      </c>
      <c r="U64" s="111"/>
      <c r="V64" s="111">
        <v>8183.63202</v>
      </c>
      <c r="W64" s="111"/>
      <c r="X64" s="111">
        <v>7980.2191899999998</v>
      </c>
      <c r="Y64" s="111"/>
      <c r="Z64" s="111">
        <v>7989.6878100000004</v>
      </c>
      <c r="AA64" s="111"/>
      <c r="AB64" s="111">
        <v>8196.3011600000009</v>
      </c>
      <c r="AC64" s="111"/>
      <c r="AD64" s="111">
        <v>10747.01816</v>
      </c>
      <c r="AE64" s="111"/>
      <c r="AF64" s="29"/>
      <c r="AG64" s="102">
        <f t="shared" si="3"/>
        <v>0</v>
      </c>
      <c r="AH64" s="798">
        <f t="shared" si="8"/>
        <v>8643.1718699999983</v>
      </c>
    </row>
    <row r="65" spans="1:35" x14ac:dyDescent="0.3">
      <c r="A65" s="115" t="s">
        <v>170</v>
      </c>
      <c r="B65" s="116"/>
      <c r="C65" s="117"/>
      <c r="D65" s="118"/>
      <c r="E65" s="117"/>
      <c r="F65" s="116"/>
      <c r="G65" s="116"/>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29"/>
      <c r="AG65" s="102">
        <f t="shared" si="3"/>
        <v>0</v>
      </c>
      <c r="AH65" s="156">
        <f t="shared" si="8"/>
        <v>0</v>
      </c>
    </row>
    <row r="66" spans="1:35" ht="75" x14ac:dyDescent="0.3">
      <c r="A66" s="125" t="s">
        <v>261</v>
      </c>
      <c r="B66" s="104"/>
      <c r="C66" s="126"/>
      <c r="D66" s="126"/>
      <c r="E66" s="126"/>
      <c r="F66" s="126"/>
      <c r="G66" s="126"/>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1"/>
      <c r="AG66" s="102">
        <f t="shared" si="3"/>
        <v>0</v>
      </c>
      <c r="AH66" s="156">
        <f t="shared" si="8"/>
        <v>0</v>
      </c>
    </row>
    <row r="67" spans="1:35" x14ac:dyDescent="0.3">
      <c r="A67" s="129" t="s">
        <v>31</v>
      </c>
      <c r="B67" s="104">
        <f>B68+B69+B70+B71</f>
        <v>3491.4</v>
      </c>
      <c r="C67" s="104">
        <f>C68+C69+C70</f>
        <v>3491.4</v>
      </c>
      <c r="D67" s="104">
        <f>D68+D69+D70</f>
        <v>1900</v>
      </c>
      <c r="E67" s="104">
        <f>E68+E69+E70</f>
        <v>1900</v>
      </c>
      <c r="F67" s="105">
        <f t="shared" ref="F67:F71" si="33">IFERROR(E67/B67*100,0)</f>
        <v>54.419430600905081</v>
      </c>
      <c r="G67" s="105">
        <f t="shared" ref="G67:G71" si="34">IFERROR(E67/C67*100,0)</f>
        <v>54.419430600905081</v>
      </c>
      <c r="H67" s="104">
        <f>H68+H69+H70+H71</f>
        <v>1750</v>
      </c>
      <c r="I67" s="104">
        <f t="shared" ref="I67:AE67" si="35">I68+I69+I70+I71</f>
        <v>1750</v>
      </c>
      <c r="J67" s="104">
        <f t="shared" si="35"/>
        <v>1741.4</v>
      </c>
      <c r="K67" s="104">
        <f>SUM(K70)</f>
        <v>150</v>
      </c>
      <c r="L67" s="104">
        <f>SUM(L70)</f>
        <v>0</v>
      </c>
      <c r="M67" s="104">
        <f>SUM(M70)</f>
        <v>0</v>
      </c>
      <c r="N67" s="104">
        <f t="shared" si="35"/>
        <v>0</v>
      </c>
      <c r="O67" s="104">
        <f t="shared" si="35"/>
        <v>0</v>
      </c>
      <c r="P67" s="104">
        <f t="shared" si="35"/>
        <v>0</v>
      </c>
      <c r="Q67" s="104">
        <f t="shared" si="35"/>
        <v>0</v>
      </c>
      <c r="R67" s="104">
        <f t="shared" si="35"/>
        <v>0</v>
      </c>
      <c r="S67" s="104">
        <f t="shared" si="35"/>
        <v>0</v>
      </c>
      <c r="T67" s="104">
        <f t="shared" si="35"/>
        <v>0</v>
      </c>
      <c r="U67" s="104">
        <f t="shared" si="35"/>
        <v>0</v>
      </c>
      <c r="V67" s="104">
        <f t="shared" si="35"/>
        <v>0</v>
      </c>
      <c r="W67" s="104">
        <f t="shared" si="35"/>
        <v>0</v>
      </c>
      <c r="X67" s="104">
        <f t="shared" si="35"/>
        <v>0</v>
      </c>
      <c r="Y67" s="104">
        <f t="shared" si="35"/>
        <v>0</v>
      </c>
      <c r="Z67" s="104">
        <f t="shared" si="35"/>
        <v>0</v>
      </c>
      <c r="AA67" s="104">
        <f t="shared" si="35"/>
        <v>0</v>
      </c>
      <c r="AB67" s="104">
        <f t="shared" si="35"/>
        <v>0</v>
      </c>
      <c r="AC67" s="104">
        <f t="shared" si="35"/>
        <v>0</v>
      </c>
      <c r="AD67" s="104">
        <f t="shared" si="35"/>
        <v>0</v>
      </c>
      <c r="AE67" s="104">
        <f t="shared" si="35"/>
        <v>0</v>
      </c>
      <c r="AF67" s="101"/>
      <c r="AG67" s="102">
        <f t="shared" si="3"/>
        <v>0</v>
      </c>
      <c r="AH67" s="156">
        <f t="shared" si="8"/>
        <v>1591.4</v>
      </c>
    </row>
    <row r="68" spans="1:35" x14ac:dyDescent="0.3">
      <c r="A68" s="130" t="s">
        <v>169</v>
      </c>
      <c r="B68" s="107">
        <f t="shared" ref="B68:B71" si="36">J68+L68+N68+P68+R68+T68+V68+X68+Z68+AB68+AD68+H68</f>
        <v>0</v>
      </c>
      <c r="C68" s="107">
        <f>H68+J68+L68+N68+P68+R68+T68+V68+X68+Z68+AB68+AD68</f>
        <v>0</v>
      </c>
      <c r="D68" s="107">
        <f t="shared" ref="D68:D71" si="37">E68</f>
        <v>0</v>
      </c>
      <c r="E68" s="107">
        <f t="shared" ref="E68:E71" si="38">SUM(I68,K68,M68,O68,Q68,S68,U68,W68,Y68,AA68,AC68,AE68)</f>
        <v>0</v>
      </c>
      <c r="F68" s="107">
        <f t="shared" si="33"/>
        <v>0</v>
      </c>
      <c r="G68" s="107">
        <f t="shared" si="34"/>
        <v>0</v>
      </c>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1"/>
      <c r="AG68" s="102">
        <f t="shared" si="3"/>
        <v>0</v>
      </c>
      <c r="AH68" s="156">
        <f t="shared" si="8"/>
        <v>0</v>
      </c>
    </row>
    <row r="69" spans="1:35" x14ac:dyDescent="0.3">
      <c r="A69" s="130" t="s">
        <v>32</v>
      </c>
      <c r="B69" s="107">
        <f t="shared" si="36"/>
        <v>0</v>
      </c>
      <c r="C69" s="107">
        <f>H69+J69+L69+N69+P69+R69+T69+V69+X69+Z69+AB69+AD69</f>
        <v>0</v>
      </c>
      <c r="D69" s="107">
        <f t="shared" si="37"/>
        <v>0</v>
      </c>
      <c r="E69" s="107">
        <f t="shared" si="38"/>
        <v>0</v>
      </c>
      <c r="F69" s="107">
        <f t="shared" si="33"/>
        <v>0</v>
      </c>
      <c r="G69" s="107">
        <f t="shared" si="34"/>
        <v>0</v>
      </c>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1"/>
      <c r="AG69" s="102">
        <f t="shared" si="3"/>
        <v>0</v>
      </c>
      <c r="AH69" s="156">
        <f t="shared" si="8"/>
        <v>0</v>
      </c>
    </row>
    <row r="70" spans="1:35" ht="81.75" customHeight="1" x14ac:dyDescent="0.3">
      <c r="A70" s="130" t="s">
        <v>33</v>
      </c>
      <c r="B70" s="805">
        <f>J70+L70+N70+P70+R70+T70+V70+X70+Z70+AB70+AD70+H70</f>
        <v>3491.4</v>
      </c>
      <c r="C70" s="805">
        <f>H70+J70+L70</f>
        <v>3491.4</v>
      </c>
      <c r="D70" s="107">
        <f t="shared" si="37"/>
        <v>1900</v>
      </c>
      <c r="E70" s="803">
        <f t="shared" si="38"/>
        <v>1900</v>
      </c>
      <c r="F70" s="107">
        <f t="shared" si="33"/>
        <v>54.419430600905081</v>
      </c>
      <c r="G70" s="107">
        <f t="shared" si="34"/>
        <v>54.419430600905081</v>
      </c>
      <c r="H70" s="107">
        <v>1750</v>
      </c>
      <c r="I70" s="736">
        <v>1750</v>
      </c>
      <c r="J70" s="107">
        <f>150+1591.4</f>
        <v>1741.4</v>
      </c>
      <c r="K70" s="107">
        <v>150</v>
      </c>
      <c r="L70" s="107"/>
      <c r="M70" s="107"/>
      <c r="N70" s="107"/>
      <c r="O70" s="107"/>
      <c r="P70" s="107"/>
      <c r="Q70" s="107"/>
      <c r="R70" s="107"/>
      <c r="S70" s="107"/>
      <c r="T70" s="107"/>
      <c r="U70" s="107"/>
      <c r="V70" s="107"/>
      <c r="W70" s="107"/>
      <c r="X70" s="107"/>
      <c r="Y70" s="107"/>
      <c r="Z70" s="107"/>
      <c r="AA70" s="107"/>
      <c r="AB70" s="107"/>
      <c r="AC70" s="107"/>
      <c r="AD70" s="107"/>
      <c r="AE70" s="107"/>
      <c r="AF70" s="810" t="s">
        <v>597</v>
      </c>
      <c r="AG70" s="102">
        <f t="shared" si="3"/>
        <v>0</v>
      </c>
      <c r="AH70" s="806">
        <f t="shared" si="8"/>
        <v>1591.4</v>
      </c>
      <c r="AI70" s="808">
        <v>1591</v>
      </c>
    </row>
    <row r="71" spans="1:35" x14ac:dyDescent="0.3">
      <c r="A71" s="130" t="s">
        <v>170</v>
      </c>
      <c r="B71" s="107">
        <f t="shared" si="36"/>
        <v>0</v>
      </c>
      <c r="C71" s="107">
        <f>H71+J71+L71+N71+P71+R71+T71+V71+X71+Z71+AB71+AD71</f>
        <v>0</v>
      </c>
      <c r="D71" s="107">
        <f t="shared" si="37"/>
        <v>0</v>
      </c>
      <c r="E71" s="107">
        <f t="shared" si="38"/>
        <v>0</v>
      </c>
      <c r="F71" s="107">
        <f t="shared" si="33"/>
        <v>0</v>
      </c>
      <c r="G71" s="107">
        <f t="shared" si="34"/>
        <v>0</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1"/>
      <c r="AG71" s="102">
        <f t="shared" si="3"/>
        <v>0</v>
      </c>
      <c r="AH71" s="156">
        <f t="shared" si="8"/>
        <v>0</v>
      </c>
    </row>
    <row r="72" spans="1:35" ht="56.25" x14ac:dyDescent="0.3">
      <c r="A72" s="125" t="s">
        <v>262</v>
      </c>
      <c r="B72" s="104"/>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01"/>
      <c r="AG72" s="102">
        <f t="shared" si="3"/>
        <v>0</v>
      </c>
      <c r="AH72" s="156">
        <f t="shared" si="8"/>
        <v>0</v>
      </c>
    </row>
    <row r="73" spans="1:35" x14ac:dyDescent="0.3">
      <c r="A73" s="129" t="s">
        <v>31</v>
      </c>
      <c r="B73" s="104">
        <f>B74+B75+B76+B77</f>
        <v>5574.1052600000003</v>
      </c>
      <c r="C73" s="104">
        <f>C74+C75+C76</f>
        <v>0</v>
      </c>
      <c r="D73" s="104">
        <f>D74+D75+D76</f>
        <v>0</v>
      </c>
      <c r="E73" s="104">
        <f>E74+E75+E76</f>
        <v>0</v>
      </c>
      <c r="F73" s="104">
        <f t="shared" ref="F73:F75" si="39">IFERROR(E73/B73*100,0)</f>
        <v>0</v>
      </c>
      <c r="G73" s="104">
        <f t="shared" ref="G73:G75" si="40">IFERROR(E73/C73*100,0)</f>
        <v>0</v>
      </c>
      <c r="H73" s="104">
        <f>H74+H75+H76</f>
        <v>0</v>
      </c>
      <c r="I73" s="104">
        <f t="shared" ref="I73:AE73" si="41">I74+I75+I76</f>
        <v>0</v>
      </c>
      <c r="J73" s="104">
        <f t="shared" si="41"/>
        <v>0</v>
      </c>
      <c r="K73" s="104">
        <f t="shared" si="41"/>
        <v>0</v>
      </c>
      <c r="L73" s="104">
        <f t="shared" si="41"/>
        <v>0</v>
      </c>
      <c r="M73" s="104">
        <f t="shared" si="41"/>
        <v>0</v>
      </c>
      <c r="N73" s="104">
        <f t="shared" si="41"/>
        <v>0</v>
      </c>
      <c r="O73" s="104">
        <f t="shared" si="41"/>
        <v>0</v>
      </c>
      <c r="P73" s="104">
        <f t="shared" si="41"/>
        <v>0</v>
      </c>
      <c r="Q73" s="104">
        <f t="shared" si="41"/>
        <v>0</v>
      </c>
      <c r="R73" s="104">
        <f t="shared" si="41"/>
        <v>0</v>
      </c>
      <c r="S73" s="104">
        <f t="shared" si="41"/>
        <v>0</v>
      </c>
      <c r="T73" s="104">
        <f t="shared" si="41"/>
        <v>0</v>
      </c>
      <c r="U73" s="104">
        <f t="shared" si="41"/>
        <v>0</v>
      </c>
      <c r="V73" s="104">
        <f t="shared" si="41"/>
        <v>0</v>
      </c>
      <c r="W73" s="104">
        <f t="shared" si="41"/>
        <v>0</v>
      </c>
      <c r="X73" s="104">
        <f t="shared" si="41"/>
        <v>0</v>
      </c>
      <c r="Y73" s="104">
        <f t="shared" si="41"/>
        <v>0</v>
      </c>
      <c r="Z73" s="104">
        <f t="shared" si="41"/>
        <v>0</v>
      </c>
      <c r="AA73" s="104">
        <f t="shared" si="41"/>
        <v>0</v>
      </c>
      <c r="AB73" s="104">
        <f t="shared" si="41"/>
        <v>0</v>
      </c>
      <c r="AC73" s="104">
        <f t="shared" si="41"/>
        <v>0</v>
      </c>
      <c r="AD73" s="104">
        <f t="shared" si="41"/>
        <v>5574.1052600000003</v>
      </c>
      <c r="AE73" s="104">
        <f t="shared" si="41"/>
        <v>0</v>
      </c>
      <c r="AF73" s="101"/>
      <c r="AG73" s="102">
        <f t="shared" si="3"/>
        <v>0</v>
      </c>
      <c r="AH73" s="156">
        <f t="shared" si="8"/>
        <v>0</v>
      </c>
    </row>
    <row r="74" spans="1:35" x14ac:dyDescent="0.3">
      <c r="A74" s="130" t="s">
        <v>169</v>
      </c>
      <c r="B74" s="107">
        <f>B80+B86</f>
        <v>0</v>
      </c>
      <c r="C74" s="107">
        <f t="shared" ref="C74:E74" si="42">C80+C86</f>
        <v>0</v>
      </c>
      <c r="D74" s="107">
        <f t="shared" si="42"/>
        <v>0</v>
      </c>
      <c r="E74" s="107">
        <f t="shared" si="42"/>
        <v>0</v>
      </c>
      <c r="F74" s="107">
        <f t="shared" si="39"/>
        <v>0</v>
      </c>
      <c r="G74" s="107">
        <f t="shared" si="40"/>
        <v>0</v>
      </c>
      <c r="H74" s="107">
        <f t="shared" ref="H74:AE77" si="43">H80+H86</f>
        <v>0</v>
      </c>
      <c r="I74" s="107">
        <f t="shared" si="43"/>
        <v>0</v>
      </c>
      <c r="J74" s="107">
        <f t="shared" si="43"/>
        <v>0</v>
      </c>
      <c r="K74" s="107">
        <f t="shared" si="43"/>
        <v>0</v>
      </c>
      <c r="L74" s="107">
        <f t="shared" si="43"/>
        <v>0</v>
      </c>
      <c r="M74" s="107">
        <f t="shared" si="43"/>
        <v>0</v>
      </c>
      <c r="N74" s="107">
        <f t="shared" si="43"/>
        <v>0</v>
      </c>
      <c r="O74" s="107">
        <f t="shared" si="43"/>
        <v>0</v>
      </c>
      <c r="P74" s="107">
        <f t="shared" si="43"/>
        <v>0</v>
      </c>
      <c r="Q74" s="107">
        <f t="shared" si="43"/>
        <v>0</v>
      </c>
      <c r="R74" s="107">
        <f t="shared" si="43"/>
        <v>0</v>
      </c>
      <c r="S74" s="107">
        <f t="shared" si="43"/>
        <v>0</v>
      </c>
      <c r="T74" s="107">
        <f t="shared" si="43"/>
        <v>0</v>
      </c>
      <c r="U74" s="107">
        <f t="shared" si="43"/>
        <v>0</v>
      </c>
      <c r="V74" s="107">
        <f t="shared" si="43"/>
        <v>0</v>
      </c>
      <c r="W74" s="107">
        <f t="shared" si="43"/>
        <v>0</v>
      </c>
      <c r="X74" s="107">
        <f t="shared" si="43"/>
        <v>0</v>
      </c>
      <c r="Y74" s="107">
        <f t="shared" si="43"/>
        <v>0</v>
      </c>
      <c r="Z74" s="107">
        <f t="shared" si="43"/>
        <v>0</v>
      </c>
      <c r="AA74" s="107">
        <f t="shared" si="43"/>
        <v>0</v>
      </c>
      <c r="AB74" s="107">
        <f t="shared" si="43"/>
        <v>0</v>
      </c>
      <c r="AC74" s="107">
        <f t="shared" si="43"/>
        <v>0</v>
      </c>
      <c r="AD74" s="107">
        <f t="shared" si="43"/>
        <v>0</v>
      </c>
      <c r="AE74" s="107">
        <f t="shared" si="43"/>
        <v>0</v>
      </c>
      <c r="AF74" s="101"/>
      <c r="AG74" s="102">
        <f t="shared" si="3"/>
        <v>0</v>
      </c>
      <c r="AH74" s="156">
        <f t="shared" si="8"/>
        <v>0</v>
      </c>
    </row>
    <row r="75" spans="1:35" x14ac:dyDescent="0.3">
      <c r="A75" s="130" t="s">
        <v>32</v>
      </c>
      <c r="B75" s="107">
        <f t="shared" ref="B75:E77" si="44">B81+B87</f>
        <v>0</v>
      </c>
      <c r="C75" s="107">
        <f t="shared" si="44"/>
        <v>0</v>
      </c>
      <c r="D75" s="107">
        <f t="shared" si="44"/>
        <v>0</v>
      </c>
      <c r="E75" s="107">
        <f t="shared" si="44"/>
        <v>0</v>
      </c>
      <c r="F75" s="107">
        <f t="shared" si="39"/>
        <v>0</v>
      </c>
      <c r="G75" s="107">
        <f t="shared" si="40"/>
        <v>0</v>
      </c>
      <c r="H75" s="107">
        <f t="shared" si="43"/>
        <v>0</v>
      </c>
      <c r="I75" s="107">
        <f t="shared" si="43"/>
        <v>0</v>
      </c>
      <c r="J75" s="107">
        <f t="shared" si="43"/>
        <v>0</v>
      </c>
      <c r="K75" s="107">
        <f t="shared" si="43"/>
        <v>0</v>
      </c>
      <c r="L75" s="107">
        <f t="shared" si="43"/>
        <v>0</v>
      </c>
      <c r="M75" s="107">
        <f t="shared" si="43"/>
        <v>0</v>
      </c>
      <c r="N75" s="107">
        <f t="shared" si="43"/>
        <v>0</v>
      </c>
      <c r="O75" s="107">
        <f t="shared" si="43"/>
        <v>0</v>
      </c>
      <c r="P75" s="107">
        <f t="shared" si="43"/>
        <v>0</v>
      </c>
      <c r="Q75" s="107">
        <f t="shared" si="43"/>
        <v>0</v>
      </c>
      <c r="R75" s="107">
        <f t="shared" si="43"/>
        <v>0</v>
      </c>
      <c r="S75" s="107">
        <f t="shared" si="43"/>
        <v>0</v>
      </c>
      <c r="T75" s="107">
        <f t="shared" si="43"/>
        <v>0</v>
      </c>
      <c r="U75" s="107">
        <f t="shared" si="43"/>
        <v>0</v>
      </c>
      <c r="V75" s="107">
        <f t="shared" si="43"/>
        <v>0</v>
      </c>
      <c r="W75" s="107">
        <f t="shared" si="43"/>
        <v>0</v>
      </c>
      <c r="X75" s="107">
        <f t="shared" si="43"/>
        <v>0</v>
      </c>
      <c r="Y75" s="107">
        <f t="shared" si="43"/>
        <v>0</v>
      </c>
      <c r="Z75" s="107">
        <f t="shared" si="43"/>
        <v>0</v>
      </c>
      <c r="AA75" s="107">
        <f t="shared" si="43"/>
        <v>0</v>
      </c>
      <c r="AB75" s="107">
        <f t="shared" si="43"/>
        <v>0</v>
      </c>
      <c r="AC75" s="107">
        <f t="shared" si="43"/>
        <v>0</v>
      </c>
      <c r="AD75" s="107">
        <f t="shared" si="43"/>
        <v>0</v>
      </c>
      <c r="AE75" s="107">
        <f t="shared" si="43"/>
        <v>0</v>
      </c>
      <c r="AF75" s="101"/>
      <c r="AG75" s="102">
        <f t="shared" si="3"/>
        <v>0</v>
      </c>
      <c r="AH75" s="156">
        <f t="shared" si="8"/>
        <v>0</v>
      </c>
    </row>
    <row r="76" spans="1:35" x14ac:dyDescent="0.3">
      <c r="A76" s="130" t="s">
        <v>33</v>
      </c>
      <c r="B76" s="107">
        <f t="shared" si="44"/>
        <v>5574.1052600000003</v>
      </c>
      <c r="C76" s="107">
        <f>H76+J76+L76</f>
        <v>0</v>
      </c>
      <c r="D76" s="107">
        <f t="shared" si="44"/>
        <v>0</v>
      </c>
      <c r="E76" s="107">
        <f t="shared" si="44"/>
        <v>0</v>
      </c>
      <c r="F76" s="107">
        <f>IFERROR(E76/B76*100,0)</f>
        <v>0</v>
      </c>
      <c r="G76" s="107">
        <f>IFERROR(E76/C76*100,0)</f>
        <v>0</v>
      </c>
      <c r="H76" s="107">
        <f t="shared" si="43"/>
        <v>0</v>
      </c>
      <c r="I76" s="107">
        <f t="shared" si="43"/>
        <v>0</v>
      </c>
      <c r="J76" s="107">
        <f t="shared" si="43"/>
        <v>0</v>
      </c>
      <c r="K76" s="107">
        <f t="shared" si="43"/>
        <v>0</v>
      </c>
      <c r="L76" s="107">
        <f t="shared" si="43"/>
        <v>0</v>
      </c>
      <c r="M76" s="107">
        <f t="shared" si="43"/>
        <v>0</v>
      </c>
      <c r="N76" s="107">
        <f t="shared" si="43"/>
        <v>0</v>
      </c>
      <c r="O76" s="107">
        <f t="shared" si="43"/>
        <v>0</v>
      </c>
      <c r="P76" s="107">
        <f t="shared" si="43"/>
        <v>0</v>
      </c>
      <c r="Q76" s="107">
        <f t="shared" si="43"/>
        <v>0</v>
      </c>
      <c r="R76" s="107">
        <f t="shared" si="43"/>
        <v>0</v>
      </c>
      <c r="S76" s="107">
        <f t="shared" si="43"/>
        <v>0</v>
      </c>
      <c r="T76" s="107">
        <f t="shared" si="43"/>
        <v>0</v>
      </c>
      <c r="U76" s="107">
        <f t="shared" si="43"/>
        <v>0</v>
      </c>
      <c r="V76" s="107">
        <f t="shared" si="43"/>
        <v>0</v>
      </c>
      <c r="W76" s="107">
        <f t="shared" si="43"/>
        <v>0</v>
      </c>
      <c r="X76" s="107">
        <f t="shared" si="43"/>
        <v>0</v>
      </c>
      <c r="Y76" s="107">
        <f t="shared" si="43"/>
        <v>0</v>
      </c>
      <c r="Z76" s="107">
        <f t="shared" si="43"/>
        <v>0</v>
      </c>
      <c r="AA76" s="107">
        <f t="shared" si="43"/>
        <v>0</v>
      </c>
      <c r="AB76" s="107">
        <f t="shared" si="43"/>
        <v>0</v>
      </c>
      <c r="AC76" s="107">
        <f t="shared" si="43"/>
        <v>0</v>
      </c>
      <c r="AD76" s="107">
        <f t="shared" si="43"/>
        <v>5574.1052600000003</v>
      </c>
      <c r="AE76" s="107">
        <f t="shared" si="43"/>
        <v>0</v>
      </c>
      <c r="AF76" s="101"/>
      <c r="AG76" s="102">
        <f t="shared" ref="AG76:AG139" si="45">B76-H76-J76-L76-N76-P76-R76-T76-V76-X76-Z76-AB76-AD76</f>
        <v>0</v>
      </c>
      <c r="AH76" s="156">
        <f t="shared" si="8"/>
        <v>0</v>
      </c>
    </row>
    <row r="77" spans="1:35" x14ac:dyDescent="0.3">
      <c r="A77" s="130" t="s">
        <v>170</v>
      </c>
      <c r="B77" s="107">
        <f t="shared" si="44"/>
        <v>0</v>
      </c>
      <c r="C77" s="107">
        <f t="shared" si="44"/>
        <v>0</v>
      </c>
      <c r="D77" s="107">
        <f t="shared" si="44"/>
        <v>0</v>
      </c>
      <c r="E77" s="107">
        <f t="shared" si="44"/>
        <v>0</v>
      </c>
      <c r="F77" s="107">
        <f t="shared" ref="F77" si="46">IFERROR(E77/B77*100,0)</f>
        <v>0</v>
      </c>
      <c r="G77" s="107">
        <f t="shared" ref="G77" si="47">IFERROR(E77/C77*100,0)</f>
        <v>0</v>
      </c>
      <c r="H77" s="107">
        <f t="shared" si="43"/>
        <v>0</v>
      </c>
      <c r="I77" s="107">
        <f t="shared" si="43"/>
        <v>0</v>
      </c>
      <c r="J77" s="107">
        <f t="shared" si="43"/>
        <v>0</v>
      </c>
      <c r="K77" s="107">
        <f t="shared" si="43"/>
        <v>0</v>
      </c>
      <c r="L77" s="107">
        <f t="shared" si="43"/>
        <v>0</v>
      </c>
      <c r="M77" s="107">
        <f t="shared" si="43"/>
        <v>0</v>
      </c>
      <c r="N77" s="107">
        <f t="shared" si="43"/>
        <v>0</v>
      </c>
      <c r="O77" s="107">
        <f t="shared" si="43"/>
        <v>0</v>
      </c>
      <c r="P77" s="107">
        <f t="shared" si="43"/>
        <v>0</v>
      </c>
      <c r="Q77" s="107">
        <f t="shared" si="43"/>
        <v>0</v>
      </c>
      <c r="R77" s="107">
        <f t="shared" si="43"/>
        <v>0</v>
      </c>
      <c r="S77" s="107">
        <f t="shared" si="43"/>
        <v>0</v>
      </c>
      <c r="T77" s="107">
        <f t="shared" si="43"/>
        <v>0</v>
      </c>
      <c r="U77" s="107">
        <f t="shared" si="43"/>
        <v>0</v>
      </c>
      <c r="V77" s="107">
        <f t="shared" si="43"/>
        <v>0</v>
      </c>
      <c r="W77" s="107">
        <f t="shared" si="43"/>
        <v>0</v>
      </c>
      <c r="X77" s="107">
        <f t="shared" si="43"/>
        <v>0</v>
      </c>
      <c r="Y77" s="107">
        <f t="shared" si="43"/>
        <v>0</v>
      </c>
      <c r="Z77" s="107">
        <f t="shared" si="43"/>
        <v>0</v>
      </c>
      <c r="AA77" s="107">
        <f t="shared" si="43"/>
        <v>0</v>
      </c>
      <c r="AB77" s="107">
        <f t="shared" si="43"/>
        <v>0</v>
      </c>
      <c r="AC77" s="107">
        <f t="shared" si="43"/>
        <v>0</v>
      </c>
      <c r="AD77" s="107">
        <f t="shared" si="43"/>
        <v>0</v>
      </c>
      <c r="AE77" s="107">
        <f t="shared" si="43"/>
        <v>0</v>
      </c>
      <c r="AF77" s="101"/>
      <c r="AG77" s="102">
        <f t="shared" si="45"/>
        <v>0</v>
      </c>
      <c r="AH77" s="156">
        <f t="shared" ref="AH77:AH140" si="48">C77-E77</f>
        <v>0</v>
      </c>
    </row>
    <row r="78" spans="1:35" ht="292.5" x14ac:dyDescent="0.3">
      <c r="A78" s="108" t="s">
        <v>263</v>
      </c>
      <c r="B78" s="131"/>
      <c r="C78" s="132"/>
      <c r="D78" s="132"/>
      <c r="E78" s="132"/>
      <c r="F78" s="132"/>
      <c r="G78" s="132"/>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719" t="s">
        <v>547</v>
      </c>
      <c r="AG78" s="102">
        <f t="shared" si="45"/>
        <v>0</v>
      </c>
      <c r="AH78" s="156">
        <f t="shared" si="48"/>
        <v>0</v>
      </c>
    </row>
    <row r="79" spans="1:35" x14ac:dyDescent="0.3">
      <c r="A79" s="112" t="s">
        <v>31</v>
      </c>
      <c r="B79" s="113">
        <f>B81+B82+B80+B83</f>
        <v>2849.7052600000002</v>
      </c>
      <c r="C79" s="113">
        <f>C81+C82+C80+C83</f>
        <v>0</v>
      </c>
      <c r="D79" s="113">
        <f>D81+D82+D80+D83</f>
        <v>0</v>
      </c>
      <c r="E79" s="113">
        <f>E81+E82+E80+E83</f>
        <v>0</v>
      </c>
      <c r="F79" s="113">
        <f>IFERROR(E79/B79*100,0)</f>
        <v>0</v>
      </c>
      <c r="G79" s="113">
        <f>IFERROR(E79/C79*100,0)</f>
        <v>0</v>
      </c>
      <c r="H79" s="113">
        <f t="shared" ref="H79:AE79" si="49">H81+H82+H80+H83</f>
        <v>0</v>
      </c>
      <c r="I79" s="113">
        <f t="shared" si="49"/>
        <v>0</v>
      </c>
      <c r="J79" s="113">
        <f t="shared" si="49"/>
        <v>0</v>
      </c>
      <c r="K79" s="113">
        <f t="shared" si="49"/>
        <v>0</v>
      </c>
      <c r="L79" s="113">
        <f t="shared" si="49"/>
        <v>0</v>
      </c>
      <c r="M79" s="113">
        <f t="shared" si="49"/>
        <v>0</v>
      </c>
      <c r="N79" s="113">
        <f t="shared" si="49"/>
        <v>0</v>
      </c>
      <c r="O79" s="113">
        <f t="shared" si="49"/>
        <v>0</v>
      </c>
      <c r="P79" s="113">
        <f t="shared" si="49"/>
        <v>0</v>
      </c>
      <c r="Q79" s="113">
        <f t="shared" si="49"/>
        <v>0</v>
      </c>
      <c r="R79" s="113">
        <f t="shared" si="49"/>
        <v>0</v>
      </c>
      <c r="S79" s="113">
        <f t="shared" si="49"/>
        <v>0</v>
      </c>
      <c r="T79" s="113">
        <f t="shared" si="49"/>
        <v>0</v>
      </c>
      <c r="U79" s="113">
        <f t="shared" si="49"/>
        <v>0</v>
      </c>
      <c r="V79" s="113">
        <f t="shared" si="49"/>
        <v>0</v>
      </c>
      <c r="W79" s="113">
        <f t="shared" si="49"/>
        <v>0</v>
      </c>
      <c r="X79" s="113">
        <f t="shared" si="49"/>
        <v>0</v>
      </c>
      <c r="Y79" s="113">
        <f t="shared" si="49"/>
        <v>0</v>
      </c>
      <c r="Z79" s="113">
        <f t="shared" si="49"/>
        <v>0</v>
      </c>
      <c r="AA79" s="113">
        <f t="shared" si="49"/>
        <v>0</v>
      </c>
      <c r="AB79" s="113">
        <f t="shared" si="49"/>
        <v>0</v>
      </c>
      <c r="AC79" s="113">
        <f t="shared" si="49"/>
        <v>0</v>
      </c>
      <c r="AD79" s="113">
        <f t="shared" si="49"/>
        <v>2849.7052600000002</v>
      </c>
      <c r="AE79" s="113">
        <f t="shared" si="49"/>
        <v>0</v>
      </c>
      <c r="AF79" s="29"/>
      <c r="AG79" s="102">
        <f t="shared" si="45"/>
        <v>0</v>
      </c>
      <c r="AH79" s="156">
        <f t="shared" si="48"/>
        <v>0</v>
      </c>
    </row>
    <row r="80" spans="1:35" x14ac:dyDescent="0.3">
      <c r="A80" s="115" t="s">
        <v>169</v>
      </c>
      <c r="B80" s="116"/>
      <c r="C80" s="117"/>
      <c r="D80" s="118"/>
      <c r="E80" s="117"/>
      <c r="F80" s="116"/>
      <c r="G80" s="116"/>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29"/>
      <c r="AG80" s="102">
        <f t="shared" si="45"/>
        <v>0</v>
      </c>
      <c r="AH80" s="156">
        <f t="shared" si="48"/>
        <v>0</v>
      </c>
    </row>
    <row r="81" spans="1:34" x14ac:dyDescent="0.3">
      <c r="A81" s="115" t="s">
        <v>32</v>
      </c>
      <c r="B81" s="116"/>
      <c r="C81" s="117"/>
      <c r="D81" s="118"/>
      <c r="E81" s="117"/>
      <c r="F81" s="116"/>
      <c r="G81" s="116"/>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29"/>
      <c r="AG81" s="102">
        <f t="shared" si="45"/>
        <v>0</v>
      </c>
      <c r="AH81" s="156">
        <f t="shared" si="48"/>
        <v>0</v>
      </c>
    </row>
    <row r="82" spans="1:34" x14ac:dyDescent="0.3">
      <c r="A82" s="115" t="s">
        <v>33</v>
      </c>
      <c r="B82" s="116">
        <f>J82+L82+N82+P82+R82+T82+V82+X82+Z82+AB82+AD82+H82</f>
        <v>2849.7052600000002</v>
      </c>
      <c r="C82" s="117">
        <f>H82+J82+L82</f>
        <v>0</v>
      </c>
      <c r="D82" s="118">
        <f>E82</f>
        <v>0</v>
      </c>
      <c r="E82" s="117">
        <f>SUM(I82,K82,M82,O82,Q82,S82,U82,W82,Y82,AA82,AC82,AE82)</f>
        <v>0</v>
      </c>
      <c r="F82" s="116">
        <f>IFERROR(E82/B82*100,0)</f>
        <v>0</v>
      </c>
      <c r="G82" s="116">
        <f>IFERROR(E82/C82*100,0)</f>
        <v>0</v>
      </c>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v>2849.7052600000002</v>
      </c>
      <c r="AE82" s="111"/>
      <c r="AF82" s="29"/>
      <c r="AG82" s="102">
        <f t="shared" si="45"/>
        <v>0</v>
      </c>
      <c r="AH82" s="156">
        <f t="shared" si="48"/>
        <v>0</v>
      </c>
    </row>
    <row r="83" spans="1:34" x14ac:dyDescent="0.3">
      <c r="A83" s="123" t="s">
        <v>170</v>
      </c>
      <c r="B83" s="116"/>
      <c r="C83" s="117"/>
      <c r="D83" s="118"/>
      <c r="E83" s="117"/>
      <c r="F83" s="116"/>
      <c r="G83" s="116"/>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29"/>
      <c r="AG83" s="102">
        <f t="shared" si="45"/>
        <v>0</v>
      </c>
      <c r="AH83" s="156">
        <f t="shared" si="48"/>
        <v>0</v>
      </c>
    </row>
    <row r="84" spans="1:34" ht="90" x14ac:dyDescent="0.3">
      <c r="A84" s="108" t="s">
        <v>264</v>
      </c>
      <c r="B84" s="131"/>
      <c r="C84" s="132"/>
      <c r="D84" s="132"/>
      <c r="E84" s="132"/>
      <c r="F84" s="132"/>
      <c r="G84" s="132"/>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718" t="s">
        <v>546</v>
      </c>
      <c r="AG84" s="102">
        <f>B84-H84-J84-L84-N84-P84-R84-T84-V84-X84-Z84-AB84-AD84</f>
        <v>0</v>
      </c>
      <c r="AH84" s="156">
        <f t="shared" si="48"/>
        <v>0</v>
      </c>
    </row>
    <row r="85" spans="1:34" x14ac:dyDescent="0.3">
      <c r="A85" s="112" t="s">
        <v>31</v>
      </c>
      <c r="B85" s="113">
        <f>B87+B88+B86+B89</f>
        <v>2724.4</v>
      </c>
      <c r="C85" s="113">
        <f>C87+C88+C86+C89</f>
        <v>0</v>
      </c>
      <c r="D85" s="113">
        <f>D87+D88+D86+D89</f>
        <v>0</v>
      </c>
      <c r="E85" s="113">
        <f>E87+E88+E86+E89</f>
        <v>0</v>
      </c>
      <c r="F85" s="113">
        <f>IFERROR(E85/B85*100,0)</f>
        <v>0</v>
      </c>
      <c r="G85" s="113">
        <f>IFERROR(E85/C85*100,0)</f>
        <v>0</v>
      </c>
      <c r="H85" s="113">
        <f t="shared" ref="H85:AE85" si="50">H87+H88+H86+H89</f>
        <v>0</v>
      </c>
      <c r="I85" s="113">
        <f t="shared" si="50"/>
        <v>0</v>
      </c>
      <c r="J85" s="113">
        <f t="shared" si="50"/>
        <v>0</v>
      </c>
      <c r="K85" s="113">
        <f t="shared" si="50"/>
        <v>0</v>
      </c>
      <c r="L85" s="113">
        <f t="shared" si="50"/>
        <v>0</v>
      </c>
      <c r="M85" s="113">
        <f t="shared" si="50"/>
        <v>0</v>
      </c>
      <c r="N85" s="113">
        <f t="shared" si="50"/>
        <v>0</v>
      </c>
      <c r="O85" s="113">
        <f t="shared" si="50"/>
        <v>0</v>
      </c>
      <c r="P85" s="113">
        <f t="shared" si="50"/>
        <v>0</v>
      </c>
      <c r="Q85" s="113">
        <f t="shared" si="50"/>
        <v>0</v>
      </c>
      <c r="R85" s="113">
        <f t="shared" si="50"/>
        <v>0</v>
      </c>
      <c r="S85" s="113">
        <f t="shared" si="50"/>
        <v>0</v>
      </c>
      <c r="T85" s="113">
        <f t="shared" si="50"/>
        <v>0</v>
      </c>
      <c r="U85" s="113">
        <f t="shared" si="50"/>
        <v>0</v>
      </c>
      <c r="V85" s="113">
        <f t="shared" si="50"/>
        <v>0</v>
      </c>
      <c r="W85" s="113">
        <f t="shared" si="50"/>
        <v>0</v>
      </c>
      <c r="X85" s="113">
        <f t="shared" si="50"/>
        <v>0</v>
      </c>
      <c r="Y85" s="113">
        <f t="shared" si="50"/>
        <v>0</v>
      </c>
      <c r="Z85" s="113">
        <f t="shared" si="50"/>
        <v>0</v>
      </c>
      <c r="AA85" s="113">
        <f t="shared" si="50"/>
        <v>0</v>
      </c>
      <c r="AB85" s="113">
        <f t="shared" si="50"/>
        <v>0</v>
      </c>
      <c r="AC85" s="113">
        <f t="shared" si="50"/>
        <v>0</v>
      </c>
      <c r="AD85" s="113">
        <f t="shared" si="50"/>
        <v>2724.4</v>
      </c>
      <c r="AE85" s="113">
        <f t="shared" si="50"/>
        <v>0</v>
      </c>
      <c r="AF85" s="29"/>
      <c r="AG85" s="102">
        <f t="shared" si="45"/>
        <v>0</v>
      </c>
      <c r="AH85" s="156">
        <f t="shared" si="48"/>
        <v>0</v>
      </c>
    </row>
    <row r="86" spans="1:34" x14ac:dyDescent="0.3">
      <c r="A86" s="115" t="s">
        <v>169</v>
      </c>
      <c r="B86" s="116"/>
      <c r="C86" s="117"/>
      <c r="D86" s="118"/>
      <c r="E86" s="117"/>
      <c r="F86" s="116"/>
      <c r="G86" s="116"/>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29"/>
      <c r="AG86" s="102">
        <f t="shared" si="45"/>
        <v>0</v>
      </c>
      <c r="AH86" s="156">
        <f t="shared" si="48"/>
        <v>0</v>
      </c>
    </row>
    <row r="87" spans="1:34" x14ac:dyDescent="0.3">
      <c r="A87" s="115" t="s">
        <v>32</v>
      </c>
      <c r="B87" s="116"/>
      <c r="C87" s="117"/>
      <c r="D87" s="118"/>
      <c r="E87" s="117"/>
      <c r="F87" s="116"/>
      <c r="G87" s="116"/>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29"/>
      <c r="AG87" s="102">
        <f t="shared" si="45"/>
        <v>0</v>
      </c>
      <c r="AH87" s="156">
        <f t="shared" si="48"/>
        <v>0</v>
      </c>
    </row>
    <row r="88" spans="1:34" x14ac:dyDescent="0.3">
      <c r="A88" s="115" t="s">
        <v>33</v>
      </c>
      <c r="B88" s="116">
        <f>J88+L88+N88+P88+R88+T88+V88+X88+Z88+AB88+AD88+H88</f>
        <v>2724.4</v>
      </c>
      <c r="C88" s="117">
        <f>H88+J88+L88</f>
        <v>0</v>
      </c>
      <c r="D88" s="118">
        <f>E88</f>
        <v>0</v>
      </c>
      <c r="E88" s="117">
        <f>SUM(I88,K88,M88,O88,Q88,S88,U88,W88,Y88,AA88,AC88,AE88)</f>
        <v>0</v>
      </c>
      <c r="F88" s="116">
        <f>IFERROR(E88/B88*100,0)</f>
        <v>0</v>
      </c>
      <c r="G88" s="116">
        <f>IFERROR(E88/C88*100,0)</f>
        <v>0</v>
      </c>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v>2724.4</v>
      </c>
      <c r="AE88" s="111"/>
      <c r="AF88" s="29"/>
      <c r="AG88" s="102">
        <f t="shared" si="45"/>
        <v>0</v>
      </c>
      <c r="AH88" s="156">
        <f t="shared" si="48"/>
        <v>0</v>
      </c>
    </row>
    <row r="89" spans="1:34" x14ac:dyDescent="0.3">
      <c r="A89" s="123" t="s">
        <v>170</v>
      </c>
      <c r="B89" s="116"/>
      <c r="C89" s="117"/>
      <c r="D89" s="118"/>
      <c r="E89" s="117"/>
      <c r="F89" s="116"/>
      <c r="G89" s="116"/>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29"/>
      <c r="AG89" s="102">
        <f t="shared" si="45"/>
        <v>0</v>
      </c>
      <c r="AH89" s="156">
        <f t="shared" si="48"/>
        <v>0</v>
      </c>
    </row>
    <row r="90" spans="1:34" x14ac:dyDescent="0.3">
      <c r="A90" s="908" t="s">
        <v>265</v>
      </c>
      <c r="B90" s="909"/>
      <c r="C90" s="909"/>
      <c r="D90" s="909"/>
      <c r="E90" s="909"/>
      <c r="F90" s="909"/>
      <c r="G90" s="909"/>
      <c r="H90" s="909"/>
      <c r="I90" s="909"/>
      <c r="J90" s="909"/>
      <c r="K90" s="909"/>
      <c r="L90" s="909"/>
      <c r="M90" s="909"/>
      <c r="N90" s="909"/>
      <c r="O90" s="909"/>
      <c r="P90" s="909"/>
      <c r="Q90" s="909"/>
      <c r="R90" s="909"/>
      <c r="S90" s="909"/>
      <c r="T90" s="909"/>
      <c r="U90" s="909"/>
      <c r="V90" s="909"/>
      <c r="W90" s="909"/>
      <c r="X90" s="909"/>
      <c r="Y90" s="909"/>
      <c r="Z90" s="909"/>
      <c r="AA90" s="909"/>
      <c r="AB90" s="909"/>
      <c r="AC90" s="909"/>
      <c r="AD90" s="909"/>
      <c r="AE90" s="909"/>
      <c r="AF90" s="910"/>
      <c r="AG90" s="102">
        <f t="shared" si="45"/>
        <v>0</v>
      </c>
      <c r="AH90" s="156">
        <f t="shared" si="48"/>
        <v>0</v>
      </c>
    </row>
    <row r="91" spans="1:34" x14ac:dyDescent="0.3">
      <c r="A91" s="908" t="s">
        <v>54</v>
      </c>
      <c r="B91" s="909"/>
      <c r="C91" s="909"/>
      <c r="D91" s="909"/>
      <c r="E91" s="909"/>
      <c r="F91" s="909"/>
      <c r="G91" s="909"/>
      <c r="H91" s="909"/>
      <c r="I91" s="909"/>
      <c r="J91" s="909"/>
      <c r="K91" s="909"/>
      <c r="L91" s="909"/>
      <c r="M91" s="909"/>
      <c r="N91" s="909"/>
      <c r="O91" s="909"/>
      <c r="P91" s="909"/>
      <c r="Q91" s="909"/>
      <c r="R91" s="909"/>
      <c r="S91" s="909"/>
      <c r="T91" s="909"/>
      <c r="U91" s="909"/>
      <c r="V91" s="909"/>
      <c r="W91" s="909"/>
      <c r="X91" s="909"/>
      <c r="Y91" s="909"/>
      <c r="Z91" s="909"/>
      <c r="AA91" s="909"/>
      <c r="AB91" s="909"/>
      <c r="AC91" s="909"/>
      <c r="AD91" s="909"/>
      <c r="AE91" s="909"/>
      <c r="AF91" s="910"/>
      <c r="AG91" s="102">
        <f t="shared" si="45"/>
        <v>0</v>
      </c>
      <c r="AH91" s="156">
        <f t="shared" si="48"/>
        <v>0</v>
      </c>
    </row>
    <row r="92" spans="1:34" ht="123.75" x14ac:dyDescent="0.3">
      <c r="A92" s="125" t="s">
        <v>266</v>
      </c>
      <c r="B92" s="133"/>
      <c r="C92" s="134"/>
      <c r="D92" s="134"/>
      <c r="E92" s="134"/>
      <c r="F92" s="134"/>
      <c r="G92" s="134"/>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582" t="s">
        <v>590</v>
      </c>
      <c r="AG92" s="102">
        <f t="shared" si="45"/>
        <v>0</v>
      </c>
      <c r="AH92" s="156">
        <f t="shared" si="48"/>
        <v>0</v>
      </c>
    </row>
    <row r="93" spans="1:34" x14ac:dyDescent="0.3">
      <c r="A93" s="103" t="s">
        <v>31</v>
      </c>
      <c r="B93" s="104">
        <f>B94+B95+B96</f>
        <v>6342.7</v>
      </c>
      <c r="C93" s="104">
        <f>C94+C95+C96</f>
        <v>4902.7</v>
      </c>
      <c r="D93" s="104">
        <f>D94+D95+D96</f>
        <v>2077.5</v>
      </c>
      <c r="E93" s="104">
        <f>E94+E95+E96</f>
        <v>2077.5</v>
      </c>
      <c r="F93" s="107">
        <f>IFERROR(E93/B93*100,0)</f>
        <v>32.754189856054992</v>
      </c>
      <c r="G93" s="107">
        <f>IFERROR(E93/C93*100,0)</f>
        <v>42.374609908825747</v>
      </c>
      <c r="H93" s="104">
        <f t="shared" ref="H93:AE93" si="51">H94+H95+H96</f>
        <v>864.9</v>
      </c>
      <c r="I93" s="104">
        <f t="shared" si="51"/>
        <v>691.6</v>
      </c>
      <c r="J93" s="104">
        <f t="shared" si="51"/>
        <v>3672.1</v>
      </c>
      <c r="K93" s="104">
        <f t="shared" si="51"/>
        <v>879.6</v>
      </c>
      <c r="L93" s="104">
        <f t="shared" si="51"/>
        <v>365.7</v>
      </c>
      <c r="M93" s="104">
        <f t="shared" si="51"/>
        <v>506.3</v>
      </c>
      <c r="N93" s="104">
        <f t="shared" si="51"/>
        <v>384.8</v>
      </c>
      <c r="O93" s="104">
        <f t="shared" si="51"/>
        <v>0</v>
      </c>
      <c r="P93" s="104">
        <f t="shared" si="51"/>
        <v>179.6</v>
      </c>
      <c r="Q93" s="104">
        <f t="shared" si="51"/>
        <v>0</v>
      </c>
      <c r="R93" s="104">
        <f t="shared" si="51"/>
        <v>117.6</v>
      </c>
      <c r="S93" s="104">
        <f t="shared" si="51"/>
        <v>0</v>
      </c>
      <c r="T93" s="104">
        <f t="shared" si="51"/>
        <v>0</v>
      </c>
      <c r="U93" s="104">
        <f t="shared" si="51"/>
        <v>0</v>
      </c>
      <c r="V93" s="104">
        <f t="shared" si="51"/>
        <v>0</v>
      </c>
      <c r="W93" s="104">
        <f t="shared" si="51"/>
        <v>0</v>
      </c>
      <c r="X93" s="104">
        <f t="shared" si="51"/>
        <v>0</v>
      </c>
      <c r="Y93" s="104">
        <f t="shared" si="51"/>
        <v>0</v>
      </c>
      <c r="Z93" s="104">
        <f t="shared" si="51"/>
        <v>266.39999999999998</v>
      </c>
      <c r="AA93" s="104">
        <f t="shared" si="51"/>
        <v>0</v>
      </c>
      <c r="AB93" s="104">
        <f t="shared" si="51"/>
        <v>245.8</v>
      </c>
      <c r="AC93" s="104">
        <f t="shared" si="51"/>
        <v>0</v>
      </c>
      <c r="AD93" s="104">
        <f t="shared" si="51"/>
        <v>245.8</v>
      </c>
      <c r="AE93" s="104">
        <f t="shared" si="51"/>
        <v>0</v>
      </c>
      <c r="AF93" s="101"/>
      <c r="AG93" s="102">
        <f t="shared" si="45"/>
        <v>2.2737367544323206E-13</v>
      </c>
      <c r="AH93" s="156">
        <f t="shared" si="48"/>
        <v>2825.2</v>
      </c>
    </row>
    <row r="94" spans="1:34" x14ac:dyDescent="0.3">
      <c r="A94" s="106" t="s">
        <v>169</v>
      </c>
      <c r="B94" s="107">
        <f t="shared" ref="B94:B97" si="52">J94+L94+N94+P94+R94+T94+V94+X94+Z94+AB94+AD94+H94</f>
        <v>0</v>
      </c>
      <c r="C94" s="107">
        <f t="shared" ref="C94:C97" si="53">SUM(H94)</f>
        <v>0</v>
      </c>
      <c r="D94" s="107">
        <f t="shared" ref="D94:D97" si="54">E94</f>
        <v>0</v>
      </c>
      <c r="E94" s="107">
        <f t="shared" ref="E94:E97" si="55">SUM(I94,K94,M94,O94,Q94,S94,U94,W94,Y94,AA94,AC94,AE94)</f>
        <v>0</v>
      </c>
      <c r="F94" s="107">
        <f>IFERROR(E94/B94*100,0)</f>
        <v>0</v>
      </c>
      <c r="G94" s="107">
        <f>IFERROR(E94/C94*100,0)</f>
        <v>0</v>
      </c>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1"/>
      <c r="AG94" s="102">
        <f t="shared" si="45"/>
        <v>0</v>
      </c>
      <c r="AH94" s="156">
        <f t="shared" si="48"/>
        <v>0</v>
      </c>
    </row>
    <row r="95" spans="1:34" x14ac:dyDescent="0.3">
      <c r="A95" s="106" t="s">
        <v>32</v>
      </c>
      <c r="B95" s="107">
        <f t="shared" si="52"/>
        <v>0</v>
      </c>
      <c r="C95" s="107">
        <f t="shared" si="53"/>
        <v>0</v>
      </c>
      <c r="D95" s="107">
        <f t="shared" si="54"/>
        <v>0</v>
      </c>
      <c r="E95" s="107">
        <f t="shared" si="55"/>
        <v>0</v>
      </c>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1"/>
      <c r="AG95" s="102">
        <f t="shared" si="45"/>
        <v>0</v>
      </c>
      <c r="AH95" s="156">
        <f t="shared" si="48"/>
        <v>0</v>
      </c>
    </row>
    <row r="96" spans="1:34" x14ac:dyDescent="0.3">
      <c r="A96" s="106" t="s">
        <v>33</v>
      </c>
      <c r="B96" s="107">
        <f t="shared" si="52"/>
        <v>6342.7</v>
      </c>
      <c r="C96" s="107">
        <f>H96+J96+L96</f>
        <v>4902.7</v>
      </c>
      <c r="D96" s="107">
        <f t="shared" si="54"/>
        <v>2077.5</v>
      </c>
      <c r="E96" s="107">
        <f t="shared" si="55"/>
        <v>2077.5</v>
      </c>
      <c r="F96" s="107">
        <f>IFERROR(E96/B96*100,0)</f>
        <v>32.754189856054992</v>
      </c>
      <c r="G96" s="107">
        <f>IFERROR(E96/C96*100,0)</f>
        <v>42.374609908825747</v>
      </c>
      <c r="H96" s="107">
        <v>864.9</v>
      </c>
      <c r="I96" s="736">
        <v>691.6</v>
      </c>
      <c r="J96" s="107">
        <v>3672.1</v>
      </c>
      <c r="K96" s="107">
        <v>879.6</v>
      </c>
      <c r="L96" s="107">
        <v>365.7</v>
      </c>
      <c r="M96" s="107">
        <v>506.3</v>
      </c>
      <c r="N96" s="107">
        <v>384.8</v>
      </c>
      <c r="O96" s="107"/>
      <c r="P96" s="107">
        <v>179.6</v>
      </c>
      <c r="Q96" s="107"/>
      <c r="R96" s="107">
        <v>117.6</v>
      </c>
      <c r="S96" s="107"/>
      <c r="T96" s="107">
        <v>0</v>
      </c>
      <c r="U96" s="107"/>
      <c r="V96" s="107">
        <v>0</v>
      </c>
      <c r="W96" s="107"/>
      <c r="X96" s="107">
        <v>0</v>
      </c>
      <c r="Y96" s="107"/>
      <c r="Z96" s="107">
        <v>266.39999999999998</v>
      </c>
      <c r="AA96" s="107"/>
      <c r="AB96" s="107">
        <v>245.8</v>
      </c>
      <c r="AC96" s="107"/>
      <c r="AD96" s="107">
        <v>245.8</v>
      </c>
      <c r="AE96" s="107"/>
      <c r="AF96" s="101"/>
      <c r="AG96" s="102">
        <f t="shared" si="45"/>
        <v>2.2737367544323206E-13</v>
      </c>
      <c r="AH96" s="798">
        <f t="shared" si="48"/>
        <v>2825.2</v>
      </c>
    </row>
    <row r="97" spans="1:35" x14ac:dyDescent="0.3">
      <c r="A97" s="106" t="s">
        <v>170</v>
      </c>
      <c r="B97" s="107">
        <f t="shared" si="52"/>
        <v>0</v>
      </c>
      <c r="C97" s="107">
        <f t="shared" si="53"/>
        <v>0</v>
      </c>
      <c r="D97" s="107">
        <f t="shared" si="54"/>
        <v>0</v>
      </c>
      <c r="E97" s="107">
        <f t="shared" si="55"/>
        <v>0</v>
      </c>
      <c r="F97" s="107">
        <f>IFERROR(E97/B97*100,0)</f>
        <v>0</v>
      </c>
      <c r="G97" s="107">
        <f>IFERROR(E97/C97*100,0)</f>
        <v>0</v>
      </c>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1"/>
      <c r="AG97" s="102">
        <f t="shared" si="45"/>
        <v>0</v>
      </c>
      <c r="AH97" s="156">
        <f t="shared" si="48"/>
        <v>0</v>
      </c>
    </row>
    <row r="98" spans="1:35" ht="409.5" x14ac:dyDescent="0.3">
      <c r="A98" s="125" t="s">
        <v>267</v>
      </c>
      <c r="B98" s="107"/>
      <c r="C98" s="137"/>
      <c r="D98" s="137"/>
      <c r="E98" s="137"/>
      <c r="F98" s="137"/>
      <c r="G98" s="13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812" t="s">
        <v>602</v>
      </c>
      <c r="AG98" s="102">
        <f t="shared" si="45"/>
        <v>0</v>
      </c>
      <c r="AH98" s="156">
        <f t="shared" si="48"/>
        <v>0</v>
      </c>
    </row>
    <row r="99" spans="1:35" x14ac:dyDescent="0.3">
      <c r="A99" s="103" t="s">
        <v>31</v>
      </c>
      <c r="B99" s="104">
        <f>B100+B101+B102+B103</f>
        <v>30135.173439999999</v>
      </c>
      <c r="C99" s="104">
        <f>C100+C101+C102+C103</f>
        <v>5615.3134999999993</v>
      </c>
      <c r="D99" s="104">
        <f>D100+D101+D102+D103</f>
        <v>4181.08</v>
      </c>
      <c r="E99" s="104">
        <f>E100+E101+E102+E103</f>
        <v>4181.08</v>
      </c>
      <c r="F99" s="107">
        <v>0</v>
      </c>
      <c r="G99" s="107">
        <v>0</v>
      </c>
      <c r="H99" s="104">
        <f>H100+H101+H102+H103</f>
        <v>1840.1669999999999</v>
      </c>
      <c r="I99" s="104">
        <f t="shared" ref="I99:AE99" si="56">I100+I101+I102+I103</f>
        <v>1177.19</v>
      </c>
      <c r="J99" s="104">
        <f t="shared" si="56"/>
        <v>1685.2465</v>
      </c>
      <c r="K99" s="104">
        <f t="shared" si="56"/>
        <v>1103.78</v>
      </c>
      <c r="L99" s="104">
        <f t="shared" si="56"/>
        <v>2089.9</v>
      </c>
      <c r="M99" s="104">
        <f t="shared" si="56"/>
        <v>1900.1100000000001</v>
      </c>
      <c r="N99" s="104">
        <f t="shared" si="56"/>
        <v>3150.29666</v>
      </c>
      <c r="O99" s="104">
        <f t="shared" si="56"/>
        <v>0</v>
      </c>
      <c r="P99" s="104">
        <f t="shared" si="56"/>
        <v>5470.79666</v>
      </c>
      <c r="Q99" s="104">
        <f t="shared" si="56"/>
        <v>0</v>
      </c>
      <c r="R99" s="104">
        <f t="shared" si="56"/>
        <v>1114.26666</v>
      </c>
      <c r="S99" s="104">
        <f t="shared" si="56"/>
        <v>0</v>
      </c>
      <c r="T99" s="104">
        <f t="shared" si="56"/>
        <v>9679.7666599999993</v>
      </c>
      <c r="U99" s="104">
        <f t="shared" si="56"/>
        <v>0</v>
      </c>
      <c r="V99" s="104">
        <f t="shared" si="56"/>
        <v>1045.46666</v>
      </c>
      <c r="W99" s="104">
        <f t="shared" si="56"/>
        <v>0</v>
      </c>
      <c r="X99" s="104">
        <f t="shared" si="56"/>
        <v>1079.6666600000001</v>
      </c>
      <c r="Y99" s="104">
        <f t="shared" si="56"/>
        <v>0</v>
      </c>
      <c r="Z99" s="104">
        <f t="shared" si="56"/>
        <v>1973.9166599999999</v>
      </c>
      <c r="AA99" s="104">
        <f t="shared" si="56"/>
        <v>0</v>
      </c>
      <c r="AB99" s="104">
        <f t="shared" si="56"/>
        <v>991.41665999999998</v>
      </c>
      <c r="AC99" s="104">
        <f t="shared" si="56"/>
        <v>0</v>
      </c>
      <c r="AD99" s="104">
        <f t="shared" si="56"/>
        <v>14.26666</v>
      </c>
      <c r="AE99" s="104">
        <f t="shared" si="56"/>
        <v>0</v>
      </c>
      <c r="AF99" s="101"/>
      <c r="AG99" s="102">
        <f t="shared" si="45"/>
        <v>-3.5225156125306967E-12</v>
      </c>
      <c r="AH99" s="156">
        <f t="shared" si="48"/>
        <v>1434.2334999999994</v>
      </c>
    </row>
    <row r="100" spans="1:35" x14ac:dyDescent="0.3">
      <c r="A100" s="106" t="s">
        <v>169</v>
      </c>
      <c r="B100" s="107">
        <f t="shared" ref="B100:B103" si="57">J100+L100+N100+P100+R100+T100+V100+X100+Z100+AB100+AD100+H100</f>
        <v>0</v>
      </c>
      <c r="C100" s="107">
        <f>H100+J100+L100+N100+P100+R100+T100+V100+X100+Z100+AB100+AD100</f>
        <v>0</v>
      </c>
      <c r="D100" s="107">
        <f t="shared" ref="D100:D103" si="58">E100</f>
        <v>0</v>
      </c>
      <c r="E100" s="107">
        <f t="shared" ref="E100:E103" si="59">SUM(I100,K100,M100,O100,Q100,S100,U100,W100,Y100,AA100,AC100,AE100)</f>
        <v>0</v>
      </c>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1"/>
      <c r="AG100" s="102">
        <f t="shared" si="45"/>
        <v>0</v>
      </c>
      <c r="AH100" s="156">
        <f t="shared" si="48"/>
        <v>0</v>
      </c>
    </row>
    <row r="101" spans="1:35" x14ac:dyDescent="0.3">
      <c r="A101" s="713" t="s">
        <v>32</v>
      </c>
      <c r="B101" s="803">
        <f t="shared" si="57"/>
        <v>12963.094999999999</v>
      </c>
      <c r="C101" s="805">
        <f>H101+J101+L101</f>
        <v>372.46</v>
      </c>
      <c r="D101" s="107">
        <f t="shared" si="58"/>
        <v>372.46</v>
      </c>
      <c r="E101" s="107">
        <f t="shared" si="59"/>
        <v>372.46</v>
      </c>
      <c r="F101" s="107"/>
      <c r="G101" s="107"/>
      <c r="H101" s="107"/>
      <c r="I101" s="107"/>
      <c r="J101" s="107"/>
      <c r="K101" s="107"/>
      <c r="L101" s="107">
        <v>372.46</v>
      </c>
      <c r="M101" s="107">
        <v>372.46</v>
      </c>
      <c r="N101" s="107">
        <v>1777.55</v>
      </c>
      <c r="O101" s="107"/>
      <c r="P101" s="107">
        <v>3002.03</v>
      </c>
      <c r="Q101" s="107"/>
      <c r="R101" s="107"/>
      <c r="S101" s="107"/>
      <c r="T101" s="107">
        <v>7084.4</v>
      </c>
      <c r="U101" s="107"/>
      <c r="V101" s="107">
        <v>326.04000000000002</v>
      </c>
      <c r="W101" s="107"/>
      <c r="X101" s="107"/>
      <c r="Y101" s="107"/>
      <c r="Z101" s="107">
        <v>246.95249999999999</v>
      </c>
      <c r="AA101" s="107"/>
      <c r="AB101" s="107">
        <v>153.66249999999999</v>
      </c>
      <c r="AC101" s="107"/>
      <c r="AD101" s="107"/>
      <c r="AE101" s="107"/>
      <c r="AF101" s="101"/>
      <c r="AG101" s="102">
        <f t="shared" si="45"/>
        <v>6.5369931689929217E-13</v>
      </c>
      <c r="AH101" s="156">
        <f t="shared" si="48"/>
        <v>0</v>
      </c>
    </row>
    <row r="102" spans="1:35" x14ac:dyDescent="0.3">
      <c r="A102" s="106" t="s">
        <v>33</v>
      </c>
      <c r="B102" s="803">
        <f t="shared" si="57"/>
        <v>17172.078439999997</v>
      </c>
      <c r="C102" s="805">
        <f>H102+J102+L102</f>
        <v>5242.8534999999993</v>
      </c>
      <c r="D102" s="107">
        <f t="shared" si="58"/>
        <v>3808.6200000000003</v>
      </c>
      <c r="E102" s="803">
        <f t="shared" si="59"/>
        <v>3808.6200000000003</v>
      </c>
      <c r="F102" s="107">
        <f>IFERROR(E102/B102*100,0)</f>
        <v>22.179143970879746</v>
      </c>
      <c r="G102" s="107">
        <f>IFERROR(E102/C102*100,0)</f>
        <v>72.644028676368706</v>
      </c>
      <c r="H102" s="107">
        <v>1840.1669999999999</v>
      </c>
      <c r="I102" s="736">
        <v>1177.19</v>
      </c>
      <c r="J102" s="107">
        <v>1685.2465</v>
      </c>
      <c r="K102" s="107">
        <v>1103.78</v>
      </c>
      <c r="L102" s="107">
        <v>1717.44</v>
      </c>
      <c r="M102" s="107">
        <v>1527.65</v>
      </c>
      <c r="N102" s="107">
        <v>1372.74666</v>
      </c>
      <c r="O102" s="107"/>
      <c r="P102" s="107">
        <v>2468.7666599999998</v>
      </c>
      <c r="Q102" s="107"/>
      <c r="R102" s="107">
        <v>1114.26666</v>
      </c>
      <c r="S102" s="107"/>
      <c r="T102" s="107">
        <v>2595.3666600000001</v>
      </c>
      <c r="U102" s="107"/>
      <c r="V102" s="107">
        <v>719.42665999999997</v>
      </c>
      <c r="W102" s="107"/>
      <c r="X102" s="107">
        <v>1079.6666600000001</v>
      </c>
      <c r="Y102" s="107"/>
      <c r="Z102" s="107">
        <v>1726.96416</v>
      </c>
      <c r="AA102" s="107"/>
      <c r="AB102" s="107">
        <v>837.75415999999996</v>
      </c>
      <c r="AC102" s="107"/>
      <c r="AD102" s="107">
        <v>14.26666</v>
      </c>
      <c r="AE102" s="107"/>
      <c r="AF102" s="101"/>
      <c r="AG102" s="102">
        <f t="shared" si="45"/>
        <v>-2.4993340730361524E-12</v>
      </c>
      <c r="AH102" s="806">
        <f t="shared" si="48"/>
        <v>1434.2334999999989</v>
      </c>
      <c r="AI102" s="799">
        <v>0</v>
      </c>
    </row>
    <row r="103" spans="1:35" x14ac:dyDescent="0.3">
      <c r="A103" s="106" t="s">
        <v>170</v>
      </c>
      <c r="B103" s="107">
        <f t="shared" si="57"/>
        <v>0</v>
      </c>
      <c r="C103" s="107">
        <f>H103+J103+L103+N103+P103+R103+T103+V103+X103+Z103+AB103+AD103</f>
        <v>0</v>
      </c>
      <c r="D103" s="107">
        <f t="shared" si="58"/>
        <v>0</v>
      </c>
      <c r="E103" s="107">
        <f t="shared" si="59"/>
        <v>0</v>
      </c>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1"/>
      <c r="AG103" s="102">
        <f t="shared" si="45"/>
        <v>0</v>
      </c>
      <c r="AH103" s="156">
        <f t="shared" si="48"/>
        <v>0</v>
      </c>
    </row>
    <row r="104" spans="1:35" x14ac:dyDescent="0.3">
      <c r="A104" s="908" t="s">
        <v>268</v>
      </c>
      <c r="B104" s="909"/>
      <c r="C104" s="909"/>
      <c r="D104" s="909"/>
      <c r="E104" s="909"/>
      <c r="F104" s="909"/>
      <c r="G104" s="909"/>
      <c r="H104" s="909"/>
      <c r="I104" s="909"/>
      <c r="J104" s="909"/>
      <c r="K104" s="909"/>
      <c r="L104" s="909"/>
      <c r="M104" s="909"/>
      <c r="N104" s="909"/>
      <c r="O104" s="909"/>
      <c r="P104" s="909"/>
      <c r="Q104" s="909"/>
      <c r="R104" s="909"/>
      <c r="S104" s="909"/>
      <c r="T104" s="909"/>
      <c r="U104" s="909"/>
      <c r="V104" s="909"/>
      <c r="W104" s="909"/>
      <c r="X104" s="909"/>
      <c r="Y104" s="909"/>
      <c r="Z104" s="909"/>
      <c r="AA104" s="909"/>
      <c r="AB104" s="909"/>
      <c r="AC104" s="909"/>
      <c r="AD104" s="909"/>
      <c r="AE104" s="909"/>
      <c r="AF104" s="910"/>
      <c r="AG104" s="102">
        <f t="shared" si="45"/>
        <v>0</v>
      </c>
      <c r="AH104" s="156">
        <f t="shared" si="48"/>
        <v>0</v>
      </c>
    </row>
    <row r="105" spans="1:35" x14ac:dyDescent="0.3">
      <c r="A105" s="908" t="s">
        <v>54</v>
      </c>
      <c r="B105" s="909"/>
      <c r="C105" s="909"/>
      <c r="D105" s="909"/>
      <c r="E105" s="909"/>
      <c r="F105" s="909"/>
      <c r="G105" s="909"/>
      <c r="H105" s="909"/>
      <c r="I105" s="909"/>
      <c r="J105" s="909"/>
      <c r="K105" s="909"/>
      <c r="L105" s="909"/>
      <c r="M105" s="909"/>
      <c r="N105" s="909"/>
      <c r="O105" s="909"/>
      <c r="P105" s="909"/>
      <c r="Q105" s="909"/>
      <c r="R105" s="909"/>
      <c r="S105" s="909"/>
      <c r="T105" s="909"/>
      <c r="U105" s="909"/>
      <c r="V105" s="909"/>
      <c r="W105" s="909"/>
      <c r="X105" s="909"/>
      <c r="Y105" s="909"/>
      <c r="Z105" s="909"/>
      <c r="AA105" s="909"/>
      <c r="AB105" s="909"/>
      <c r="AC105" s="909"/>
      <c r="AD105" s="909"/>
      <c r="AE105" s="909"/>
      <c r="AF105" s="910"/>
      <c r="AG105" s="102">
        <f t="shared" si="45"/>
        <v>0</v>
      </c>
      <c r="AH105" s="156">
        <f t="shared" si="48"/>
        <v>0</v>
      </c>
    </row>
    <row r="106" spans="1:35" ht="75" x14ac:dyDescent="0.3">
      <c r="A106" s="139" t="s">
        <v>269</v>
      </c>
      <c r="B106" s="140"/>
      <c r="C106" s="141"/>
      <c r="D106" s="141"/>
      <c r="E106" s="141"/>
      <c r="F106" s="141"/>
      <c r="G106" s="141"/>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01"/>
      <c r="AG106" s="102">
        <f t="shared" si="45"/>
        <v>0</v>
      </c>
      <c r="AH106" s="156">
        <f t="shared" si="48"/>
        <v>0</v>
      </c>
    </row>
    <row r="107" spans="1:35" x14ac:dyDescent="0.3">
      <c r="A107" s="103" t="s">
        <v>31</v>
      </c>
      <c r="B107" s="104">
        <f>B108+B109+B110+B111</f>
        <v>7519.7999999999993</v>
      </c>
      <c r="C107" s="104">
        <f>C108+C109+C110+C111</f>
        <v>2186.1880000000001</v>
      </c>
      <c r="D107" s="104">
        <f>D108+D109+D110+D111</f>
        <v>1820.5140000000001</v>
      </c>
      <c r="E107" s="104">
        <f>E108+E109+E110+E111</f>
        <v>1820.5140000000001</v>
      </c>
      <c r="F107" s="107">
        <f>IFERROR(E107/B107*100,0)</f>
        <v>24.209606638474433</v>
      </c>
      <c r="G107" s="107">
        <f>IFERROR(E107/C107*100,0)</f>
        <v>83.273442174232045</v>
      </c>
      <c r="H107" s="104">
        <f>H108+H109+H110+H111</f>
        <v>1041.415</v>
      </c>
      <c r="I107" s="104">
        <f t="shared" ref="I107:AE107" si="60">I108+I109+I110+I111</f>
        <v>647.00599999999997</v>
      </c>
      <c r="J107" s="104">
        <f t="shared" si="60"/>
        <v>637.91399999999999</v>
      </c>
      <c r="K107" s="104">
        <f>K108+K109+K110+K111</f>
        <v>662.84900000000005</v>
      </c>
      <c r="L107" s="104">
        <f t="shared" si="60"/>
        <v>506.85899999999998</v>
      </c>
      <c r="M107" s="104">
        <f t="shared" si="60"/>
        <v>510.65899999999999</v>
      </c>
      <c r="N107" s="104">
        <f t="shared" si="60"/>
        <v>746.16800000000001</v>
      </c>
      <c r="O107" s="104">
        <f t="shared" si="60"/>
        <v>0</v>
      </c>
      <c r="P107" s="104">
        <f t="shared" si="60"/>
        <v>579.13099999999997</v>
      </c>
      <c r="Q107" s="104">
        <f t="shared" si="60"/>
        <v>0</v>
      </c>
      <c r="R107" s="104">
        <f t="shared" si="60"/>
        <v>506.85899999999998</v>
      </c>
      <c r="S107" s="104">
        <f t="shared" si="60"/>
        <v>0</v>
      </c>
      <c r="T107" s="104">
        <f t="shared" si="60"/>
        <v>746.16800000000001</v>
      </c>
      <c r="U107" s="104">
        <f t="shared" si="60"/>
        <v>0</v>
      </c>
      <c r="V107" s="104">
        <f t="shared" si="60"/>
        <v>579.13099999999997</v>
      </c>
      <c r="W107" s="104">
        <f t="shared" si="60"/>
        <v>0</v>
      </c>
      <c r="X107" s="104">
        <f t="shared" si="60"/>
        <v>506.85899999999998</v>
      </c>
      <c r="Y107" s="104">
        <f t="shared" si="60"/>
        <v>0</v>
      </c>
      <c r="Z107" s="104">
        <f t="shared" si="60"/>
        <v>746.16800000000001</v>
      </c>
      <c r="AA107" s="104">
        <f t="shared" si="60"/>
        <v>0</v>
      </c>
      <c r="AB107" s="104">
        <f t="shared" si="60"/>
        <v>563.83399999999995</v>
      </c>
      <c r="AC107" s="104">
        <f t="shared" si="60"/>
        <v>0</v>
      </c>
      <c r="AD107" s="104">
        <f t="shared" si="60"/>
        <v>359.29399999999998</v>
      </c>
      <c r="AE107" s="104">
        <f t="shared" si="60"/>
        <v>0</v>
      </c>
      <c r="AF107" s="101"/>
      <c r="AG107" s="102">
        <f t="shared" si="45"/>
        <v>0</v>
      </c>
      <c r="AH107" s="156">
        <f t="shared" si="48"/>
        <v>365.67399999999998</v>
      </c>
    </row>
    <row r="108" spans="1:35" x14ac:dyDescent="0.3">
      <c r="A108" s="106" t="s">
        <v>169</v>
      </c>
      <c r="B108" s="107">
        <f t="shared" ref="B108:B111" si="61">J108+L108+N108+P108+R108+T108+V108+X108+Z108+AB108+AD108+H108</f>
        <v>0</v>
      </c>
      <c r="C108" s="107">
        <f>H108+J108+L108+N108+P108+R108+T108+V108+X108+Z108+AB108+AD108</f>
        <v>0</v>
      </c>
      <c r="D108" s="107">
        <f t="shared" ref="D108:D111" si="62">E108</f>
        <v>0</v>
      </c>
      <c r="E108" s="107">
        <f t="shared" ref="E108:E111" si="63">SUM(I108,K108,M108,O108,Q108,S108,U108,W108,Y108,AA108,AC108,AE108)</f>
        <v>0</v>
      </c>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1"/>
      <c r="AG108" s="102">
        <f t="shared" si="45"/>
        <v>0</v>
      </c>
      <c r="AH108" s="156">
        <f t="shared" si="48"/>
        <v>0</v>
      </c>
    </row>
    <row r="109" spans="1:35" ht="19.5" thickBot="1" x14ac:dyDescent="0.35">
      <c r="A109" s="106" t="s">
        <v>32</v>
      </c>
      <c r="B109" s="107">
        <f t="shared" si="61"/>
        <v>0</v>
      </c>
      <c r="C109" s="107">
        <f>H109+J109+L109+N109+P109+R109+T109+V109+X109+Z109+AB109+AD109</f>
        <v>0</v>
      </c>
      <c r="D109" s="107">
        <f t="shared" si="62"/>
        <v>0</v>
      </c>
      <c r="E109" s="107">
        <f t="shared" si="63"/>
        <v>0</v>
      </c>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1"/>
      <c r="AG109" s="102">
        <f t="shared" si="45"/>
        <v>0</v>
      </c>
      <c r="AH109" s="156">
        <f t="shared" si="48"/>
        <v>0</v>
      </c>
    </row>
    <row r="110" spans="1:35" ht="19.5" thickBot="1" x14ac:dyDescent="0.35">
      <c r="A110" s="106" t="s">
        <v>33</v>
      </c>
      <c r="B110" s="805">
        <f t="shared" si="61"/>
        <v>7519.7999999999993</v>
      </c>
      <c r="C110" s="805">
        <f>H110+J110+L110</f>
        <v>2186.1880000000001</v>
      </c>
      <c r="D110" s="805">
        <f t="shared" si="62"/>
        <v>1820.5140000000001</v>
      </c>
      <c r="E110" s="107">
        <f t="shared" si="63"/>
        <v>1820.5140000000001</v>
      </c>
      <c r="F110" s="107">
        <f>IFERROR(E110/B110*100,0)</f>
        <v>24.209606638474433</v>
      </c>
      <c r="G110" s="107">
        <f>IFERROR(E110/C110*100,0)</f>
        <v>83.273442174232045</v>
      </c>
      <c r="H110" s="107">
        <v>1041.415</v>
      </c>
      <c r="I110" s="107">
        <v>647.00599999999997</v>
      </c>
      <c r="J110" s="107">
        <v>637.91399999999999</v>
      </c>
      <c r="K110" s="107">
        <v>662.84900000000005</v>
      </c>
      <c r="L110" s="107">
        <v>506.85899999999998</v>
      </c>
      <c r="M110" s="724">
        <v>510.65899999999999</v>
      </c>
      <c r="N110" s="107">
        <v>746.16800000000001</v>
      </c>
      <c r="O110" s="107"/>
      <c r="P110" s="107">
        <v>579.13099999999997</v>
      </c>
      <c r="Q110" s="107"/>
      <c r="R110" s="107">
        <v>506.85899999999998</v>
      </c>
      <c r="S110" s="107"/>
      <c r="T110" s="107">
        <v>746.16800000000001</v>
      </c>
      <c r="U110" s="107"/>
      <c r="V110" s="107">
        <v>579.13099999999997</v>
      </c>
      <c r="W110" s="107"/>
      <c r="X110" s="107">
        <v>506.85899999999998</v>
      </c>
      <c r="Y110" s="107"/>
      <c r="Z110" s="107">
        <v>746.16800000000001</v>
      </c>
      <c r="AA110" s="107"/>
      <c r="AB110" s="107">
        <v>563.83399999999995</v>
      </c>
      <c r="AC110" s="107"/>
      <c r="AD110" s="107">
        <v>359.29399999999998</v>
      </c>
      <c r="AE110" s="107"/>
      <c r="AF110" s="809" t="s">
        <v>596</v>
      </c>
      <c r="AG110" s="102">
        <f t="shared" si="45"/>
        <v>0</v>
      </c>
      <c r="AH110" s="798">
        <f t="shared" si="48"/>
        <v>365.67399999999998</v>
      </c>
    </row>
    <row r="111" spans="1:35" x14ac:dyDescent="0.3">
      <c r="A111" s="106" t="s">
        <v>170</v>
      </c>
      <c r="B111" s="107">
        <f t="shared" si="61"/>
        <v>0</v>
      </c>
      <c r="C111" s="107">
        <f>H111+J111+L111+N111+P111+R111+T111+V111+X111+Z111+AB111+AD111</f>
        <v>0</v>
      </c>
      <c r="D111" s="107">
        <f t="shared" si="62"/>
        <v>0</v>
      </c>
      <c r="E111" s="107">
        <f t="shared" si="63"/>
        <v>0</v>
      </c>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1"/>
      <c r="AG111" s="102">
        <f t="shared" si="45"/>
        <v>0</v>
      </c>
      <c r="AH111" s="156">
        <f t="shared" si="48"/>
        <v>0</v>
      </c>
    </row>
    <row r="112" spans="1:35" x14ac:dyDescent="0.3">
      <c r="A112" s="908" t="s">
        <v>270</v>
      </c>
      <c r="B112" s="909"/>
      <c r="C112" s="909"/>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09"/>
      <c r="AA112" s="909"/>
      <c r="AB112" s="909"/>
      <c r="AC112" s="909"/>
      <c r="AD112" s="909"/>
      <c r="AE112" s="909"/>
      <c r="AF112" s="910"/>
      <c r="AG112" s="102">
        <f t="shared" si="45"/>
        <v>0</v>
      </c>
      <c r="AH112" s="156">
        <f t="shared" si="48"/>
        <v>0</v>
      </c>
    </row>
    <row r="113" spans="1:35" x14ac:dyDescent="0.3">
      <c r="A113" s="908" t="s">
        <v>54</v>
      </c>
      <c r="B113" s="909"/>
      <c r="C113" s="909"/>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09"/>
      <c r="AA113" s="909"/>
      <c r="AB113" s="909"/>
      <c r="AC113" s="909"/>
      <c r="AD113" s="909"/>
      <c r="AE113" s="909"/>
      <c r="AF113" s="910"/>
      <c r="AG113" s="102">
        <f t="shared" si="45"/>
        <v>0</v>
      </c>
      <c r="AH113" s="156">
        <f t="shared" si="48"/>
        <v>0</v>
      </c>
    </row>
    <row r="114" spans="1:35" ht="300" x14ac:dyDescent="0.3">
      <c r="A114" s="98" t="s">
        <v>271</v>
      </c>
      <c r="B114" s="144"/>
      <c r="C114" s="145"/>
      <c r="D114" s="145"/>
      <c r="E114" s="145"/>
      <c r="F114" s="145"/>
      <c r="G114" s="145"/>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796" t="s">
        <v>591</v>
      </c>
      <c r="AG114" s="102">
        <f t="shared" si="45"/>
        <v>0</v>
      </c>
      <c r="AH114" s="156">
        <f t="shared" si="48"/>
        <v>0</v>
      </c>
    </row>
    <row r="115" spans="1:35" x14ac:dyDescent="0.3">
      <c r="A115" s="146" t="s">
        <v>31</v>
      </c>
      <c r="B115" s="104">
        <f>B116+B117+B118+B119</f>
        <v>249</v>
      </c>
      <c r="C115" s="104">
        <f>C116+C117+C118+C119</f>
        <v>210.70859999999999</v>
      </c>
      <c r="D115" s="104">
        <f>D116+D117+D118+D119</f>
        <v>17.600000000000001</v>
      </c>
      <c r="E115" s="104">
        <f>E116+E117+E118+E119</f>
        <v>17.600000000000001</v>
      </c>
      <c r="F115" s="107">
        <f>IFERROR(E115/B115*100,0)</f>
        <v>7.0682730923694788</v>
      </c>
      <c r="G115" s="107">
        <f>IFERROR(E115/C115*100,0)</f>
        <v>8.3527677560384355</v>
      </c>
      <c r="H115" s="104">
        <f t="shared" ref="H115:AE115" si="64">H116+H117+H118+H119</f>
        <v>0</v>
      </c>
      <c r="I115" s="104">
        <f t="shared" si="64"/>
        <v>0</v>
      </c>
      <c r="J115" s="104">
        <f t="shared" si="64"/>
        <v>210.70859999999999</v>
      </c>
      <c r="K115" s="104">
        <f t="shared" si="64"/>
        <v>17.600000000000001</v>
      </c>
      <c r="L115" s="104">
        <f t="shared" si="64"/>
        <v>0</v>
      </c>
      <c r="M115" s="104">
        <f t="shared" si="64"/>
        <v>0</v>
      </c>
      <c r="N115" s="104">
        <f t="shared" si="64"/>
        <v>0</v>
      </c>
      <c r="O115" s="104">
        <f t="shared" si="64"/>
        <v>0</v>
      </c>
      <c r="P115" s="104">
        <f t="shared" si="64"/>
        <v>0</v>
      </c>
      <c r="Q115" s="104">
        <f t="shared" si="64"/>
        <v>0</v>
      </c>
      <c r="R115" s="104">
        <f t="shared" si="64"/>
        <v>0</v>
      </c>
      <c r="S115" s="104">
        <f t="shared" si="64"/>
        <v>0</v>
      </c>
      <c r="T115" s="104">
        <f t="shared" si="64"/>
        <v>0</v>
      </c>
      <c r="U115" s="104">
        <f t="shared" si="64"/>
        <v>0</v>
      </c>
      <c r="V115" s="104">
        <f t="shared" si="64"/>
        <v>0</v>
      </c>
      <c r="W115" s="104">
        <f t="shared" si="64"/>
        <v>0</v>
      </c>
      <c r="X115" s="104">
        <f t="shared" si="64"/>
        <v>38.291400000000003</v>
      </c>
      <c r="Y115" s="104">
        <f t="shared" si="64"/>
        <v>0</v>
      </c>
      <c r="Z115" s="104">
        <f t="shared" si="64"/>
        <v>0</v>
      </c>
      <c r="AA115" s="104">
        <f t="shared" si="64"/>
        <v>0</v>
      </c>
      <c r="AB115" s="104">
        <f t="shared" si="64"/>
        <v>0</v>
      </c>
      <c r="AC115" s="104">
        <f t="shared" si="64"/>
        <v>0</v>
      </c>
      <c r="AD115" s="104">
        <f t="shared" si="64"/>
        <v>0</v>
      </c>
      <c r="AE115" s="104">
        <f t="shared" si="64"/>
        <v>0</v>
      </c>
      <c r="AF115" s="101"/>
      <c r="AG115" s="102">
        <f t="shared" si="45"/>
        <v>7.1054273576010019E-15</v>
      </c>
      <c r="AH115" s="156">
        <f t="shared" si="48"/>
        <v>193.1086</v>
      </c>
    </row>
    <row r="116" spans="1:35" x14ac:dyDescent="0.3">
      <c r="A116" s="147" t="s">
        <v>169</v>
      </c>
      <c r="B116" s="107">
        <f t="shared" ref="B116:B119" si="65">J116+L116+N116+P116+R116+T116+V116+X116+Z116+AB116+AD116+H116</f>
        <v>0</v>
      </c>
      <c r="C116" s="107">
        <f>H116+J116+L116+N116+P116+R116+T116+V116+X116+Z116+AB116+AD116</f>
        <v>0</v>
      </c>
      <c r="D116" s="107">
        <f t="shared" ref="D116:D119" si="66">E116</f>
        <v>0</v>
      </c>
      <c r="E116" s="107">
        <f t="shared" ref="E116:E119" si="67">SUM(I116,K116,M116,O116,Q116,S116,U116,W116,Y116,AA116,AC116,AE116)</f>
        <v>0</v>
      </c>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1"/>
      <c r="AG116" s="102">
        <f t="shared" si="45"/>
        <v>0</v>
      </c>
      <c r="AH116" s="156">
        <f t="shared" si="48"/>
        <v>0</v>
      </c>
    </row>
    <row r="117" spans="1:35" x14ac:dyDescent="0.3">
      <c r="A117" s="147" t="s">
        <v>32</v>
      </c>
      <c r="B117" s="107">
        <f t="shared" si="65"/>
        <v>0</v>
      </c>
      <c r="C117" s="107">
        <f>H117+J117+L117+N117+P117+R117+T117+V117+X117+Z117+AB117+AD117</f>
        <v>0</v>
      </c>
      <c r="D117" s="107">
        <f t="shared" si="66"/>
        <v>0</v>
      </c>
      <c r="E117" s="107">
        <f t="shared" si="67"/>
        <v>0</v>
      </c>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1"/>
      <c r="AG117" s="102">
        <f t="shared" si="45"/>
        <v>0</v>
      </c>
      <c r="AH117" s="156">
        <f t="shared" si="48"/>
        <v>0</v>
      </c>
    </row>
    <row r="118" spans="1:35" x14ac:dyDescent="0.3">
      <c r="A118" s="147" t="s">
        <v>33</v>
      </c>
      <c r="B118" s="805">
        <f t="shared" si="65"/>
        <v>249</v>
      </c>
      <c r="C118" s="805">
        <f>H118+J118+L118</f>
        <v>210.70859999999999</v>
      </c>
      <c r="D118" s="107">
        <f t="shared" si="66"/>
        <v>17.600000000000001</v>
      </c>
      <c r="E118" s="803">
        <f t="shared" si="67"/>
        <v>17.600000000000001</v>
      </c>
      <c r="F118" s="107">
        <f>IFERROR(E118/B118*100,0)</f>
        <v>7.0682730923694788</v>
      </c>
      <c r="G118" s="107">
        <f>IFERROR(E118/C118*100,0)</f>
        <v>8.3527677560384355</v>
      </c>
      <c r="H118" s="107"/>
      <c r="I118" s="107"/>
      <c r="J118" s="107">
        <v>210.70859999999999</v>
      </c>
      <c r="K118" s="107">
        <v>17.600000000000001</v>
      </c>
      <c r="L118" s="107"/>
      <c r="M118" s="107"/>
      <c r="N118" s="107"/>
      <c r="O118" s="107"/>
      <c r="P118" s="107"/>
      <c r="Q118" s="107"/>
      <c r="R118" s="107"/>
      <c r="S118" s="107"/>
      <c r="T118" s="107"/>
      <c r="U118" s="107"/>
      <c r="V118" s="107"/>
      <c r="W118" s="107"/>
      <c r="X118" s="107">
        <v>38.291400000000003</v>
      </c>
      <c r="Y118" s="107"/>
      <c r="Z118" s="107"/>
      <c r="AA118" s="107"/>
      <c r="AB118" s="107"/>
      <c r="AC118" s="107"/>
      <c r="AD118" s="107"/>
      <c r="AE118" s="107"/>
      <c r="AF118" s="101"/>
      <c r="AG118" s="102">
        <f t="shared" si="45"/>
        <v>7.1054273576010019E-15</v>
      </c>
      <c r="AH118" s="806">
        <f t="shared" si="48"/>
        <v>193.1086</v>
      </c>
      <c r="AI118" s="799">
        <v>0</v>
      </c>
    </row>
    <row r="119" spans="1:35" x14ac:dyDescent="0.3">
      <c r="A119" s="147" t="s">
        <v>170</v>
      </c>
      <c r="B119" s="107">
        <f t="shared" si="65"/>
        <v>0</v>
      </c>
      <c r="C119" s="107">
        <f>H119+J119+L119+N119+P119+R119+T119+V119+X119+Z119+AB119+AD119</f>
        <v>0</v>
      </c>
      <c r="D119" s="107">
        <f t="shared" si="66"/>
        <v>0</v>
      </c>
      <c r="E119" s="107">
        <f t="shared" si="67"/>
        <v>0</v>
      </c>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1"/>
      <c r="AG119" s="102">
        <f t="shared" si="45"/>
        <v>0</v>
      </c>
      <c r="AH119" s="156">
        <f t="shared" si="48"/>
        <v>0</v>
      </c>
    </row>
    <row r="120" spans="1:35" ht="83.25" customHeight="1" x14ac:dyDescent="0.3">
      <c r="A120" s="98" t="s">
        <v>272</v>
      </c>
      <c r="B120" s="144"/>
      <c r="C120" s="145"/>
      <c r="D120" s="145"/>
      <c r="E120" s="145"/>
      <c r="F120" s="145"/>
      <c r="G120" s="145"/>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01"/>
      <c r="AG120" s="102">
        <f t="shared" si="45"/>
        <v>0</v>
      </c>
      <c r="AH120" s="156">
        <f t="shared" si="48"/>
        <v>0</v>
      </c>
    </row>
    <row r="121" spans="1:35" x14ac:dyDescent="0.3">
      <c r="A121" s="146" t="s">
        <v>31</v>
      </c>
      <c r="B121" s="104">
        <f>B122+B123+B124+B125</f>
        <v>0</v>
      </c>
      <c r="C121" s="104">
        <f>C122+C123+C124+C125</f>
        <v>0</v>
      </c>
      <c r="D121" s="104">
        <f>D122+D123+D124+D125</f>
        <v>0</v>
      </c>
      <c r="E121" s="104">
        <f>E122+E123+E124+E125</f>
        <v>0</v>
      </c>
      <c r="F121" s="107">
        <f>IFERROR(E121/B121*100,0)</f>
        <v>0</v>
      </c>
      <c r="G121" s="107">
        <f>IFERROR(E121/C121*100,0)</f>
        <v>0</v>
      </c>
      <c r="H121" s="104">
        <f t="shared" ref="H121:AE121" si="68">H122+H123+H124+H125</f>
        <v>0</v>
      </c>
      <c r="I121" s="104">
        <f t="shared" si="68"/>
        <v>0</v>
      </c>
      <c r="J121" s="104">
        <f t="shared" si="68"/>
        <v>0</v>
      </c>
      <c r="K121" s="104">
        <f t="shared" si="68"/>
        <v>0</v>
      </c>
      <c r="L121" s="104">
        <f t="shared" si="68"/>
        <v>0</v>
      </c>
      <c r="M121" s="104">
        <f t="shared" si="68"/>
        <v>0</v>
      </c>
      <c r="N121" s="104">
        <f t="shared" si="68"/>
        <v>0</v>
      </c>
      <c r="O121" s="104">
        <f t="shared" si="68"/>
        <v>0</v>
      </c>
      <c r="P121" s="104">
        <f t="shared" si="68"/>
        <v>0</v>
      </c>
      <c r="Q121" s="104">
        <f t="shared" si="68"/>
        <v>0</v>
      </c>
      <c r="R121" s="104">
        <f t="shared" si="68"/>
        <v>0</v>
      </c>
      <c r="S121" s="104">
        <f t="shared" si="68"/>
        <v>0</v>
      </c>
      <c r="T121" s="104">
        <f t="shared" si="68"/>
        <v>0</v>
      </c>
      <c r="U121" s="104">
        <f t="shared" si="68"/>
        <v>0</v>
      </c>
      <c r="V121" s="104">
        <f t="shared" si="68"/>
        <v>0</v>
      </c>
      <c r="W121" s="104">
        <f t="shared" si="68"/>
        <v>0</v>
      </c>
      <c r="X121" s="104">
        <f t="shared" si="68"/>
        <v>0</v>
      </c>
      <c r="Y121" s="104">
        <f t="shared" si="68"/>
        <v>0</v>
      </c>
      <c r="Z121" s="104">
        <f t="shared" si="68"/>
        <v>0</v>
      </c>
      <c r="AA121" s="104">
        <f t="shared" si="68"/>
        <v>0</v>
      </c>
      <c r="AB121" s="104">
        <f t="shared" si="68"/>
        <v>0</v>
      </c>
      <c r="AC121" s="104">
        <f t="shared" si="68"/>
        <v>0</v>
      </c>
      <c r="AD121" s="104">
        <f t="shared" si="68"/>
        <v>0</v>
      </c>
      <c r="AE121" s="104">
        <f t="shared" si="68"/>
        <v>0</v>
      </c>
      <c r="AF121" s="101"/>
      <c r="AG121" s="102">
        <f t="shared" si="45"/>
        <v>0</v>
      </c>
      <c r="AH121" s="156">
        <f t="shared" si="48"/>
        <v>0</v>
      </c>
    </row>
    <row r="122" spans="1:35" x14ac:dyDescent="0.3">
      <c r="A122" s="147" t="s">
        <v>169</v>
      </c>
      <c r="B122" s="107">
        <f t="shared" ref="B122:B125" si="69">J122+L122+N122+P122+R122+T122+V122+X122+Z122+AB122+AD122+H122</f>
        <v>0</v>
      </c>
      <c r="C122" s="107">
        <f t="shared" ref="C122:C125" si="70">SUM(H122)</f>
        <v>0</v>
      </c>
      <c r="D122" s="107">
        <f t="shared" ref="D122:D125" si="71">E122</f>
        <v>0</v>
      </c>
      <c r="E122" s="107">
        <f t="shared" ref="E122:E125" si="72">SUM(I122,K122,M122,O122,Q122,S122,U122,W122,Y122,AA122,AC122,AE122)</f>
        <v>0</v>
      </c>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1"/>
      <c r="AG122" s="102">
        <f t="shared" si="45"/>
        <v>0</v>
      </c>
      <c r="AH122" s="156">
        <f t="shared" si="48"/>
        <v>0</v>
      </c>
    </row>
    <row r="123" spans="1:35" x14ac:dyDescent="0.3">
      <c r="A123" s="147" t="s">
        <v>32</v>
      </c>
      <c r="B123" s="107">
        <f t="shared" si="69"/>
        <v>0</v>
      </c>
      <c r="C123" s="107">
        <f t="shared" si="70"/>
        <v>0</v>
      </c>
      <c r="D123" s="107">
        <f t="shared" si="71"/>
        <v>0</v>
      </c>
      <c r="E123" s="107">
        <f t="shared" si="72"/>
        <v>0</v>
      </c>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1"/>
      <c r="AG123" s="102">
        <f t="shared" si="45"/>
        <v>0</v>
      </c>
      <c r="AH123" s="156">
        <f t="shared" si="48"/>
        <v>0</v>
      </c>
    </row>
    <row r="124" spans="1:35" x14ac:dyDescent="0.3">
      <c r="A124" s="147" t="s">
        <v>33</v>
      </c>
      <c r="B124" s="107">
        <f t="shared" si="69"/>
        <v>0</v>
      </c>
      <c r="C124" s="107">
        <f t="shared" si="70"/>
        <v>0</v>
      </c>
      <c r="D124" s="107">
        <f t="shared" si="71"/>
        <v>0</v>
      </c>
      <c r="E124" s="107">
        <f t="shared" si="72"/>
        <v>0</v>
      </c>
      <c r="F124" s="107">
        <f>IFERROR(E124/B124*100,0)</f>
        <v>0</v>
      </c>
      <c r="G124" s="107">
        <f>IFERROR(E124/C124*100,0)</f>
        <v>0</v>
      </c>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1"/>
      <c r="AG124" s="102">
        <f t="shared" si="45"/>
        <v>0</v>
      </c>
      <c r="AH124" s="156">
        <f t="shared" si="48"/>
        <v>0</v>
      </c>
    </row>
    <row r="125" spans="1:35" x14ac:dyDescent="0.3">
      <c r="A125" s="147" t="s">
        <v>170</v>
      </c>
      <c r="B125" s="107">
        <f t="shared" si="69"/>
        <v>0</v>
      </c>
      <c r="C125" s="107">
        <f t="shared" si="70"/>
        <v>0</v>
      </c>
      <c r="D125" s="107">
        <f t="shared" si="71"/>
        <v>0</v>
      </c>
      <c r="E125" s="107">
        <f t="shared" si="72"/>
        <v>0</v>
      </c>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1"/>
      <c r="AG125" s="102">
        <f t="shared" si="45"/>
        <v>0</v>
      </c>
      <c r="AH125" s="156">
        <f t="shared" si="48"/>
        <v>0</v>
      </c>
    </row>
    <row r="126" spans="1:35" ht="68.25" customHeight="1" x14ac:dyDescent="0.3">
      <c r="A126" s="98" t="s">
        <v>273</v>
      </c>
      <c r="B126" s="144"/>
      <c r="C126" s="145"/>
      <c r="D126" s="145"/>
      <c r="E126" s="145"/>
      <c r="F126" s="145"/>
      <c r="G126" s="145"/>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01"/>
      <c r="AG126" s="102">
        <f t="shared" si="45"/>
        <v>0</v>
      </c>
      <c r="AH126" s="156">
        <f t="shared" si="48"/>
        <v>0</v>
      </c>
    </row>
    <row r="127" spans="1:35" x14ac:dyDescent="0.3">
      <c r="A127" s="146" t="s">
        <v>31</v>
      </c>
      <c r="B127" s="104">
        <f>B128+B129+B130+B131</f>
        <v>0</v>
      </c>
      <c r="C127" s="104">
        <f>C128+C129+C130+C131</f>
        <v>0</v>
      </c>
      <c r="D127" s="104">
        <f>D128+D129+D130+D131</f>
        <v>0</v>
      </c>
      <c r="E127" s="104">
        <f>E128+E129+E130+E131</f>
        <v>0</v>
      </c>
      <c r="F127" s="107">
        <f>IFERROR(E127/B127*100,0)</f>
        <v>0</v>
      </c>
      <c r="G127" s="107">
        <f>IFERROR(E127/C127*100,0)</f>
        <v>0</v>
      </c>
      <c r="H127" s="104">
        <f t="shared" ref="H127:AE127" si="73">H128+H129+H130+H131</f>
        <v>0</v>
      </c>
      <c r="I127" s="104">
        <f t="shared" si="73"/>
        <v>0</v>
      </c>
      <c r="J127" s="104">
        <f t="shared" si="73"/>
        <v>0</v>
      </c>
      <c r="K127" s="104">
        <f t="shared" si="73"/>
        <v>0</v>
      </c>
      <c r="L127" s="104">
        <f t="shared" si="73"/>
        <v>0</v>
      </c>
      <c r="M127" s="104">
        <f t="shared" si="73"/>
        <v>0</v>
      </c>
      <c r="N127" s="104">
        <f t="shared" si="73"/>
        <v>0</v>
      </c>
      <c r="O127" s="104">
        <f t="shared" si="73"/>
        <v>0</v>
      </c>
      <c r="P127" s="104">
        <f t="shared" si="73"/>
        <v>0</v>
      </c>
      <c r="Q127" s="104">
        <f t="shared" si="73"/>
        <v>0</v>
      </c>
      <c r="R127" s="104">
        <f t="shared" si="73"/>
        <v>0</v>
      </c>
      <c r="S127" s="104">
        <f t="shared" si="73"/>
        <v>0</v>
      </c>
      <c r="T127" s="104">
        <f t="shared" si="73"/>
        <v>0</v>
      </c>
      <c r="U127" s="104">
        <f t="shared" si="73"/>
        <v>0</v>
      </c>
      <c r="V127" s="104">
        <f t="shared" si="73"/>
        <v>0</v>
      </c>
      <c r="W127" s="104">
        <f t="shared" si="73"/>
        <v>0</v>
      </c>
      <c r="X127" s="104">
        <f t="shared" si="73"/>
        <v>0</v>
      </c>
      <c r="Y127" s="104">
        <f t="shared" si="73"/>
        <v>0</v>
      </c>
      <c r="Z127" s="104">
        <f t="shared" si="73"/>
        <v>0</v>
      </c>
      <c r="AA127" s="104">
        <f t="shared" si="73"/>
        <v>0</v>
      </c>
      <c r="AB127" s="104">
        <f t="shared" si="73"/>
        <v>0</v>
      </c>
      <c r="AC127" s="104">
        <f t="shared" si="73"/>
        <v>0</v>
      </c>
      <c r="AD127" s="104">
        <f t="shared" si="73"/>
        <v>0</v>
      </c>
      <c r="AE127" s="104">
        <f t="shared" si="73"/>
        <v>0</v>
      </c>
      <c r="AF127" s="101"/>
      <c r="AG127" s="102">
        <f t="shared" si="45"/>
        <v>0</v>
      </c>
      <c r="AH127" s="156">
        <f t="shared" si="48"/>
        <v>0</v>
      </c>
    </row>
    <row r="128" spans="1:35" x14ac:dyDescent="0.3">
      <c r="A128" s="147" t="s">
        <v>169</v>
      </c>
      <c r="B128" s="107">
        <f t="shared" ref="B128:B131" si="74">J128+L128+N128+P128+R128+T128+V128+X128+Z128+AB128+AD128+H128</f>
        <v>0</v>
      </c>
      <c r="C128" s="107">
        <f t="shared" ref="C128:C131" si="75">SUM(H128)</f>
        <v>0</v>
      </c>
      <c r="D128" s="107">
        <f t="shared" ref="D128:D131" si="76">E128</f>
        <v>0</v>
      </c>
      <c r="E128" s="107">
        <f t="shared" ref="E128:E131" si="77">SUM(I128,K128,M128,O128,Q128,S128,U128,W128,Y128,AA128,AC128,AE128)</f>
        <v>0</v>
      </c>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1"/>
      <c r="AG128" s="102">
        <f t="shared" si="45"/>
        <v>0</v>
      </c>
      <c r="AH128" s="156">
        <f t="shared" si="48"/>
        <v>0</v>
      </c>
    </row>
    <row r="129" spans="1:34" x14ac:dyDescent="0.3">
      <c r="A129" s="147" t="s">
        <v>32</v>
      </c>
      <c r="B129" s="107">
        <f t="shared" si="74"/>
        <v>0</v>
      </c>
      <c r="C129" s="107">
        <f t="shared" si="75"/>
        <v>0</v>
      </c>
      <c r="D129" s="107">
        <f t="shared" si="76"/>
        <v>0</v>
      </c>
      <c r="E129" s="107">
        <f t="shared" si="77"/>
        <v>0</v>
      </c>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1"/>
      <c r="AG129" s="102">
        <f t="shared" si="45"/>
        <v>0</v>
      </c>
      <c r="AH129" s="156">
        <f t="shared" si="48"/>
        <v>0</v>
      </c>
    </row>
    <row r="130" spans="1:34" x14ac:dyDescent="0.3">
      <c r="A130" s="147" t="s">
        <v>33</v>
      </c>
      <c r="B130" s="107">
        <f t="shared" si="74"/>
        <v>0</v>
      </c>
      <c r="C130" s="107">
        <f t="shared" si="75"/>
        <v>0</v>
      </c>
      <c r="D130" s="107">
        <f t="shared" si="76"/>
        <v>0</v>
      </c>
      <c r="E130" s="107">
        <f t="shared" si="77"/>
        <v>0</v>
      </c>
      <c r="F130" s="107">
        <f>IFERROR(E130/B130*100,0)</f>
        <v>0</v>
      </c>
      <c r="G130" s="107">
        <f>IFERROR(E130/C130*100,0)</f>
        <v>0</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1"/>
      <c r="AG130" s="102">
        <f t="shared" si="45"/>
        <v>0</v>
      </c>
      <c r="AH130" s="156">
        <f t="shared" si="48"/>
        <v>0</v>
      </c>
    </row>
    <row r="131" spans="1:34" x14ac:dyDescent="0.3">
      <c r="A131" s="147" t="s">
        <v>170</v>
      </c>
      <c r="B131" s="107">
        <f t="shared" si="74"/>
        <v>0</v>
      </c>
      <c r="C131" s="107">
        <f t="shared" si="75"/>
        <v>0</v>
      </c>
      <c r="D131" s="107">
        <f t="shared" si="76"/>
        <v>0</v>
      </c>
      <c r="E131" s="107">
        <f t="shared" si="77"/>
        <v>0</v>
      </c>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1"/>
      <c r="AG131" s="102">
        <f t="shared" si="45"/>
        <v>0</v>
      </c>
      <c r="AH131" s="156">
        <f t="shared" si="48"/>
        <v>0</v>
      </c>
    </row>
    <row r="132" spans="1:34" x14ac:dyDescent="0.3">
      <c r="A132" s="149" t="s">
        <v>217</v>
      </c>
      <c r="B132" s="861">
        <f>B133+B134+B135+B136</f>
        <v>391873.67267999996</v>
      </c>
      <c r="C132" s="150">
        <f>C133+C134+C135</f>
        <v>119350.20554</v>
      </c>
      <c r="D132" s="150">
        <f>D133+D134+D135</f>
        <v>57662.506000000008</v>
      </c>
      <c r="E132" s="150">
        <f>E133+E134+E135</f>
        <v>57662.506000000008</v>
      </c>
      <c r="F132" s="150">
        <f t="shared" ref="F132:F146" si="78">IFERROR(E132/B132*100,0)</f>
        <v>14.714564927429208</v>
      </c>
      <c r="G132" s="150">
        <f t="shared" ref="G132:G146" si="79">IFERROR(E132/C132*100,0)</f>
        <v>48.313704814420724</v>
      </c>
      <c r="H132" s="150">
        <f t="shared" ref="H132:AE132" si="80">H133+H134+H135+H136</f>
        <v>48965.907810000004</v>
      </c>
      <c r="I132" s="150">
        <f t="shared" si="80"/>
        <v>13552.813</v>
      </c>
      <c r="J132" s="150">
        <f t="shared" si="80"/>
        <v>42068.531109999996</v>
      </c>
      <c r="K132" s="150">
        <f t="shared" si="80"/>
        <v>22511.485999999994</v>
      </c>
      <c r="L132" s="150">
        <f t="shared" si="80"/>
        <v>28315.766620000002</v>
      </c>
      <c r="M132" s="150">
        <f t="shared" si="80"/>
        <v>21598.206999999999</v>
      </c>
      <c r="N132" s="150">
        <f t="shared" si="80"/>
        <v>40414.152000000002</v>
      </c>
      <c r="O132" s="150">
        <f t="shared" si="80"/>
        <v>0</v>
      </c>
      <c r="P132" s="150">
        <f t="shared" si="80"/>
        <v>36756.72208</v>
      </c>
      <c r="Q132" s="150">
        <f t="shared" si="80"/>
        <v>0</v>
      </c>
      <c r="R132" s="150">
        <f t="shared" si="80"/>
        <v>29886.016480000002</v>
      </c>
      <c r="S132" s="150">
        <f t="shared" si="80"/>
        <v>0</v>
      </c>
      <c r="T132" s="150">
        <f t="shared" si="80"/>
        <v>36043.021160000004</v>
      </c>
      <c r="U132" s="150">
        <f t="shared" si="80"/>
        <v>0</v>
      </c>
      <c r="V132" s="150">
        <f t="shared" si="80"/>
        <v>26574.495460000006</v>
      </c>
      <c r="W132" s="150">
        <f t="shared" si="80"/>
        <v>0</v>
      </c>
      <c r="X132" s="150">
        <f t="shared" si="80"/>
        <v>22354.504699999998</v>
      </c>
      <c r="Y132" s="150">
        <f t="shared" si="80"/>
        <v>0</v>
      </c>
      <c r="Z132" s="150">
        <f t="shared" si="80"/>
        <v>26108.162470000003</v>
      </c>
      <c r="AA132" s="150">
        <f t="shared" si="80"/>
        <v>0</v>
      </c>
      <c r="AB132" s="150">
        <f t="shared" si="80"/>
        <v>24765.921539999999</v>
      </c>
      <c r="AC132" s="150">
        <f t="shared" si="80"/>
        <v>0</v>
      </c>
      <c r="AD132" s="150">
        <f t="shared" si="80"/>
        <v>29620.471250000002</v>
      </c>
      <c r="AE132" s="150">
        <f t="shared" si="80"/>
        <v>0</v>
      </c>
      <c r="AF132" s="150"/>
      <c r="AG132" s="102">
        <f t="shared" si="45"/>
        <v>-4.0017766878008842E-11</v>
      </c>
      <c r="AH132" s="156">
        <f t="shared" si="48"/>
        <v>61687.699539999987</v>
      </c>
    </row>
    <row r="133" spans="1:34" x14ac:dyDescent="0.3">
      <c r="A133" s="151" t="s">
        <v>169</v>
      </c>
      <c r="B133" s="152">
        <f>B20+B56+B68+B94+B100+B108+B116+B74+B13+B122+B128</f>
        <v>0</v>
      </c>
      <c r="C133" s="152">
        <f t="shared" ref="C133:E136" si="81">C20+C56+C68+C94+C100+C108+C116+C74+C13+C122+C128</f>
        <v>0</v>
      </c>
      <c r="D133" s="152">
        <f t="shared" si="81"/>
        <v>0</v>
      </c>
      <c r="E133" s="152">
        <f t="shared" si="81"/>
        <v>0</v>
      </c>
      <c r="F133" s="152">
        <f t="shared" si="78"/>
        <v>0</v>
      </c>
      <c r="G133" s="152">
        <f t="shared" si="79"/>
        <v>0</v>
      </c>
      <c r="H133" s="152">
        <f t="shared" ref="H133:AE136" si="82">H20+H56+H68+H94+H100+H108+H116+H74+H13+H122+H128</f>
        <v>0</v>
      </c>
      <c r="I133" s="152">
        <f t="shared" si="82"/>
        <v>0</v>
      </c>
      <c r="J133" s="152">
        <f t="shared" si="82"/>
        <v>0</v>
      </c>
      <c r="K133" s="152">
        <f t="shared" si="82"/>
        <v>0</v>
      </c>
      <c r="L133" s="152">
        <f t="shared" si="82"/>
        <v>0</v>
      </c>
      <c r="M133" s="152">
        <f t="shared" si="82"/>
        <v>0</v>
      </c>
      <c r="N133" s="152">
        <f t="shared" si="82"/>
        <v>0</v>
      </c>
      <c r="O133" s="152">
        <f t="shared" si="82"/>
        <v>0</v>
      </c>
      <c r="P133" s="152">
        <f t="shared" si="82"/>
        <v>0</v>
      </c>
      <c r="Q133" s="152">
        <f t="shared" si="82"/>
        <v>0</v>
      </c>
      <c r="R133" s="152">
        <f t="shared" si="82"/>
        <v>0</v>
      </c>
      <c r="S133" s="152">
        <f t="shared" si="82"/>
        <v>0</v>
      </c>
      <c r="T133" s="152">
        <f t="shared" si="82"/>
        <v>0</v>
      </c>
      <c r="U133" s="152">
        <f t="shared" si="82"/>
        <v>0</v>
      </c>
      <c r="V133" s="152">
        <f t="shared" si="82"/>
        <v>0</v>
      </c>
      <c r="W133" s="152">
        <f t="shared" si="82"/>
        <v>0</v>
      </c>
      <c r="X133" s="152">
        <f t="shared" si="82"/>
        <v>0</v>
      </c>
      <c r="Y133" s="152">
        <f t="shared" si="82"/>
        <v>0</v>
      </c>
      <c r="Z133" s="152">
        <f t="shared" si="82"/>
        <v>0</v>
      </c>
      <c r="AA133" s="152">
        <f t="shared" si="82"/>
        <v>0</v>
      </c>
      <c r="AB133" s="152">
        <f t="shared" si="82"/>
        <v>0</v>
      </c>
      <c r="AC133" s="152">
        <f t="shared" si="82"/>
        <v>0</v>
      </c>
      <c r="AD133" s="152">
        <f t="shared" si="82"/>
        <v>0</v>
      </c>
      <c r="AE133" s="152">
        <f t="shared" si="82"/>
        <v>0</v>
      </c>
      <c r="AF133" s="152"/>
      <c r="AG133" s="102">
        <f t="shared" si="45"/>
        <v>0</v>
      </c>
      <c r="AH133" s="156">
        <f t="shared" si="48"/>
        <v>0</v>
      </c>
    </row>
    <row r="134" spans="1:34" x14ac:dyDescent="0.3">
      <c r="A134" s="151" t="s">
        <v>32</v>
      </c>
      <c r="B134" s="862">
        <f>B21+B57+B69+B95+B101+B109+B117+B75+B14+B123+B129</f>
        <v>14704.295</v>
      </c>
      <c r="C134" s="152">
        <f t="shared" si="81"/>
        <v>2113.66</v>
      </c>
      <c r="D134" s="152">
        <f t="shared" si="81"/>
        <v>372.46</v>
      </c>
      <c r="E134" s="152">
        <f t="shared" si="81"/>
        <v>372.46</v>
      </c>
      <c r="F134" s="152">
        <f t="shared" si="78"/>
        <v>2.53300141217243</v>
      </c>
      <c r="G134" s="152">
        <f t="shared" si="79"/>
        <v>17.621566382483465</v>
      </c>
      <c r="H134" s="152">
        <f t="shared" si="82"/>
        <v>0</v>
      </c>
      <c r="I134" s="152">
        <f t="shared" si="82"/>
        <v>0</v>
      </c>
      <c r="J134" s="152">
        <f t="shared" si="82"/>
        <v>0</v>
      </c>
      <c r="K134" s="152">
        <f t="shared" si="82"/>
        <v>0</v>
      </c>
      <c r="L134" s="152">
        <f t="shared" si="82"/>
        <v>2113.66</v>
      </c>
      <c r="M134" s="152">
        <f t="shared" si="82"/>
        <v>372.46</v>
      </c>
      <c r="N134" s="152">
        <f t="shared" si="82"/>
        <v>1777.55</v>
      </c>
      <c r="O134" s="152">
        <f t="shared" si="82"/>
        <v>0</v>
      </c>
      <c r="P134" s="152">
        <f t="shared" si="82"/>
        <v>3002.03</v>
      </c>
      <c r="Q134" s="152">
        <f t="shared" si="82"/>
        <v>0</v>
      </c>
      <c r="R134" s="152">
        <f t="shared" si="82"/>
        <v>0</v>
      </c>
      <c r="S134" s="152">
        <f t="shared" si="82"/>
        <v>0</v>
      </c>
      <c r="T134" s="152">
        <f t="shared" si="82"/>
        <v>7084.4</v>
      </c>
      <c r="U134" s="152">
        <f t="shared" si="82"/>
        <v>0</v>
      </c>
      <c r="V134" s="152">
        <f t="shared" si="82"/>
        <v>326.04000000000002</v>
      </c>
      <c r="W134" s="152">
        <f t="shared" si="82"/>
        <v>0</v>
      </c>
      <c r="X134" s="152">
        <f t="shared" si="82"/>
        <v>0</v>
      </c>
      <c r="Y134" s="152">
        <f t="shared" si="82"/>
        <v>0</v>
      </c>
      <c r="Z134" s="152">
        <f t="shared" si="82"/>
        <v>246.95249999999999</v>
      </c>
      <c r="AA134" s="152">
        <f t="shared" si="82"/>
        <v>0</v>
      </c>
      <c r="AB134" s="152">
        <f t="shared" si="82"/>
        <v>153.66249999999999</v>
      </c>
      <c r="AC134" s="152">
        <f t="shared" si="82"/>
        <v>0</v>
      </c>
      <c r="AD134" s="152">
        <f t="shared" si="82"/>
        <v>0</v>
      </c>
      <c r="AE134" s="152">
        <f t="shared" si="82"/>
        <v>0</v>
      </c>
      <c r="AF134" s="152"/>
      <c r="AG134" s="102">
        <f t="shared" si="45"/>
        <v>6.5369931689929217E-13</v>
      </c>
      <c r="AH134" s="156">
        <f t="shared" si="48"/>
        <v>1741.1999999999998</v>
      </c>
    </row>
    <row r="135" spans="1:34" x14ac:dyDescent="0.3">
      <c r="A135" s="151" t="s">
        <v>33</v>
      </c>
      <c r="B135" s="862">
        <f>B22+B58+B70+B96+B102+B110+B118+B76+B15+B124+B130</f>
        <v>377169.37767999998</v>
      </c>
      <c r="C135" s="152">
        <f t="shared" si="81"/>
        <v>117236.54553999999</v>
      </c>
      <c r="D135" s="152">
        <f t="shared" si="81"/>
        <v>57290.046000000009</v>
      </c>
      <c r="E135" s="152">
        <f t="shared" si="81"/>
        <v>57290.046000000009</v>
      </c>
      <c r="F135" s="152">
        <f t="shared" si="78"/>
        <v>15.189474382145182</v>
      </c>
      <c r="G135" s="152">
        <f t="shared" si="79"/>
        <v>48.867053985698675</v>
      </c>
      <c r="H135" s="152">
        <f t="shared" si="82"/>
        <v>48965.907810000004</v>
      </c>
      <c r="I135" s="152">
        <f t="shared" si="82"/>
        <v>13552.813</v>
      </c>
      <c r="J135" s="152">
        <f t="shared" si="82"/>
        <v>42068.531109999996</v>
      </c>
      <c r="K135" s="152">
        <f t="shared" si="82"/>
        <v>22511.485999999994</v>
      </c>
      <c r="L135" s="152">
        <f t="shared" si="82"/>
        <v>26202.106620000002</v>
      </c>
      <c r="M135" s="152">
        <f t="shared" si="82"/>
        <v>21225.746999999999</v>
      </c>
      <c r="N135" s="152">
        <f t="shared" si="82"/>
        <v>38636.601999999999</v>
      </c>
      <c r="O135" s="152">
        <f t="shared" si="82"/>
        <v>0</v>
      </c>
      <c r="P135" s="152">
        <f t="shared" si="82"/>
        <v>33754.692080000001</v>
      </c>
      <c r="Q135" s="152">
        <f t="shared" si="82"/>
        <v>0</v>
      </c>
      <c r="R135" s="152">
        <f t="shared" si="82"/>
        <v>29886.016480000002</v>
      </c>
      <c r="S135" s="152">
        <f t="shared" si="82"/>
        <v>0</v>
      </c>
      <c r="T135" s="152">
        <f t="shared" si="82"/>
        <v>28958.621160000002</v>
      </c>
      <c r="U135" s="152">
        <f t="shared" si="82"/>
        <v>0</v>
      </c>
      <c r="V135" s="152">
        <f t="shared" si="82"/>
        <v>26248.455460000005</v>
      </c>
      <c r="W135" s="152">
        <f t="shared" si="82"/>
        <v>0</v>
      </c>
      <c r="X135" s="152">
        <f t="shared" si="82"/>
        <v>22354.504699999998</v>
      </c>
      <c r="Y135" s="152">
        <f t="shared" si="82"/>
        <v>0</v>
      </c>
      <c r="Z135" s="152">
        <f t="shared" si="82"/>
        <v>25861.209970000004</v>
      </c>
      <c r="AA135" s="152">
        <f t="shared" si="82"/>
        <v>0</v>
      </c>
      <c r="AB135" s="152">
        <f t="shared" si="82"/>
        <v>24612.259040000001</v>
      </c>
      <c r="AC135" s="152">
        <f t="shared" si="82"/>
        <v>0</v>
      </c>
      <c r="AD135" s="152">
        <f t="shared" si="82"/>
        <v>29620.471250000002</v>
      </c>
      <c r="AE135" s="152">
        <f t="shared" si="82"/>
        <v>0</v>
      </c>
      <c r="AF135" s="152"/>
      <c r="AG135" s="102">
        <f t="shared" si="45"/>
        <v>0</v>
      </c>
      <c r="AH135" s="156">
        <f t="shared" si="48"/>
        <v>59946.499539999983</v>
      </c>
    </row>
    <row r="136" spans="1:34" x14ac:dyDescent="0.3">
      <c r="A136" s="153" t="s">
        <v>170</v>
      </c>
      <c r="B136" s="152">
        <f t="shared" ref="B136" si="83">B23+B59+B71+B97+B103+B111+B119+B77+B16+B125+B131</f>
        <v>0</v>
      </c>
      <c r="C136" s="152">
        <f t="shared" si="81"/>
        <v>0</v>
      </c>
      <c r="D136" s="152">
        <f t="shared" si="81"/>
        <v>0</v>
      </c>
      <c r="E136" s="152">
        <f t="shared" si="81"/>
        <v>0</v>
      </c>
      <c r="F136" s="152">
        <f t="shared" si="78"/>
        <v>0</v>
      </c>
      <c r="G136" s="152">
        <f t="shared" si="79"/>
        <v>0</v>
      </c>
      <c r="H136" s="152">
        <f t="shared" si="82"/>
        <v>0</v>
      </c>
      <c r="I136" s="152">
        <f t="shared" si="82"/>
        <v>0</v>
      </c>
      <c r="J136" s="152">
        <f t="shared" si="82"/>
        <v>0</v>
      </c>
      <c r="K136" s="152">
        <f t="shared" si="82"/>
        <v>0</v>
      </c>
      <c r="L136" s="152">
        <f t="shared" si="82"/>
        <v>0</v>
      </c>
      <c r="M136" s="152">
        <f t="shared" si="82"/>
        <v>0</v>
      </c>
      <c r="N136" s="152">
        <f t="shared" si="82"/>
        <v>0</v>
      </c>
      <c r="O136" s="152">
        <f t="shared" si="82"/>
        <v>0</v>
      </c>
      <c r="P136" s="152">
        <f t="shared" si="82"/>
        <v>0</v>
      </c>
      <c r="Q136" s="152">
        <f t="shared" si="82"/>
        <v>0</v>
      </c>
      <c r="R136" s="152">
        <f t="shared" si="82"/>
        <v>0</v>
      </c>
      <c r="S136" s="152">
        <f t="shared" si="82"/>
        <v>0</v>
      </c>
      <c r="T136" s="152">
        <f t="shared" si="82"/>
        <v>0</v>
      </c>
      <c r="U136" s="152">
        <f t="shared" si="82"/>
        <v>0</v>
      </c>
      <c r="V136" s="152">
        <f t="shared" si="82"/>
        <v>0</v>
      </c>
      <c r="W136" s="152">
        <f t="shared" si="82"/>
        <v>0</v>
      </c>
      <c r="X136" s="152">
        <f t="shared" si="82"/>
        <v>0</v>
      </c>
      <c r="Y136" s="152">
        <f t="shared" si="82"/>
        <v>0</v>
      </c>
      <c r="Z136" s="152">
        <f t="shared" si="82"/>
        <v>0</v>
      </c>
      <c r="AA136" s="152">
        <f t="shared" si="82"/>
        <v>0</v>
      </c>
      <c r="AB136" s="152">
        <f t="shared" si="82"/>
        <v>0</v>
      </c>
      <c r="AC136" s="152">
        <f t="shared" si="82"/>
        <v>0</v>
      </c>
      <c r="AD136" s="152">
        <f t="shared" si="82"/>
        <v>0</v>
      </c>
      <c r="AE136" s="152">
        <f t="shared" si="82"/>
        <v>0</v>
      </c>
      <c r="AF136" s="152"/>
      <c r="AG136" s="102">
        <f t="shared" si="45"/>
        <v>0</v>
      </c>
      <c r="AH136" s="156">
        <f t="shared" si="48"/>
        <v>0</v>
      </c>
    </row>
    <row r="137" spans="1:34" ht="37.5" x14ac:dyDescent="0.3">
      <c r="A137" s="149" t="s">
        <v>218</v>
      </c>
      <c r="B137" s="150">
        <f>B138+B139+B140+B141</f>
        <v>0</v>
      </c>
      <c r="C137" s="150">
        <f>C138+C139+C140</f>
        <v>0</v>
      </c>
      <c r="D137" s="150">
        <f>D138+D139+D140</f>
        <v>0</v>
      </c>
      <c r="E137" s="150">
        <f>E138+E139+E140</f>
        <v>0</v>
      </c>
      <c r="F137" s="150">
        <f t="shared" si="78"/>
        <v>0</v>
      </c>
      <c r="G137" s="150">
        <f t="shared" si="79"/>
        <v>0</v>
      </c>
      <c r="H137" s="150">
        <f t="shared" ref="H137:AE137" si="84">H138+H139+H140+H141</f>
        <v>0</v>
      </c>
      <c r="I137" s="150">
        <f t="shared" si="84"/>
        <v>0</v>
      </c>
      <c r="J137" s="150">
        <f t="shared" si="84"/>
        <v>0</v>
      </c>
      <c r="K137" s="150">
        <f t="shared" si="84"/>
        <v>0</v>
      </c>
      <c r="L137" s="150">
        <f t="shared" si="84"/>
        <v>0</v>
      </c>
      <c r="M137" s="150">
        <f t="shared" si="84"/>
        <v>0</v>
      </c>
      <c r="N137" s="150">
        <f t="shared" si="84"/>
        <v>0</v>
      </c>
      <c r="O137" s="150">
        <f t="shared" si="84"/>
        <v>0</v>
      </c>
      <c r="P137" s="150">
        <f t="shared" si="84"/>
        <v>0</v>
      </c>
      <c r="Q137" s="150">
        <f t="shared" si="84"/>
        <v>0</v>
      </c>
      <c r="R137" s="150">
        <f t="shared" si="84"/>
        <v>0</v>
      </c>
      <c r="S137" s="150">
        <f t="shared" si="84"/>
        <v>0</v>
      </c>
      <c r="T137" s="150">
        <f t="shared" si="84"/>
        <v>0</v>
      </c>
      <c r="U137" s="150">
        <f t="shared" si="84"/>
        <v>0</v>
      </c>
      <c r="V137" s="150">
        <f t="shared" si="84"/>
        <v>0</v>
      </c>
      <c r="W137" s="150">
        <f t="shared" si="84"/>
        <v>0</v>
      </c>
      <c r="X137" s="150">
        <f t="shared" si="84"/>
        <v>0</v>
      </c>
      <c r="Y137" s="150">
        <f t="shared" si="84"/>
        <v>0</v>
      </c>
      <c r="Z137" s="150">
        <f t="shared" si="84"/>
        <v>0</v>
      </c>
      <c r="AA137" s="150">
        <f t="shared" si="84"/>
        <v>0</v>
      </c>
      <c r="AB137" s="150">
        <f t="shared" si="84"/>
        <v>0</v>
      </c>
      <c r="AC137" s="150">
        <f t="shared" si="84"/>
        <v>0</v>
      </c>
      <c r="AD137" s="150">
        <f t="shared" si="84"/>
        <v>0</v>
      </c>
      <c r="AE137" s="150">
        <f t="shared" si="84"/>
        <v>0</v>
      </c>
      <c r="AF137" s="150"/>
      <c r="AG137" s="102">
        <f t="shared" si="45"/>
        <v>0</v>
      </c>
      <c r="AH137" s="156">
        <f t="shared" si="48"/>
        <v>0</v>
      </c>
    </row>
    <row r="138" spans="1:34" x14ac:dyDescent="0.3">
      <c r="A138" s="151" t="s">
        <v>169</v>
      </c>
      <c r="B138" s="152">
        <f>B13</f>
        <v>0</v>
      </c>
      <c r="C138" s="152">
        <f t="shared" ref="C138:E141" si="85">C13</f>
        <v>0</v>
      </c>
      <c r="D138" s="152">
        <f t="shared" si="85"/>
        <v>0</v>
      </c>
      <c r="E138" s="152">
        <f t="shared" si="85"/>
        <v>0</v>
      </c>
      <c r="F138" s="152">
        <f t="shared" si="78"/>
        <v>0</v>
      </c>
      <c r="G138" s="152">
        <f t="shared" si="79"/>
        <v>0</v>
      </c>
      <c r="H138" s="152">
        <f t="shared" ref="H138:AE141" si="86">H13</f>
        <v>0</v>
      </c>
      <c r="I138" s="152">
        <f t="shared" si="86"/>
        <v>0</v>
      </c>
      <c r="J138" s="152">
        <f t="shared" si="86"/>
        <v>0</v>
      </c>
      <c r="K138" s="152">
        <f t="shared" si="86"/>
        <v>0</v>
      </c>
      <c r="L138" s="152">
        <f t="shared" si="86"/>
        <v>0</v>
      </c>
      <c r="M138" s="152">
        <f t="shared" si="86"/>
        <v>0</v>
      </c>
      <c r="N138" s="152">
        <f t="shared" si="86"/>
        <v>0</v>
      </c>
      <c r="O138" s="152">
        <f t="shared" si="86"/>
        <v>0</v>
      </c>
      <c r="P138" s="152">
        <f t="shared" si="86"/>
        <v>0</v>
      </c>
      <c r="Q138" s="152">
        <f t="shared" si="86"/>
        <v>0</v>
      </c>
      <c r="R138" s="152">
        <f t="shared" si="86"/>
        <v>0</v>
      </c>
      <c r="S138" s="152">
        <f t="shared" si="86"/>
        <v>0</v>
      </c>
      <c r="T138" s="152">
        <f t="shared" si="86"/>
        <v>0</v>
      </c>
      <c r="U138" s="152">
        <f t="shared" si="86"/>
        <v>0</v>
      </c>
      <c r="V138" s="152">
        <f t="shared" si="86"/>
        <v>0</v>
      </c>
      <c r="W138" s="152">
        <f t="shared" si="86"/>
        <v>0</v>
      </c>
      <c r="X138" s="152">
        <f t="shared" si="86"/>
        <v>0</v>
      </c>
      <c r="Y138" s="152">
        <f t="shared" si="86"/>
        <v>0</v>
      </c>
      <c r="Z138" s="152">
        <f t="shared" si="86"/>
        <v>0</v>
      </c>
      <c r="AA138" s="152">
        <f t="shared" si="86"/>
        <v>0</v>
      </c>
      <c r="AB138" s="152">
        <f t="shared" si="86"/>
        <v>0</v>
      </c>
      <c r="AC138" s="152">
        <f t="shared" si="86"/>
        <v>0</v>
      </c>
      <c r="AD138" s="152">
        <f t="shared" si="86"/>
        <v>0</v>
      </c>
      <c r="AE138" s="152">
        <f t="shared" si="86"/>
        <v>0</v>
      </c>
      <c r="AF138" s="152"/>
      <c r="AG138" s="102">
        <f t="shared" si="45"/>
        <v>0</v>
      </c>
      <c r="AH138" s="156">
        <f t="shared" si="48"/>
        <v>0</v>
      </c>
    </row>
    <row r="139" spans="1:34" x14ac:dyDescent="0.3">
      <c r="A139" s="151" t="s">
        <v>32</v>
      </c>
      <c r="B139" s="152">
        <f t="shared" ref="B139:D141" si="87">B14</f>
        <v>0</v>
      </c>
      <c r="C139" s="152">
        <f t="shared" si="87"/>
        <v>0</v>
      </c>
      <c r="D139" s="152">
        <f t="shared" si="87"/>
        <v>0</v>
      </c>
      <c r="E139" s="152">
        <f t="shared" si="85"/>
        <v>0</v>
      </c>
      <c r="F139" s="152">
        <f t="shared" si="78"/>
        <v>0</v>
      </c>
      <c r="G139" s="152">
        <f t="shared" si="79"/>
        <v>0</v>
      </c>
      <c r="H139" s="152">
        <f t="shared" si="86"/>
        <v>0</v>
      </c>
      <c r="I139" s="152">
        <f t="shared" si="86"/>
        <v>0</v>
      </c>
      <c r="J139" s="152">
        <f t="shared" si="86"/>
        <v>0</v>
      </c>
      <c r="K139" s="152">
        <f t="shared" si="86"/>
        <v>0</v>
      </c>
      <c r="L139" s="152">
        <f t="shared" si="86"/>
        <v>0</v>
      </c>
      <c r="M139" s="152">
        <f t="shared" si="86"/>
        <v>0</v>
      </c>
      <c r="N139" s="152">
        <f t="shared" si="86"/>
        <v>0</v>
      </c>
      <c r="O139" s="152">
        <f t="shared" si="86"/>
        <v>0</v>
      </c>
      <c r="P139" s="152">
        <f t="shared" si="86"/>
        <v>0</v>
      </c>
      <c r="Q139" s="152">
        <f t="shared" si="86"/>
        <v>0</v>
      </c>
      <c r="R139" s="152">
        <f t="shared" si="86"/>
        <v>0</v>
      </c>
      <c r="S139" s="152">
        <f t="shared" si="86"/>
        <v>0</v>
      </c>
      <c r="T139" s="152">
        <f t="shared" si="86"/>
        <v>0</v>
      </c>
      <c r="U139" s="152">
        <f t="shared" si="86"/>
        <v>0</v>
      </c>
      <c r="V139" s="152">
        <f t="shared" si="86"/>
        <v>0</v>
      </c>
      <c r="W139" s="152">
        <f t="shared" si="86"/>
        <v>0</v>
      </c>
      <c r="X139" s="152">
        <f t="shared" si="86"/>
        <v>0</v>
      </c>
      <c r="Y139" s="152">
        <f t="shared" si="86"/>
        <v>0</v>
      </c>
      <c r="Z139" s="152">
        <f t="shared" si="86"/>
        <v>0</v>
      </c>
      <c r="AA139" s="152">
        <f t="shared" si="86"/>
        <v>0</v>
      </c>
      <c r="AB139" s="152">
        <f t="shared" si="86"/>
        <v>0</v>
      </c>
      <c r="AC139" s="152">
        <f t="shared" si="86"/>
        <v>0</v>
      </c>
      <c r="AD139" s="152">
        <f t="shared" si="86"/>
        <v>0</v>
      </c>
      <c r="AE139" s="152">
        <f t="shared" si="86"/>
        <v>0</v>
      </c>
      <c r="AF139" s="152"/>
      <c r="AG139" s="102">
        <f t="shared" si="45"/>
        <v>0</v>
      </c>
      <c r="AH139" s="156">
        <f t="shared" si="48"/>
        <v>0</v>
      </c>
    </row>
    <row r="140" spans="1:34" x14ac:dyDescent="0.3">
      <c r="A140" s="151" t="s">
        <v>33</v>
      </c>
      <c r="B140" s="152">
        <f t="shared" si="87"/>
        <v>0</v>
      </c>
      <c r="C140" s="152">
        <f t="shared" si="87"/>
        <v>0</v>
      </c>
      <c r="D140" s="152">
        <f t="shared" si="87"/>
        <v>0</v>
      </c>
      <c r="E140" s="152">
        <f t="shared" si="85"/>
        <v>0</v>
      </c>
      <c r="F140" s="152">
        <f t="shared" si="78"/>
        <v>0</v>
      </c>
      <c r="G140" s="152">
        <f t="shared" si="79"/>
        <v>0</v>
      </c>
      <c r="H140" s="152">
        <f t="shared" si="86"/>
        <v>0</v>
      </c>
      <c r="I140" s="152">
        <f t="shared" si="86"/>
        <v>0</v>
      </c>
      <c r="J140" s="152">
        <f t="shared" si="86"/>
        <v>0</v>
      </c>
      <c r="K140" s="152">
        <f t="shared" si="86"/>
        <v>0</v>
      </c>
      <c r="L140" s="152">
        <f t="shared" si="86"/>
        <v>0</v>
      </c>
      <c r="M140" s="152">
        <f t="shared" si="86"/>
        <v>0</v>
      </c>
      <c r="N140" s="152">
        <f t="shared" si="86"/>
        <v>0</v>
      </c>
      <c r="O140" s="152">
        <f t="shared" si="86"/>
        <v>0</v>
      </c>
      <c r="P140" s="152">
        <f t="shared" si="86"/>
        <v>0</v>
      </c>
      <c r="Q140" s="152">
        <f t="shared" si="86"/>
        <v>0</v>
      </c>
      <c r="R140" s="152">
        <f t="shared" si="86"/>
        <v>0</v>
      </c>
      <c r="S140" s="152">
        <f t="shared" si="86"/>
        <v>0</v>
      </c>
      <c r="T140" s="152">
        <f t="shared" si="86"/>
        <v>0</v>
      </c>
      <c r="U140" s="152">
        <f t="shared" si="86"/>
        <v>0</v>
      </c>
      <c r="V140" s="152">
        <f t="shared" si="86"/>
        <v>0</v>
      </c>
      <c r="W140" s="152">
        <f t="shared" si="86"/>
        <v>0</v>
      </c>
      <c r="X140" s="152">
        <f t="shared" si="86"/>
        <v>0</v>
      </c>
      <c r="Y140" s="152">
        <f t="shared" si="86"/>
        <v>0</v>
      </c>
      <c r="Z140" s="152">
        <f t="shared" si="86"/>
        <v>0</v>
      </c>
      <c r="AA140" s="152">
        <f t="shared" si="86"/>
        <v>0</v>
      </c>
      <c r="AB140" s="152">
        <f t="shared" si="86"/>
        <v>0</v>
      </c>
      <c r="AC140" s="152">
        <f t="shared" si="86"/>
        <v>0</v>
      </c>
      <c r="AD140" s="152">
        <f t="shared" si="86"/>
        <v>0</v>
      </c>
      <c r="AE140" s="152">
        <f t="shared" si="86"/>
        <v>0</v>
      </c>
      <c r="AF140" s="152"/>
      <c r="AG140" s="102">
        <f t="shared" ref="AG140:AG151" si="88">B140-H140-J140-L140-N140-P140-R140-T140-V140-X140-Z140-AB140-AD140</f>
        <v>0</v>
      </c>
      <c r="AH140" s="156">
        <f t="shared" si="48"/>
        <v>0</v>
      </c>
    </row>
    <row r="141" spans="1:34" x14ac:dyDescent="0.3">
      <c r="A141" s="153" t="s">
        <v>170</v>
      </c>
      <c r="B141" s="152">
        <f t="shared" si="87"/>
        <v>0</v>
      </c>
      <c r="C141" s="152">
        <f t="shared" si="87"/>
        <v>0</v>
      </c>
      <c r="D141" s="152">
        <f t="shared" si="87"/>
        <v>0</v>
      </c>
      <c r="E141" s="152">
        <f t="shared" si="85"/>
        <v>0</v>
      </c>
      <c r="F141" s="152">
        <f t="shared" si="78"/>
        <v>0</v>
      </c>
      <c r="G141" s="152">
        <f t="shared" si="79"/>
        <v>0</v>
      </c>
      <c r="H141" s="152">
        <f t="shared" si="86"/>
        <v>0</v>
      </c>
      <c r="I141" s="152">
        <f t="shared" si="86"/>
        <v>0</v>
      </c>
      <c r="J141" s="152">
        <f t="shared" si="86"/>
        <v>0</v>
      </c>
      <c r="K141" s="152">
        <f t="shared" si="86"/>
        <v>0</v>
      </c>
      <c r="L141" s="152">
        <f t="shared" si="86"/>
        <v>0</v>
      </c>
      <c r="M141" s="152">
        <f t="shared" si="86"/>
        <v>0</v>
      </c>
      <c r="N141" s="152">
        <f t="shared" si="86"/>
        <v>0</v>
      </c>
      <c r="O141" s="152">
        <f t="shared" si="86"/>
        <v>0</v>
      </c>
      <c r="P141" s="152">
        <f t="shared" si="86"/>
        <v>0</v>
      </c>
      <c r="Q141" s="152">
        <f t="shared" si="86"/>
        <v>0</v>
      </c>
      <c r="R141" s="152">
        <f t="shared" si="86"/>
        <v>0</v>
      </c>
      <c r="S141" s="152">
        <f t="shared" si="86"/>
        <v>0</v>
      </c>
      <c r="T141" s="152">
        <f t="shared" si="86"/>
        <v>0</v>
      </c>
      <c r="U141" s="152">
        <f t="shared" si="86"/>
        <v>0</v>
      </c>
      <c r="V141" s="152">
        <f t="shared" si="86"/>
        <v>0</v>
      </c>
      <c r="W141" s="152">
        <f t="shared" si="86"/>
        <v>0</v>
      </c>
      <c r="X141" s="152">
        <f t="shared" si="86"/>
        <v>0</v>
      </c>
      <c r="Y141" s="152">
        <f t="shared" si="86"/>
        <v>0</v>
      </c>
      <c r="Z141" s="152">
        <f t="shared" si="86"/>
        <v>0</v>
      </c>
      <c r="AA141" s="152">
        <f t="shared" si="86"/>
        <v>0</v>
      </c>
      <c r="AB141" s="152">
        <f t="shared" si="86"/>
        <v>0</v>
      </c>
      <c r="AC141" s="152">
        <f t="shared" si="86"/>
        <v>0</v>
      </c>
      <c r="AD141" s="152">
        <f t="shared" si="86"/>
        <v>0</v>
      </c>
      <c r="AE141" s="152">
        <f t="shared" si="86"/>
        <v>0</v>
      </c>
      <c r="AF141" s="152"/>
      <c r="AG141" s="102">
        <f t="shared" si="88"/>
        <v>0</v>
      </c>
      <c r="AH141" s="156">
        <f t="shared" ref="AH141:AH146" si="89">C141-E141</f>
        <v>0</v>
      </c>
    </row>
    <row r="142" spans="1:34" ht="37.5" x14ac:dyDescent="0.3">
      <c r="A142" s="149" t="s">
        <v>219</v>
      </c>
      <c r="B142" s="797">
        <f>B143+B144+B145+B146</f>
        <v>391873.67267999996</v>
      </c>
      <c r="C142" s="797">
        <f>C143+C144+C145</f>
        <v>119350.20554</v>
      </c>
      <c r="D142" s="150">
        <f>D143+D144+D145</f>
        <v>57662.506000000008</v>
      </c>
      <c r="E142" s="797">
        <f>E143+E144+E145</f>
        <v>57662.506000000008</v>
      </c>
      <c r="F142" s="150">
        <f t="shared" si="78"/>
        <v>14.714564927429208</v>
      </c>
      <c r="G142" s="150">
        <f t="shared" si="79"/>
        <v>48.313704814420724</v>
      </c>
      <c r="H142" s="150">
        <f t="shared" ref="H142:AE142" si="90">H143+H144+H145+H146</f>
        <v>48965.907810000004</v>
      </c>
      <c r="I142" s="150">
        <f t="shared" si="90"/>
        <v>13552.813</v>
      </c>
      <c r="J142" s="150">
        <f t="shared" si="90"/>
        <v>42068.531109999996</v>
      </c>
      <c r="K142" s="150">
        <f t="shared" si="90"/>
        <v>22511.485999999994</v>
      </c>
      <c r="L142" s="150">
        <f t="shared" si="90"/>
        <v>28315.766620000002</v>
      </c>
      <c r="M142" s="150">
        <f t="shared" si="90"/>
        <v>21598.206999999999</v>
      </c>
      <c r="N142" s="150">
        <f t="shared" si="90"/>
        <v>40414.152000000002</v>
      </c>
      <c r="O142" s="150">
        <f t="shared" si="90"/>
        <v>0</v>
      </c>
      <c r="P142" s="150">
        <f t="shared" si="90"/>
        <v>36756.72208</v>
      </c>
      <c r="Q142" s="150">
        <f t="shared" si="90"/>
        <v>0</v>
      </c>
      <c r="R142" s="150">
        <f t="shared" si="90"/>
        <v>29886.016480000002</v>
      </c>
      <c r="S142" s="150">
        <f t="shared" si="90"/>
        <v>0</v>
      </c>
      <c r="T142" s="150">
        <f t="shared" si="90"/>
        <v>36043.021160000004</v>
      </c>
      <c r="U142" s="150">
        <f t="shared" si="90"/>
        <v>0</v>
      </c>
      <c r="V142" s="150">
        <f t="shared" si="90"/>
        <v>26574.495460000006</v>
      </c>
      <c r="W142" s="150">
        <f t="shared" si="90"/>
        <v>0</v>
      </c>
      <c r="X142" s="150">
        <f t="shared" si="90"/>
        <v>22354.504699999998</v>
      </c>
      <c r="Y142" s="150">
        <f t="shared" si="90"/>
        <v>0</v>
      </c>
      <c r="Z142" s="150">
        <f t="shared" si="90"/>
        <v>26108.162470000003</v>
      </c>
      <c r="AA142" s="150">
        <f t="shared" si="90"/>
        <v>0</v>
      </c>
      <c r="AB142" s="150">
        <f t="shared" si="90"/>
        <v>24765.921539999999</v>
      </c>
      <c r="AC142" s="150">
        <f t="shared" si="90"/>
        <v>0</v>
      </c>
      <c r="AD142" s="150">
        <f t="shared" si="90"/>
        <v>29620.471250000002</v>
      </c>
      <c r="AE142" s="150">
        <f t="shared" si="90"/>
        <v>0</v>
      </c>
      <c r="AF142" s="150"/>
      <c r="AG142" s="102">
        <f t="shared" si="88"/>
        <v>-4.0017766878008842E-11</v>
      </c>
      <c r="AH142" s="156">
        <f t="shared" si="89"/>
        <v>61687.699539999987</v>
      </c>
    </row>
    <row r="143" spans="1:34" x14ac:dyDescent="0.3">
      <c r="A143" s="151" t="s">
        <v>169</v>
      </c>
      <c r="B143" s="152">
        <f>B20+B56+B68+B74+B94+B100+B108+B116+B122+B128</f>
        <v>0</v>
      </c>
      <c r="C143" s="152">
        <f t="shared" ref="C143:E143" si="91">C20+C56+C68+C74+C94+C100+C108+C116+C122+C128</f>
        <v>0</v>
      </c>
      <c r="D143" s="152">
        <f t="shared" si="91"/>
        <v>0</v>
      </c>
      <c r="E143" s="152">
        <f t="shared" si="91"/>
        <v>0</v>
      </c>
      <c r="F143" s="152">
        <f t="shared" si="78"/>
        <v>0</v>
      </c>
      <c r="G143" s="152">
        <f t="shared" si="79"/>
        <v>0</v>
      </c>
      <c r="H143" s="152">
        <f t="shared" ref="H143:AE146" si="92">H20+H56+H68+H74+H94+H100+H108+H116+H122+H128</f>
        <v>0</v>
      </c>
      <c r="I143" s="152">
        <f t="shared" si="92"/>
        <v>0</v>
      </c>
      <c r="J143" s="152">
        <f t="shared" si="92"/>
        <v>0</v>
      </c>
      <c r="K143" s="152">
        <f t="shared" si="92"/>
        <v>0</v>
      </c>
      <c r="L143" s="152">
        <f t="shared" si="92"/>
        <v>0</v>
      </c>
      <c r="M143" s="152">
        <f t="shared" si="92"/>
        <v>0</v>
      </c>
      <c r="N143" s="152">
        <f t="shared" si="92"/>
        <v>0</v>
      </c>
      <c r="O143" s="152">
        <f t="shared" si="92"/>
        <v>0</v>
      </c>
      <c r="P143" s="152">
        <f t="shared" si="92"/>
        <v>0</v>
      </c>
      <c r="Q143" s="152">
        <f t="shared" si="92"/>
        <v>0</v>
      </c>
      <c r="R143" s="152">
        <f t="shared" si="92"/>
        <v>0</v>
      </c>
      <c r="S143" s="152">
        <f t="shared" si="92"/>
        <v>0</v>
      </c>
      <c r="T143" s="152">
        <f t="shared" si="92"/>
        <v>0</v>
      </c>
      <c r="U143" s="152">
        <f t="shared" si="92"/>
        <v>0</v>
      </c>
      <c r="V143" s="152">
        <f t="shared" si="92"/>
        <v>0</v>
      </c>
      <c r="W143" s="152">
        <f t="shared" si="92"/>
        <v>0</v>
      </c>
      <c r="X143" s="152">
        <f t="shared" si="92"/>
        <v>0</v>
      </c>
      <c r="Y143" s="152">
        <f t="shared" si="92"/>
        <v>0</v>
      </c>
      <c r="Z143" s="152">
        <f t="shared" si="92"/>
        <v>0</v>
      </c>
      <c r="AA143" s="152">
        <f t="shared" si="92"/>
        <v>0</v>
      </c>
      <c r="AB143" s="152">
        <f t="shared" si="92"/>
        <v>0</v>
      </c>
      <c r="AC143" s="152">
        <f t="shared" si="92"/>
        <v>0</v>
      </c>
      <c r="AD143" s="152">
        <f t="shared" si="92"/>
        <v>0</v>
      </c>
      <c r="AE143" s="152">
        <f t="shared" si="92"/>
        <v>0</v>
      </c>
      <c r="AF143" s="152"/>
      <c r="AG143" s="102">
        <f t="shared" si="88"/>
        <v>0</v>
      </c>
      <c r="AH143" s="156">
        <f t="shared" si="89"/>
        <v>0</v>
      </c>
    </row>
    <row r="144" spans="1:34" x14ac:dyDescent="0.3">
      <c r="A144" s="151" t="s">
        <v>32</v>
      </c>
      <c r="B144" s="152">
        <f>B21+B57+B69+B75+B95+B101+B109+B117+B123+B129</f>
        <v>14704.295</v>
      </c>
      <c r="C144" s="152">
        <f>C21+C57+C69+C75+C95+C101+C109+C117+C123+C129</f>
        <v>2113.66</v>
      </c>
      <c r="D144" s="152">
        <f t="shared" ref="B144:E146" si="93">D21+D57+D69+D75+D95+D101+D109+D117+D123+D129</f>
        <v>372.46</v>
      </c>
      <c r="E144" s="152">
        <f t="shared" si="93"/>
        <v>372.46</v>
      </c>
      <c r="F144" s="152">
        <f t="shared" si="78"/>
        <v>2.53300141217243</v>
      </c>
      <c r="G144" s="152">
        <f t="shared" si="79"/>
        <v>17.621566382483465</v>
      </c>
      <c r="H144" s="152">
        <f t="shared" si="92"/>
        <v>0</v>
      </c>
      <c r="I144" s="152">
        <f t="shared" si="92"/>
        <v>0</v>
      </c>
      <c r="J144" s="152">
        <f t="shared" si="92"/>
        <v>0</v>
      </c>
      <c r="K144" s="152">
        <f t="shared" si="92"/>
        <v>0</v>
      </c>
      <c r="L144" s="152">
        <f t="shared" si="92"/>
        <v>2113.66</v>
      </c>
      <c r="M144" s="152">
        <f t="shared" si="92"/>
        <v>372.46</v>
      </c>
      <c r="N144" s="152">
        <f t="shared" si="92"/>
        <v>1777.55</v>
      </c>
      <c r="O144" s="152">
        <f t="shared" si="92"/>
        <v>0</v>
      </c>
      <c r="P144" s="152">
        <f t="shared" si="92"/>
        <v>3002.03</v>
      </c>
      <c r="Q144" s="152">
        <f t="shared" si="92"/>
        <v>0</v>
      </c>
      <c r="R144" s="152">
        <f t="shared" si="92"/>
        <v>0</v>
      </c>
      <c r="S144" s="152">
        <f t="shared" si="92"/>
        <v>0</v>
      </c>
      <c r="T144" s="152">
        <f t="shared" si="92"/>
        <v>7084.4</v>
      </c>
      <c r="U144" s="152">
        <f t="shared" si="92"/>
        <v>0</v>
      </c>
      <c r="V144" s="152">
        <f t="shared" si="92"/>
        <v>326.04000000000002</v>
      </c>
      <c r="W144" s="152">
        <f t="shared" si="92"/>
        <v>0</v>
      </c>
      <c r="X144" s="152">
        <f t="shared" si="92"/>
        <v>0</v>
      </c>
      <c r="Y144" s="152">
        <f t="shared" si="92"/>
        <v>0</v>
      </c>
      <c r="Z144" s="152">
        <f t="shared" si="92"/>
        <v>246.95249999999999</v>
      </c>
      <c r="AA144" s="152">
        <f t="shared" si="92"/>
        <v>0</v>
      </c>
      <c r="AB144" s="152">
        <f t="shared" si="92"/>
        <v>153.66249999999999</v>
      </c>
      <c r="AC144" s="152">
        <f t="shared" si="92"/>
        <v>0</v>
      </c>
      <c r="AD144" s="152">
        <f t="shared" si="92"/>
        <v>0</v>
      </c>
      <c r="AE144" s="152">
        <f t="shared" si="92"/>
        <v>0</v>
      </c>
      <c r="AF144" s="152"/>
      <c r="AG144" s="102">
        <f t="shared" si="88"/>
        <v>6.5369931689929217E-13</v>
      </c>
      <c r="AH144" s="156">
        <f t="shared" si="89"/>
        <v>1741.1999999999998</v>
      </c>
    </row>
    <row r="145" spans="1:34" x14ac:dyDescent="0.3">
      <c r="A145" s="151" t="s">
        <v>33</v>
      </c>
      <c r="B145" s="152">
        <f t="shared" si="93"/>
        <v>377169.37767999998</v>
      </c>
      <c r="C145" s="152">
        <f t="shared" si="93"/>
        <v>117236.54553999999</v>
      </c>
      <c r="D145" s="152">
        <f t="shared" si="93"/>
        <v>57290.046000000009</v>
      </c>
      <c r="E145" s="152">
        <f>E22+E58+E70+E76+E96+E102+E110+E118+E124+E130</f>
        <v>57290.046000000009</v>
      </c>
      <c r="F145" s="152">
        <f t="shared" si="78"/>
        <v>15.189474382145182</v>
      </c>
      <c r="G145" s="152">
        <f t="shared" si="79"/>
        <v>48.867053985698675</v>
      </c>
      <c r="H145" s="152">
        <f t="shared" si="92"/>
        <v>48965.907810000004</v>
      </c>
      <c r="I145" s="152">
        <f t="shared" si="92"/>
        <v>13552.813</v>
      </c>
      <c r="J145" s="152">
        <f t="shared" si="92"/>
        <v>42068.531109999996</v>
      </c>
      <c r="K145" s="152">
        <f t="shared" si="92"/>
        <v>22511.485999999994</v>
      </c>
      <c r="L145" s="152">
        <f t="shared" si="92"/>
        <v>26202.106620000002</v>
      </c>
      <c r="M145" s="152">
        <f t="shared" si="92"/>
        <v>21225.746999999999</v>
      </c>
      <c r="N145" s="152">
        <f t="shared" si="92"/>
        <v>38636.601999999999</v>
      </c>
      <c r="O145" s="152">
        <f t="shared" si="92"/>
        <v>0</v>
      </c>
      <c r="P145" s="152">
        <f t="shared" si="92"/>
        <v>33754.692080000001</v>
      </c>
      <c r="Q145" s="152">
        <f t="shared" si="92"/>
        <v>0</v>
      </c>
      <c r="R145" s="152">
        <f t="shared" si="92"/>
        <v>29886.016480000002</v>
      </c>
      <c r="S145" s="152">
        <f t="shared" si="92"/>
        <v>0</v>
      </c>
      <c r="T145" s="152">
        <f t="shared" si="92"/>
        <v>28958.621160000002</v>
      </c>
      <c r="U145" s="152">
        <f t="shared" si="92"/>
        <v>0</v>
      </c>
      <c r="V145" s="152">
        <f t="shared" si="92"/>
        <v>26248.455460000005</v>
      </c>
      <c r="W145" s="152">
        <f t="shared" si="92"/>
        <v>0</v>
      </c>
      <c r="X145" s="152">
        <f t="shared" si="92"/>
        <v>22354.504699999998</v>
      </c>
      <c r="Y145" s="152">
        <f t="shared" si="92"/>
        <v>0</v>
      </c>
      <c r="Z145" s="152">
        <f t="shared" si="92"/>
        <v>25861.209970000004</v>
      </c>
      <c r="AA145" s="152">
        <f t="shared" si="92"/>
        <v>0</v>
      </c>
      <c r="AB145" s="152">
        <f t="shared" si="92"/>
        <v>24612.259040000001</v>
      </c>
      <c r="AC145" s="152">
        <f t="shared" si="92"/>
        <v>0</v>
      </c>
      <c r="AD145" s="152">
        <f t="shared" si="92"/>
        <v>29620.471250000002</v>
      </c>
      <c r="AE145" s="152">
        <f t="shared" si="92"/>
        <v>0</v>
      </c>
      <c r="AF145" s="152"/>
      <c r="AG145" s="102">
        <f t="shared" si="88"/>
        <v>0</v>
      </c>
      <c r="AH145" s="156">
        <f t="shared" si="89"/>
        <v>59946.499539999983</v>
      </c>
    </row>
    <row r="146" spans="1:34" x14ac:dyDescent="0.3">
      <c r="A146" s="153" t="s">
        <v>170</v>
      </c>
      <c r="B146" s="152">
        <f t="shared" si="93"/>
        <v>0</v>
      </c>
      <c r="C146" s="152">
        <f t="shared" si="93"/>
        <v>0</v>
      </c>
      <c r="D146" s="152">
        <f t="shared" si="93"/>
        <v>0</v>
      </c>
      <c r="E146" s="152">
        <f t="shared" si="93"/>
        <v>0</v>
      </c>
      <c r="F146" s="152">
        <f t="shared" si="78"/>
        <v>0</v>
      </c>
      <c r="G146" s="152">
        <f t="shared" si="79"/>
        <v>0</v>
      </c>
      <c r="H146" s="152">
        <f t="shared" si="92"/>
        <v>0</v>
      </c>
      <c r="I146" s="152">
        <f t="shared" si="92"/>
        <v>0</v>
      </c>
      <c r="J146" s="152">
        <f t="shared" si="92"/>
        <v>0</v>
      </c>
      <c r="K146" s="152">
        <f t="shared" si="92"/>
        <v>0</v>
      </c>
      <c r="L146" s="152">
        <f t="shared" si="92"/>
        <v>0</v>
      </c>
      <c r="M146" s="152">
        <f t="shared" si="92"/>
        <v>0</v>
      </c>
      <c r="N146" s="152">
        <f t="shared" si="92"/>
        <v>0</v>
      </c>
      <c r="O146" s="152">
        <f t="shared" si="92"/>
        <v>0</v>
      </c>
      <c r="P146" s="152">
        <f t="shared" si="92"/>
        <v>0</v>
      </c>
      <c r="Q146" s="152">
        <f t="shared" si="92"/>
        <v>0</v>
      </c>
      <c r="R146" s="152">
        <f t="shared" si="92"/>
        <v>0</v>
      </c>
      <c r="S146" s="152">
        <f t="shared" si="92"/>
        <v>0</v>
      </c>
      <c r="T146" s="152">
        <f t="shared" si="92"/>
        <v>0</v>
      </c>
      <c r="U146" s="152">
        <f t="shared" si="92"/>
        <v>0</v>
      </c>
      <c r="V146" s="152">
        <f t="shared" si="92"/>
        <v>0</v>
      </c>
      <c r="W146" s="152">
        <f t="shared" si="92"/>
        <v>0</v>
      </c>
      <c r="X146" s="152">
        <f t="shared" si="92"/>
        <v>0</v>
      </c>
      <c r="Y146" s="152">
        <f t="shared" si="92"/>
        <v>0</v>
      </c>
      <c r="Z146" s="152">
        <f t="shared" si="92"/>
        <v>0</v>
      </c>
      <c r="AA146" s="152">
        <f t="shared" si="92"/>
        <v>0</v>
      </c>
      <c r="AB146" s="152">
        <f t="shared" si="92"/>
        <v>0</v>
      </c>
      <c r="AC146" s="152">
        <f t="shared" si="92"/>
        <v>0</v>
      </c>
      <c r="AD146" s="152">
        <f t="shared" si="92"/>
        <v>0</v>
      </c>
      <c r="AE146" s="152">
        <f t="shared" si="92"/>
        <v>0</v>
      </c>
      <c r="AF146" s="152"/>
      <c r="AG146" s="102">
        <f t="shared" si="88"/>
        <v>0</v>
      </c>
      <c r="AH146" s="156">
        <f t="shared" si="89"/>
        <v>0</v>
      </c>
    </row>
    <row r="147" spans="1:34" x14ac:dyDescent="0.3">
      <c r="B147" s="156">
        <f t="shared" ref="B147:E151" si="94">B132-B137-B142</f>
        <v>0</v>
      </c>
      <c r="C147" s="156">
        <f t="shared" si="94"/>
        <v>0</v>
      </c>
      <c r="D147" s="156">
        <f t="shared" si="94"/>
        <v>0</v>
      </c>
      <c r="E147" s="156">
        <f t="shared" si="94"/>
        <v>0</v>
      </c>
      <c r="F147" s="156"/>
      <c r="G147" s="156"/>
      <c r="H147" s="156">
        <f t="shared" ref="H147:AE151" si="95">H132-H137-H142</f>
        <v>0</v>
      </c>
      <c r="I147" s="156">
        <f t="shared" si="95"/>
        <v>0</v>
      </c>
      <c r="J147" s="156">
        <f t="shared" si="95"/>
        <v>0</v>
      </c>
      <c r="K147" s="156">
        <f t="shared" si="95"/>
        <v>0</v>
      </c>
      <c r="L147" s="156">
        <f t="shared" si="95"/>
        <v>0</v>
      </c>
      <c r="M147" s="156">
        <f t="shared" si="95"/>
        <v>0</v>
      </c>
      <c r="N147" s="156">
        <f t="shared" si="95"/>
        <v>0</v>
      </c>
      <c r="O147" s="156">
        <f t="shared" si="95"/>
        <v>0</v>
      </c>
      <c r="P147" s="156">
        <f t="shared" si="95"/>
        <v>0</v>
      </c>
      <c r="Q147" s="156">
        <f t="shared" si="95"/>
        <v>0</v>
      </c>
      <c r="R147" s="156">
        <f t="shared" si="95"/>
        <v>0</v>
      </c>
      <c r="S147" s="156">
        <f t="shared" si="95"/>
        <v>0</v>
      </c>
      <c r="T147" s="156">
        <f t="shared" si="95"/>
        <v>0</v>
      </c>
      <c r="U147" s="156">
        <f t="shared" si="95"/>
        <v>0</v>
      </c>
      <c r="V147" s="156">
        <f t="shared" si="95"/>
        <v>0</v>
      </c>
      <c r="W147" s="156">
        <f t="shared" si="95"/>
        <v>0</v>
      </c>
      <c r="X147" s="156">
        <f t="shared" si="95"/>
        <v>0</v>
      </c>
      <c r="Y147" s="156">
        <f t="shared" si="95"/>
        <v>0</v>
      </c>
      <c r="Z147" s="156">
        <f t="shared" si="95"/>
        <v>0</v>
      </c>
      <c r="AA147" s="156">
        <f t="shared" si="95"/>
        <v>0</v>
      </c>
      <c r="AB147" s="156">
        <f t="shared" si="95"/>
        <v>0</v>
      </c>
      <c r="AC147" s="156">
        <f t="shared" si="95"/>
        <v>0</v>
      </c>
      <c r="AD147" s="156">
        <f t="shared" si="95"/>
        <v>0</v>
      </c>
      <c r="AE147" s="156">
        <f t="shared" si="95"/>
        <v>0</v>
      </c>
      <c r="AG147" s="102">
        <f t="shared" si="88"/>
        <v>0</v>
      </c>
    </row>
    <row r="148" spans="1:34" x14ac:dyDescent="0.3">
      <c r="A148" s="157" t="s">
        <v>169</v>
      </c>
      <c r="B148" s="156">
        <f t="shared" si="94"/>
        <v>0</v>
      </c>
      <c r="C148" s="156">
        <f t="shared" si="94"/>
        <v>0</v>
      </c>
      <c r="D148" s="156">
        <f t="shared" si="94"/>
        <v>0</v>
      </c>
      <c r="E148" s="156">
        <f t="shared" si="94"/>
        <v>0</v>
      </c>
      <c r="F148" s="156"/>
      <c r="G148" s="156"/>
      <c r="H148" s="156">
        <f t="shared" si="95"/>
        <v>0</v>
      </c>
      <c r="I148" s="156">
        <f t="shared" si="95"/>
        <v>0</v>
      </c>
      <c r="J148" s="156">
        <f t="shared" si="95"/>
        <v>0</v>
      </c>
      <c r="K148" s="156">
        <f t="shared" si="95"/>
        <v>0</v>
      </c>
      <c r="L148" s="156">
        <f t="shared" si="95"/>
        <v>0</v>
      </c>
      <c r="M148" s="156">
        <f t="shared" si="95"/>
        <v>0</v>
      </c>
      <c r="N148" s="156">
        <f t="shared" si="95"/>
        <v>0</v>
      </c>
      <c r="O148" s="156">
        <f t="shared" si="95"/>
        <v>0</v>
      </c>
      <c r="P148" s="156">
        <f t="shared" si="95"/>
        <v>0</v>
      </c>
      <c r="Q148" s="156">
        <f t="shared" si="95"/>
        <v>0</v>
      </c>
      <c r="R148" s="156">
        <f t="shared" si="95"/>
        <v>0</v>
      </c>
      <c r="S148" s="156">
        <f t="shared" si="95"/>
        <v>0</v>
      </c>
      <c r="T148" s="156">
        <f t="shared" si="95"/>
        <v>0</v>
      </c>
      <c r="U148" s="156">
        <f t="shared" si="95"/>
        <v>0</v>
      </c>
      <c r="V148" s="156">
        <f t="shared" si="95"/>
        <v>0</v>
      </c>
      <c r="W148" s="156">
        <f t="shared" si="95"/>
        <v>0</v>
      </c>
      <c r="X148" s="156">
        <f t="shared" si="95"/>
        <v>0</v>
      </c>
      <c r="Y148" s="156">
        <f t="shared" si="95"/>
        <v>0</v>
      </c>
      <c r="Z148" s="156">
        <f t="shared" si="95"/>
        <v>0</v>
      </c>
      <c r="AA148" s="156">
        <f t="shared" si="95"/>
        <v>0</v>
      </c>
      <c r="AB148" s="156">
        <f t="shared" si="95"/>
        <v>0</v>
      </c>
      <c r="AC148" s="156">
        <f t="shared" si="95"/>
        <v>0</v>
      </c>
      <c r="AD148" s="156">
        <f t="shared" si="95"/>
        <v>0</v>
      </c>
      <c r="AE148" s="156">
        <f t="shared" si="95"/>
        <v>0</v>
      </c>
      <c r="AG148" s="102">
        <f t="shared" si="88"/>
        <v>0</v>
      </c>
    </row>
    <row r="149" spans="1:34" x14ac:dyDescent="0.3">
      <c r="A149" s="157" t="s">
        <v>32</v>
      </c>
      <c r="B149" s="156">
        <f t="shared" si="94"/>
        <v>0</v>
      </c>
      <c r="C149" s="156">
        <f t="shared" si="94"/>
        <v>0</v>
      </c>
      <c r="D149" s="156">
        <f t="shared" si="94"/>
        <v>0</v>
      </c>
      <c r="E149" s="156">
        <f t="shared" si="94"/>
        <v>0</v>
      </c>
      <c r="F149" s="156"/>
      <c r="G149" s="156"/>
      <c r="H149" s="156">
        <f t="shared" si="95"/>
        <v>0</v>
      </c>
      <c r="I149" s="156">
        <f t="shared" si="95"/>
        <v>0</v>
      </c>
      <c r="J149" s="156">
        <f t="shared" si="95"/>
        <v>0</v>
      </c>
      <c r="K149" s="156">
        <f t="shared" si="95"/>
        <v>0</v>
      </c>
      <c r="L149" s="156">
        <f t="shared" si="95"/>
        <v>0</v>
      </c>
      <c r="M149" s="156">
        <f t="shared" si="95"/>
        <v>0</v>
      </c>
      <c r="N149" s="156">
        <f t="shared" si="95"/>
        <v>0</v>
      </c>
      <c r="O149" s="156">
        <f t="shared" si="95"/>
        <v>0</v>
      </c>
      <c r="P149" s="156">
        <f t="shared" si="95"/>
        <v>0</v>
      </c>
      <c r="Q149" s="156">
        <f t="shared" si="95"/>
        <v>0</v>
      </c>
      <c r="R149" s="156">
        <f t="shared" si="95"/>
        <v>0</v>
      </c>
      <c r="S149" s="156">
        <f t="shared" si="95"/>
        <v>0</v>
      </c>
      <c r="T149" s="156">
        <f t="shared" si="95"/>
        <v>0</v>
      </c>
      <c r="U149" s="156">
        <f t="shared" si="95"/>
        <v>0</v>
      </c>
      <c r="V149" s="156">
        <f t="shared" si="95"/>
        <v>0</v>
      </c>
      <c r="W149" s="156">
        <f t="shared" si="95"/>
        <v>0</v>
      </c>
      <c r="X149" s="156">
        <f t="shared" si="95"/>
        <v>0</v>
      </c>
      <c r="Y149" s="156">
        <f t="shared" si="95"/>
        <v>0</v>
      </c>
      <c r="Z149" s="156">
        <f t="shared" si="95"/>
        <v>0</v>
      </c>
      <c r="AA149" s="156">
        <f t="shared" si="95"/>
        <v>0</v>
      </c>
      <c r="AB149" s="156">
        <f t="shared" si="95"/>
        <v>0</v>
      </c>
      <c r="AC149" s="156">
        <f t="shared" si="95"/>
        <v>0</v>
      </c>
      <c r="AD149" s="156">
        <f t="shared" si="95"/>
        <v>0</v>
      </c>
      <c r="AE149" s="156">
        <f t="shared" si="95"/>
        <v>0</v>
      </c>
      <c r="AG149" s="102">
        <f t="shared" si="88"/>
        <v>0</v>
      </c>
    </row>
    <row r="150" spans="1:34" x14ac:dyDescent="0.3">
      <c r="A150" s="157" t="s">
        <v>33</v>
      </c>
      <c r="B150" s="156">
        <f t="shared" si="94"/>
        <v>0</v>
      </c>
      <c r="C150" s="156">
        <f t="shared" si="94"/>
        <v>0</v>
      </c>
      <c r="D150" s="156">
        <f t="shared" si="94"/>
        <v>0</v>
      </c>
      <c r="E150" s="156">
        <f t="shared" si="94"/>
        <v>0</v>
      </c>
      <c r="F150" s="156"/>
      <c r="G150" s="156"/>
      <c r="H150" s="156">
        <f t="shared" si="95"/>
        <v>0</v>
      </c>
      <c r="I150" s="156">
        <f t="shared" si="95"/>
        <v>0</v>
      </c>
      <c r="J150" s="156">
        <f t="shared" si="95"/>
        <v>0</v>
      </c>
      <c r="K150" s="156">
        <f t="shared" si="95"/>
        <v>0</v>
      </c>
      <c r="L150" s="156">
        <f t="shared" si="95"/>
        <v>0</v>
      </c>
      <c r="M150" s="156">
        <f t="shared" si="95"/>
        <v>0</v>
      </c>
      <c r="N150" s="156">
        <f t="shared" si="95"/>
        <v>0</v>
      </c>
      <c r="O150" s="156">
        <f t="shared" si="95"/>
        <v>0</v>
      </c>
      <c r="P150" s="156">
        <f t="shared" si="95"/>
        <v>0</v>
      </c>
      <c r="Q150" s="156">
        <f t="shared" si="95"/>
        <v>0</v>
      </c>
      <c r="R150" s="156">
        <f t="shared" si="95"/>
        <v>0</v>
      </c>
      <c r="S150" s="156">
        <f t="shared" si="95"/>
        <v>0</v>
      </c>
      <c r="T150" s="156">
        <f t="shared" si="95"/>
        <v>0</v>
      </c>
      <c r="U150" s="156">
        <f t="shared" si="95"/>
        <v>0</v>
      </c>
      <c r="V150" s="156">
        <f t="shared" si="95"/>
        <v>0</v>
      </c>
      <c r="W150" s="156">
        <f t="shared" si="95"/>
        <v>0</v>
      </c>
      <c r="X150" s="156">
        <f t="shared" si="95"/>
        <v>0</v>
      </c>
      <c r="Y150" s="156">
        <f t="shared" si="95"/>
        <v>0</v>
      </c>
      <c r="Z150" s="156">
        <f t="shared" si="95"/>
        <v>0</v>
      </c>
      <c r="AA150" s="156">
        <f t="shared" si="95"/>
        <v>0</v>
      </c>
      <c r="AB150" s="156">
        <f t="shared" si="95"/>
        <v>0</v>
      </c>
      <c r="AC150" s="156">
        <f t="shared" si="95"/>
        <v>0</v>
      </c>
      <c r="AD150" s="156">
        <f t="shared" si="95"/>
        <v>0</v>
      </c>
      <c r="AE150" s="156">
        <f t="shared" si="95"/>
        <v>0</v>
      </c>
      <c r="AG150" s="102">
        <f t="shared" si="88"/>
        <v>0</v>
      </c>
    </row>
    <row r="151" spans="1:34" x14ac:dyDescent="0.3">
      <c r="A151" s="157" t="s">
        <v>170</v>
      </c>
      <c r="B151" s="156">
        <f t="shared" si="94"/>
        <v>0</v>
      </c>
      <c r="C151" s="156">
        <f t="shared" si="94"/>
        <v>0</v>
      </c>
      <c r="D151" s="156">
        <f t="shared" si="94"/>
        <v>0</v>
      </c>
      <c r="E151" s="156">
        <f t="shared" si="94"/>
        <v>0</v>
      </c>
      <c r="F151" s="156"/>
      <c r="G151" s="156"/>
      <c r="H151" s="156">
        <f t="shared" si="95"/>
        <v>0</v>
      </c>
      <c r="I151" s="156">
        <f t="shared" si="95"/>
        <v>0</v>
      </c>
      <c r="J151" s="156">
        <f t="shared" si="95"/>
        <v>0</v>
      </c>
      <c r="K151" s="156">
        <f t="shared" si="95"/>
        <v>0</v>
      </c>
      <c r="L151" s="156">
        <f t="shared" si="95"/>
        <v>0</v>
      </c>
      <c r="M151" s="156">
        <f t="shared" si="95"/>
        <v>0</v>
      </c>
      <c r="N151" s="156">
        <f t="shared" si="95"/>
        <v>0</v>
      </c>
      <c r="O151" s="156">
        <f t="shared" si="95"/>
        <v>0</v>
      </c>
      <c r="P151" s="156">
        <f t="shared" si="95"/>
        <v>0</v>
      </c>
      <c r="Q151" s="156">
        <f t="shared" si="95"/>
        <v>0</v>
      </c>
      <c r="R151" s="156">
        <f t="shared" si="95"/>
        <v>0</v>
      </c>
      <c r="S151" s="156">
        <f t="shared" si="95"/>
        <v>0</v>
      </c>
      <c r="T151" s="156">
        <f t="shared" si="95"/>
        <v>0</v>
      </c>
      <c r="U151" s="156">
        <f t="shared" si="95"/>
        <v>0</v>
      </c>
      <c r="V151" s="156">
        <f t="shared" si="95"/>
        <v>0</v>
      </c>
      <c r="W151" s="156">
        <f t="shared" si="95"/>
        <v>0</v>
      </c>
      <c r="X151" s="156">
        <f t="shared" si="95"/>
        <v>0</v>
      </c>
      <c r="Y151" s="156">
        <f t="shared" si="95"/>
        <v>0</v>
      </c>
      <c r="Z151" s="156">
        <f t="shared" si="95"/>
        <v>0</v>
      </c>
      <c r="AA151" s="156">
        <f t="shared" si="95"/>
        <v>0</v>
      </c>
      <c r="AB151" s="156">
        <f t="shared" si="95"/>
        <v>0</v>
      </c>
      <c r="AC151" s="156">
        <f t="shared" si="95"/>
        <v>0</v>
      </c>
      <c r="AD151" s="156">
        <f t="shared" si="95"/>
        <v>0</v>
      </c>
      <c r="AE151" s="156">
        <f t="shared" si="95"/>
        <v>0</v>
      </c>
      <c r="AG151" s="102">
        <f t="shared" si="88"/>
        <v>0</v>
      </c>
    </row>
    <row r="153" spans="1:34" x14ac:dyDescent="0.3">
      <c r="B153" s="156">
        <f>B13+B26+B32+B38+B44+B50+B62+B68+B80+B86+B94+B100+B108+B116+B122+B128-B133</f>
        <v>0</v>
      </c>
      <c r="C153" s="156">
        <f t="shared" ref="C153:AE156" si="96">C13+C26+C32+C38+C44+C50+C62+C68+C80+C86+C94+C100+C108+C116+C122+C128-C133</f>
        <v>0</v>
      </c>
      <c r="D153" s="156">
        <f t="shared" si="96"/>
        <v>0</v>
      </c>
      <c r="E153" s="156">
        <f t="shared" si="96"/>
        <v>0</v>
      </c>
      <c r="F153" s="156">
        <f t="shared" si="96"/>
        <v>0</v>
      </c>
      <c r="G153" s="156">
        <f t="shared" si="96"/>
        <v>0</v>
      </c>
      <c r="H153" s="156">
        <f t="shared" si="96"/>
        <v>0</v>
      </c>
      <c r="I153" s="156">
        <f t="shared" si="96"/>
        <v>0</v>
      </c>
      <c r="J153" s="156">
        <f t="shared" si="96"/>
        <v>0</v>
      </c>
      <c r="K153" s="156">
        <f t="shared" si="96"/>
        <v>0</v>
      </c>
      <c r="L153" s="156">
        <f t="shared" si="96"/>
        <v>0</v>
      </c>
      <c r="M153" s="156">
        <f t="shared" si="96"/>
        <v>0</v>
      </c>
      <c r="N153" s="156">
        <f t="shared" si="96"/>
        <v>0</v>
      </c>
      <c r="O153" s="156">
        <f t="shared" si="96"/>
        <v>0</v>
      </c>
      <c r="P153" s="156">
        <f t="shared" si="96"/>
        <v>0</v>
      </c>
      <c r="Q153" s="156">
        <f t="shared" si="96"/>
        <v>0</v>
      </c>
      <c r="R153" s="156">
        <f t="shared" si="96"/>
        <v>0</v>
      </c>
      <c r="S153" s="156">
        <f t="shared" si="96"/>
        <v>0</v>
      </c>
      <c r="T153" s="156">
        <f t="shared" si="96"/>
        <v>0</v>
      </c>
      <c r="U153" s="156">
        <f t="shared" si="96"/>
        <v>0</v>
      </c>
      <c r="V153" s="156">
        <f t="shared" si="96"/>
        <v>0</v>
      </c>
      <c r="W153" s="156">
        <f t="shared" si="96"/>
        <v>0</v>
      </c>
      <c r="X153" s="156">
        <f t="shared" si="96"/>
        <v>0</v>
      </c>
      <c r="Y153" s="156">
        <f t="shared" si="96"/>
        <v>0</v>
      </c>
      <c r="Z153" s="156">
        <f t="shared" si="96"/>
        <v>0</v>
      </c>
      <c r="AA153" s="156">
        <f t="shared" si="96"/>
        <v>0</v>
      </c>
      <c r="AB153" s="156">
        <f t="shared" si="96"/>
        <v>0</v>
      </c>
      <c r="AC153" s="156">
        <f t="shared" si="96"/>
        <v>0</v>
      </c>
      <c r="AD153" s="156">
        <f t="shared" si="96"/>
        <v>0</v>
      </c>
      <c r="AE153" s="156">
        <f t="shared" si="96"/>
        <v>0</v>
      </c>
    </row>
    <row r="154" spans="1:34" x14ac:dyDescent="0.3">
      <c r="B154" s="156">
        <f t="shared" ref="B154:Q156" si="97">B14+B27+B33+B39+B45+B51+B63+B69+B81+B87+B95+B101+B109+B117+B123+B129-B134</f>
        <v>0</v>
      </c>
      <c r="C154" s="156">
        <f t="shared" si="97"/>
        <v>0</v>
      </c>
      <c r="D154" s="156">
        <f t="shared" si="97"/>
        <v>0</v>
      </c>
      <c r="E154" s="156">
        <f t="shared" si="97"/>
        <v>0</v>
      </c>
      <c r="F154" s="156">
        <f t="shared" si="97"/>
        <v>-2.53300141217243</v>
      </c>
      <c r="G154" s="156">
        <f t="shared" si="97"/>
        <v>-17.621566382483465</v>
      </c>
      <c r="H154" s="156">
        <f t="shared" si="97"/>
        <v>0</v>
      </c>
      <c r="I154" s="156">
        <f t="shared" si="97"/>
        <v>0</v>
      </c>
      <c r="J154" s="156">
        <f t="shared" si="97"/>
        <v>0</v>
      </c>
      <c r="K154" s="156">
        <f t="shared" si="97"/>
        <v>0</v>
      </c>
      <c r="L154" s="156">
        <f t="shared" si="97"/>
        <v>0</v>
      </c>
      <c r="M154" s="156">
        <f t="shared" si="97"/>
        <v>0</v>
      </c>
      <c r="N154" s="156">
        <f t="shared" si="97"/>
        <v>0</v>
      </c>
      <c r="O154" s="156">
        <f t="shared" si="97"/>
        <v>0</v>
      </c>
      <c r="P154" s="156">
        <f t="shared" si="97"/>
        <v>0</v>
      </c>
      <c r="Q154" s="156">
        <f t="shared" si="97"/>
        <v>0</v>
      </c>
      <c r="R154" s="156">
        <f t="shared" si="96"/>
        <v>0</v>
      </c>
      <c r="S154" s="156">
        <f t="shared" si="96"/>
        <v>0</v>
      </c>
      <c r="T154" s="156">
        <f t="shared" si="96"/>
        <v>0</v>
      </c>
      <c r="U154" s="156">
        <f t="shared" si="96"/>
        <v>0</v>
      </c>
      <c r="V154" s="156">
        <f t="shared" si="96"/>
        <v>0</v>
      </c>
      <c r="W154" s="156">
        <f t="shared" si="96"/>
        <v>0</v>
      </c>
      <c r="X154" s="156">
        <f t="shared" si="96"/>
        <v>0</v>
      </c>
      <c r="Y154" s="156">
        <f t="shared" si="96"/>
        <v>0</v>
      </c>
      <c r="Z154" s="156">
        <f t="shared" si="96"/>
        <v>0</v>
      </c>
      <c r="AA154" s="156">
        <f t="shared" si="96"/>
        <v>0</v>
      </c>
      <c r="AB154" s="156">
        <f t="shared" si="96"/>
        <v>0</v>
      </c>
      <c r="AC154" s="156">
        <f t="shared" si="96"/>
        <v>0</v>
      </c>
      <c r="AD154" s="156">
        <f t="shared" si="96"/>
        <v>0</v>
      </c>
      <c r="AE154" s="156">
        <f t="shared" si="96"/>
        <v>0</v>
      </c>
    </row>
    <row r="155" spans="1:34" x14ac:dyDescent="0.3">
      <c r="B155" s="156">
        <f t="shared" si="97"/>
        <v>0</v>
      </c>
      <c r="C155" s="156">
        <f t="shared" si="96"/>
        <v>0</v>
      </c>
      <c r="D155" s="156">
        <f t="shared" si="96"/>
        <v>0</v>
      </c>
      <c r="E155" s="156">
        <f t="shared" si="96"/>
        <v>0</v>
      </c>
      <c r="F155" s="156">
        <f t="shared" si="96"/>
        <v>179.57206164414762</v>
      </c>
      <c r="G155" s="156">
        <f t="shared" si="96"/>
        <v>367.66455130111285</v>
      </c>
      <c r="H155" s="156">
        <f t="shared" si="96"/>
        <v>0</v>
      </c>
      <c r="I155" s="156">
        <f t="shared" si="96"/>
        <v>0</v>
      </c>
      <c r="J155" s="156">
        <f t="shared" si="96"/>
        <v>0</v>
      </c>
      <c r="K155" s="156">
        <f t="shared" si="96"/>
        <v>0</v>
      </c>
      <c r="L155" s="156">
        <f t="shared" si="96"/>
        <v>0</v>
      </c>
      <c r="M155" s="156">
        <f t="shared" si="96"/>
        <v>0</v>
      </c>
      <c r="N155" s="156">
        <f t="shared" si="96"/>
        <v>0</v>
      </c>
      <c r="O155" s="156">
        <f t="shared" si="96"/>
        <v>0</v>
      </c>
      <c r="P155" s="156">
        <f t="shared" si="96"/>
        <v>0</v>
      </c>
      <c r="Q155" s="156">
        <f t="shared" si="96"/>
        <v>0</v>
      </c>
      <c r="R155" s="156">
        <f t="shared" si="96"/>
        <v>0</v>
      </c>
      <c r="S155" s="156">
        <f t="shared" si="96"/>
        <v>0</v>
      </c>
      <c r="T155" s="156">
        <f t="shared" si="96"/>
        <v>0</v>
      </c>
      <c r="U155" s="156">
        <f t="shared" si="96"/>
        <v>0</v>
      </c>
      <c r="V155" s="156">
        <f t="shared" si="96"/>
        <v>0</v>
      </c>
      <c r="W155" s="156">
        <f t="shared" si="96"/>
        <v>0</v>
      </c>
      <c r="X155" s="156">
        <f t="shared" si="96"/>
        <v>0</v>
      </c>
      <c r="Y155" s="156">
        <f t="shared" si="96"/>
        <v>0</v>
      </c>
      <c r="Z155" s="156">
        <f t="shared" si="96"/>
        <v>0</v>
      </c>
      <c r="AA155" s="156">
        <f t="shared" si="96"/>
        <v>0</v>
      </c>
      <c r="AB155" s="156">
        <f t="shared" si="96"/>
        <v>0</v>
      </c>
      <c r="AC155" s="156">
        <f t="shared" si="96"/>
        <v>0</v>
      </c>
      <c r="AD155" s="156">
        <f t="shared" si="96"/>
        <v>0</v>
      </c>
      <c r="AE155" s="156">
        <f t="shared" si="96"/>
        <v>0</v>
      </c>
    </row>
    <row r="156" spans="1:34" x14ac:dyDescent="0.3">
      <c r="B156" s="156">
        <f t="shared" si="97"/>
        <v>0</v>
      </c>
      <c r="C156" s="156">
        <f t="shared" si="96"/>
        <v>0</v>
      </c>
      <c r="D156" s="156">
        <f t="shared" si="96"/>
        <v>0</v>
      </c>
      <c r="E156" s="156">
        <f t="shared" si="96"/>
        <v>0</v>
      </c>
      <c r="F156" s="156">
        <f t="shared" si="96"/>
        <v>0</v>
      </c>
      <c r="G156" s="156">
        <f t="shared" si="96"/>
        <v>0</v>
      </c>
      <c r="H156" s="156">
        <f t="shared" si="96"/>
        <v>0</v>
      </c>
      <c r="I156" s="156">
        <f t="shared" si="96"/>
        <v>0</v>
      </c>
      <c r="J156" s="156">
        <f t="shared" si="96"/>
        <v>0</v>
      </c>
      <c r="K156" s="156">
        <f t="shared" si="96"/>
        <v>0</v>
      </c>
      <c r="L156" s="156">
        <f t="shared" si="96"/>
        <v>0</v>
      </c>
      <c r="M156" s="156">
        <f t="shared" si="96"/>
        <v>0</v>
      </c>
      <c r="N156" s="156">
        <f t="shared" si="96"/>
        <v>0</v>
      </c>
      <c r="O156" s="156">
        <f t="shared" si="96"/>
        <v>0</v>
      </c>
      <c r="P156" s="156">
        <f t="shared" si="96"/>
        <v>0</v>
      </c>
      <c r="Q156" s="156">
        <f t="shared" si="96"/>
        <v>0</v>
      </c>
      <c r="R156" s="156">
        <f t="shared" si="96"/>
        <v>0</v>
      </c>
      <c r="S156" s="156">
        <f t="shared" si="96"/>
        <v>0</v>
      </c>
      <c r="T156" s="156">
        <f t="shared" si="96"/>
        <v>0</v>
      </c>
      <c r="U156" s="156">
        <f t="shared" si="96"/>
        <v>0</v>
      </c>
      <c r="V156" s="156">
        <f t="shared" si="96"/>
        <v>0</v>
      </c>
      <c r="W156" s="156">
        <f t="shared" si="96"/>
        <v>0</v>
      </c>
      <c r="X156" s="156">
        <f t="shared" si="96"/>
        <v>0</v>
      </c>
      <c r="Y156" s="156">
        <f t="shared" si="96"/>
        <v>0</v>
      </c>
      <c r="Z156" s="156">
        <f t="shared" si="96"/>
        <v>0</v>
      </c>
      <c r="AA156" s="156">
        <f t="shared" si="96"/>
        <v>0</v>
      </c>
      <c r="AB156" s="156">
        <f t="shared" si="96"/>
        <v>0</v>
      </c>
      <c r="AC156" s="156">
        <f t="shared" si="96"/>
        <v>0</v>
      </c>
      <c r="AD156" s="156">
        <f t="shared" si="96"/>
        <v>0</v>
      </c>
      <c r="AE156" s="156">
        <f t="shared" si="96"/>
        <v>0</v>
      </c>
    </row>
    <row r="157" spans="1:34" x14ac:dyDescent="0.3">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row>
    <row r="158" spans="1:34" x14ac:dyDescent="0.3">
      <c r="B158" s="798">
        <v>396624.17</v>
      </c>
      <c r="C158" s="798">
        <v>127535.26</v>
      </c>
      <c r="D158" s="799"/>
      <c r="E158" s="798">
        <v>116935.01</v>
      </c>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row>
    <row r="159" spans="1:34" x14ac:dyDescent="0.3">
      <c r="B159" s="798">
        <f>B158-B142</f>
        <v>4750.497320000024</v>
      </c>
      <c r="C159" s="798">
        <f>C158-C142</f>
        <v>8185.0544599999994</v>
      </c>
      <c r="D159" s="799"/>
      <c r="E159" s="798">
        <f>E158-D142</f>
        <v>59272.503999999986</v>
      </c>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row>
    <row r="160" spans="1:34" x14ac:dyDescent="0.3">
      <c r="B160" s="798"/>
      <c r="C160" s="798"/>
      <c r="D160" s="798"/>
      <c r="E160" s="798"/>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row>
  </sheetData>
  <customSheetViews>
    <customSheetView guid="{533DC55B-6AD4-4674-9488-685EF2039F3E}" scale="70">
      <pane xSplit="7" ySplit="10" topLeftCell="AD153" activePane="bottomRight" state="frozen"/>
      <selection pane="bottomRight" activeCell="AF98" sqref="AF98"/>
      <pageMargins left="0.7" right="0.7" top="0.75" bottom="0.75" header="0.3" footer="0.3"/>
      <pageSetup paperSize="9" orientation="portrait" r:id="rId1"/>
    </customSheetView>
    <customSheetView guid="{85F4575B-DBC5-482A-9916-255D8F0BC94E}" scale="70">
      <pane xSplit="7" ySplit="10" topLeftCell="AD93" activePane="bottomRight" state="frozen"/>
      <selection pane="bottomRight" activeCell="AF98" sqref="AF98"/>
      <pageMargins left="0.7" right="0.7" top="0.75" bottom="0.75" header="0.3" footer="0.3"/>
      <pageSetup paperSize="9" orientation="portrait" r:id="rId2"/>
    </customSheetView>
    <customSheetView guid="{B1BF08D1-D416-4B47-ADD0-4F59132DC9E8}" scale="70">
      <pane xSplit="7" ySplit="10" topLeftCell="H99" activePane="bottomRight" state="frozen"/>
      <selection pane="bottomRight" activeCell="G110" sqref="G110"/>
      <pageMargins left="0.7" right="0.7" top="0.75" bottom="0.75" header="0.3" footer="0.3"/>
      <pageSetup paperSize="9" orientation="portrait" r:id="rId3"/>
    </customSheetView>
    <customSheetView guid="{4F41B9CC-959D-442C-80B0-1F0DB2C76D27}" scale="70">
      <pane xSplit="2" ySplit="11" topLeftCell="C78" activePane="bottomRight" state="frozen"/>
      <selection pane="bottomRight" activeCell="C41" sqref="C41"/>
      <pageMargins left="0.7" right="0.7" top="0.75" bottom="0.75" header="0.3" footer="0.3"/>
      <pageSetup paperSize="9" orientation="portrait" r:id="rId4"/>
    </customSheetView>
    <customSheetView guid="{602C8EDB-B9EF-4C85-B0D5-0558C3A0ABAB}" scale="70">
      <pane xSplit="2" ySplit="11" topLeftCell="C84" activePane="bottomRight" state="frozen"/>
      <selection pane="bottomRight" activeCell="A92" sqref="A92"/>
      <pageMargins left="0.7" right="0.7" top="0.75" bottom="0.75" header="0.3" footer="0.3"/>
      <pageSetup paperSize="9" orientation="portrait" r:id="rId5"/>
    </customSheetView>
    <customSheetView guid="{D01FA037-9AEC-4167-ADB8-2F327C01ECE6}" scale="70">
      <pane xSplit="2" ySplit="11" topLeftCell="AA90" activePane="bottomRight" state="frozen"/>
      <selection pane="bottomRight" activeCell="A92" sqref="A92"/>
      <pageMargins left="0.7" right="0.7" top="0.75" bottom="0.75" header="0.3" footer="0.3"/>
      <pageSetup paperSize="9" orientation="portrait" r:id="rId6"/>
    </customSheetView>
    <customSheetView guid="{84867370-1F3E-4368-AF79-FBCE46FFFE92}" scale="70">
      <pane xSplit="2" ySplit="11" topLeftCell="C90" activePane="bottomRight" state="frozen"/>
      <selection pane="bottomRight" activeCell="A92" sqref="A92"/>
      <pageMargins left="0.7" right="0.7" top="0.75" bottom="0.75" header="0.3" footer="0.3"/>
      <pageSetup paperSize="9" orientation="portrait" r:id="rId7"/>
    </customSheetView>
    <customSheetView guid="{0C2B9C2A-7B94-41EF-A2E6-F8AC9A67DE25}" scale="70">
      <pane xSplit="2" ySplit="11" topLeftCell="E141" activePane="bottomRight" state="frozen"/>
      <selection pane="bottomRight" activeCell="K128" sqref="K128"/>
      <pageMargins left="0.7" right="0.7" top="0.75" bottom="0.75" header="0.3" footer="0.3"/>
      <pageSetup paperSize="9" orientation="portrait" r:id="rId8"/>
    </customSheetView>
    <customSheetView guid="{47B983AB-FE5F-4725-860C-A2F29420596D}" scale="70">
      <pane xSplit="2" ySplit="11" topLeftCell="E141" activePane="bottomRight" state="frozen"/>
      <selection pane="bottomRight" activeCell="K128" sqref="K128"/>
      <pageMargins left="0.7" right="0.7" top="0.75" bottom="0.75" header="0.3" footer="0.3"/>
      <pageSetup paperSize="9" orientation="portrait" r:id="rId9"/>
    </customSheetView>
    <customSheetView guid="{DAA8A688-7558-4B5B-8DBD-E2629BD9E9A8}" scale="70">
      <pane xSplit="2" ySplit="11" topLeftCell="E12" activePane="bottomRight" state="frozen"/>
      <selection pane="bottomRight" activeCell="G23" sqref="G23"/>
      <pageMargins left="0.7" right="0.7" top="0.75" bottom="0.75" header="0.3" footer="0.3"/>
      <pageSetup paperSize="9" orientation="portrait" r:id="rId10"/>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C236B307-BD63-48C4-A75F-B3F3717BF55C}" scale="70">
      <pane xSplit="2" ySplit="11" topLeftCell="C87" activePane="bottomRight" state="frozen"/>
      <selection pane="bottomRight" activeCell="I107" sqref="I107"/>
      <pageMargins left="0.7" right="0.7" top="0.75" bottom="0.75" header="0.3" footer="0.3"/>
      <pageSetup paperSize="9" orientation="portrait" r:id="rId11"/>
    </customSheetView>
    <customSheetView guid="{87218168-6C8E-4D5B-A5E5-DCCC26803AA3}" scale="70">
      <pane xSplit="2" ySplit="11" topLeftCell="E12" activePane="bottomRight" state="frozen"/>
      <selection pane="bottomRight" activeCell="G23" sqref="G23"/>
      <pageMargins left="0.7" right="0.7" top="0.75" bottom="0.75" header="0.3" footer="0.3"/>
      <pageSetup paperSize="9" orientation="portrait" r:id="rId12"/>
    </customSheetView>
    <customSheetView guid="{874882D1-E741-4CCA-BF0D-E72FA60B771D}" scale="70">
      <pane xSplit="2" ySplit="11" topLeftCell="E141" activePane="bottomRight" state="frozen"/>
      <selection pane="bottomRight" activeCell="H60" sqref="H60"/>
      <pageMargins left="0.7" right="0.7" top="0.75" bottom="0.75" header="0.3" footer="0.3"/>
      <pageSetup paperSize="9" orientation="portrait" r:id="rId13"/>
    </customSheetView>
    <customSheetView guid="{B82BA08A-1A30-4F4D-A478-74A6BD09EA97}" scale="70">
      <pane xSplit="2" ySplit="11" topLeftCell="E12" activePane="bottomRight" state="frozen"/>
      <selection pane="bottomRight" activeCell="G23" sqref="G23"/>
      <pageMargins left="0.7" right="0.7" top="0.75" bottom="0.75" header="0.3" footer="0.3"/>
      <pageSetup paperSize="9" orientation="portrait" r:id="rId14"/>
    </customSheetView>
    <customSheetView guid="{4D0DFB57-2CBA-42F2-9A97-C453A6851FBA}" scale="70">
      <pane xSplit="2" ySplit="11" topLeftCell="E141" activePane="bottomRight" state="frozen"/>
      <selection pane="bottomRight" activeCell="K128" sqref="K128"/>
      <pageMargins left="0.7" right="0.7" top="0.75" bottom="0.75" header="0.3" footer="0.3"/>
      <pageSetup paperSize="9" orientation="portrait" r:id="rId15"/>
    </customSheetView>
    <customSheetView guid="{770624BF-07F3-44B6-94C3-4CC447CDD45C}" scale="70">
      <pane xSplit="2" ySplit="11" topLeftCell="E141" activePane="bottomRight" state="frozen"/>
      <selection pane="bottomRight" activeCell="K128" sqref="K128"/>
      <pageMargins left="0.7" right="0.7" top="0.75" bottom="0.75" header="0.3" footer="0.3"/>
      <pageSetup paperSize="9" orientation="portrait" r:id="rId16"/>
    </customSheetView>
    <customSheetView guid="{E508E171-4ED9-4B07-84DF-DA28C60E1969}" scale="70">
      <pane xSplit="2" ySplit="11" topLeftCell="E141" activePane="bottomRight" state="frozen"/>
      <selection pane="bottomRight" activeCell="K128" sqref="K128"/>
      <pageMargins left="0.7" right="0.7" top="0.75" bottom="0.75" header="0.3" footer="0.3"/>
      <pageSetup paperSize="9" orientation="portrait" r:id="rId17"/>
    </customSheetView>
    <customSheetView guid="{74870EE6-26B9-40F7-9DC9-260EF16D8959}" scale="70">
      <pane xSplit="2" ySplit="11" topLeftCell="AA90" activePane="bottomRight" state="frozen"/>
      <selection pane="bottomRight" activeCell="A92" sqref="A92"/>
      <pageMargins left="0.7" right="0.7" top="0.75" bottom="0.75" header="0.3" footer="0.3"/>
      <pageSetup paperSize="9" orientation="portrait" r:id="rId18"/>
    </customSheetView>
    <customSheetView guid="{009B3074-D8EC-4952-BF50-43CD64449612}" scale="70">
      <pane xSplit="2" ySplit="11" topLeftCell="AA90" activePane="bottomRight" state="frozen"/>
      <selection pane="bottomRight" activeCell="A92" sqref="A92"/>
      <pageMargins left="0.7" right="0.7" top="0.75" bottom="0.75" header="0.3" footer="0.3"/>
      <pageSetup paperSize="9" orientation="portrait" r:id="rId19"/>
    </customSheetView>
    <customSheetView guid="{F679EF4A-C5FD-4B86-B87B-D85968E0F2CA}" scale="60">
      <pane xSplit="2" ySplit="11" topLeftCell="C115" activePane="bottomRight" state="frozen"/>
      <selection pane="bottomRight" activeCell="A142" sqref="A142"/>
      <pageMargins left="0.7" right="0.7" top="0.75" bottom="0.75" header="0.3" footer="0.3"/>
      <pageSetup paperSize="9" orientation="portrait" r:id="rId20"/>
    </customSheetView>
    <customSheetView guid="{959E901C-5DDE-42EE-AE94-AB8976B5E00B}" scale="70">
      <pane xSplit="7" ySplit="10" topLeftCell="U62" activePane="bottomRight" state="frozen"/>
      <selection pane="bottomRight" activeCell="AF70" sqref="AF70"/>
      <pageMargins left="0.7" right="0.7" top="0.75" bottom="0.75" header="0.3" footer="0.3"/>
      <pageSetup paperSize="9" orientation="portrait" r:id="rId21"/>
    </customSheetView>
    <customSheetView guid="{69DABE6F-6182-4403-A4A2-969F10F1C13A}" scale="70">
      <pane xSplit="7" ySplit="10" topLeftCell="AD93" activePane="bottomRight" state="frozen"/>
      <selection pane="bottomRight" activeCell="AF98" sqref="AF98"/>
      <pageMargins left="0.7" right="0.7" top="0.75" bottom="0.75" header="0.3" footer="0.3"/>
      <pageSetup paperSize="9" orientation="portrait" r:id="rId22"/>
    </customSheetView>
    <customSheetView guid="{09C3E205-981E-4A4E-BE89-8B7044192060}" scale="55">
      <pane xSplit="7" ySplit="10" topLeftCell="H113" activePane="bottomRight" state="frozen"/>
      <selection pane="bottomRight" activeCell="E30" sqref="E30"/>
      <pageMargins left="0.7" right="0.7" top="0.75" bottom="0.75" header="0.3" footer="0.3"/>
      <pageSetup paperSize="9" orientation="portrait" r:id="rId23"/>
    </customSheetView>
    <customSheetView guid="{6A602CB8-B24C-4ED4-B378-B27354BE0A1A}" scale="55">
      <pane xSplit="7" ySplit="10" topLeftCell="H113" activePane="bottomRight" state="frozen"/>
      <selection pane="bottomRight" activeCell="E30" sqref="E30"/>
      <pageMargins left="0.7" right="0.7" top="0.75" bottom="0.75" header="0.3" footer="0.3"/>
      <pageSetup paperSize="9" orientation="portrait" r:id="rId24"/>
    </customSheetView>
    <customSheetView guid="{7C130984-112A-4861-AA43-E2940708E3DC}" scale="55" state="hidden">
      <pane xSplit="7" ySplit="10" topLeftCell="H113" activePane="bottomRight" state="frozen"/>
      <selection pane="bottomRight" activeCell="E30" sqref="E30"/>
      <pageMargins left="0.7" right="0.7" top="0.75" bottom="0.75" header="0.3" footer="0.3"/>
      <pageSetup paperSize="9" orientation="portrait" r:id="rId25"/>
    </customSheetView>
  </customSheetViews>
  <mergeCells count="25">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105:AF105"/>
    <mergeCell ref="A112:AF112"/>
    <mergeCell ref="A113:AF113"/>
    <mergeCell ref="A9:AF9"/>
    <mergeCell ref="A10:AF10"/>
    <mergeCell ref="A17:AF17"/>
    <mergeCell ref="A90:AF90"/>
    <mergeCell ref="A91:AF91"/>
    <mergeCell ref="A104:AF104"/>
  </mergeCells>
  <hyperlinks>
    <hyperlink ref="A4:AF4" location="Оглавление!A1" display="Комплексный план (сетевой график) по реализации муниципальной программы  &quot;Развитие физической культуры и спорта в городе Когалыме&quot;"/>
  </hyperlinks>
  <pageMargins left="0.7" right="0.7" top="0.75" bottom="0.75" header="0.3" footer="0.3"/>
  <pageSetup paperSize="9" orientation="portrait" r:id="rId26"/>
  <legacyDrawing r:id="rId2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533DC55B-6AD4-4674-9488-685EF2039F3E}">
      <pageMargins left="0.7" right="0.7" top="0.75" bottom="0.75" header="0.3" footer="0.3"/>
    </customSheetView>
    <customSheetView guid="{85F4575B-DBC5-482A-9916-255D8F0BC94E}">
      <pageMargins left="0.7" right="0.7" top="0.75" bottom="0.75" header="0.3" footer="0.3"/>
    </customSheetView>
    <customSheetView guid="{B1BF08D1-D416-4B47-ADD0-4F59132DC9E8}">
      <pageMargins left="0.7" right="0.7" top="0.75" bottom="0.75" header="0.3" footer="0.3"/>
    </customSheetView>
    <customSheetView guid="{959E901C-5DDE-42EE-AE94-AB8976B5E00B}">
      <pageMargins left="0.7" right="0.7" top="0.75" bottom="0.75" header="0.3" footer="0.3"/>
    </customSheetView>
    <customSheetView guid="{69DABE6F-6182-4403-A4A2-969F10F1C13A}">
      <pageMargins left="0.7" right="0.7" top="0.75" bottom="0.75" header="0.3" footer="0.3"/>
    </customSheetView>
    <customSheetView guid="{09C3E205-981E-4A4E-BE89-8B7044192060}">
      <pageMargins left="0.7" right="0.7" top="0.75" bottom="0.75" header="0.3" footer="0.3"/>
    </customSheetView>
    <customSheetView guid="{6A602CB8-B24C-4ED4-B378-B27354BE0A1A}">
      <pageMargins left="0.7" right="0.7" top="0.75" bottom="0.75" header="0.3" footer="0.3"/>
    </customSheetView>
    <customSheetView guid="{7C130984-112A-4861-AA43-E2940708E3DC}" state="hidden">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P380"/>
  <sheetViews>
    <sheetView zoomScale="55" zoomScaleNormal="55" workbookViewId="0">
      <pane xSplit="2" ySplit="11" topLeftCell="C168" activePane="bottomRight" state="frozen"/>
      <selection activeCell="A54" activeCellId="2" sqref="A17 A48 A54"/>
      <selection pane="topRight" activeCell="A54" activeCellId="2" sqref="A17 A48 A54"/>
      <selection pane="bottomLeft" activeCell="A54" activeCellId="2" sqref="A17 A48 A54"/>
      <selection pane="bottomRight" activeCell="A54" activeCellId="2" sqref="A17 A48 A54"/>
    </sheetView>
  </sheetViews>
  <sheetFormatPr defaultColWidth="9.140625" defaultRowHeight="18.75" x14ac:dyDescent="0.3"/>
  <cols>
    <col min="1" max="1" width="62.140625" style="33" customWidth="1"/>
    <col min="2" max="2" width="23.7109375" style="33" customWidth="1"/>
    <col min="3" max="3" width="18.28515625" style="33" customWidth="1"/>
    <col min="4" max="4" width="20.85546875" style="33" customWidth="1"/>
    <col min="5" max="5" width="20.42578125" style="33" customWidth="1"/>
    <col min="6" max="6" width="13.7109375" style="33" customWidth="1"/>
    <col min="7" max="7" width="14" style="33" customWidth="1"/>
    <col min="8" max="8" width="16.42578125" style="33" customWidth="1"/>
    <col min="9" max="9" width="17.7109375" style="33" customWidth="1"/>
    <col min="10" max="10" width="16.7109375" style="33" customWidth="1"/>
    <col min="11" max="11" width="14.7109375" style="33" customWidth="1"/>
    <col min="12" max="12" width="15.140625" style="33" customWidth="1"/>
    <col min="13" max="13" width="17.28515625" style="33" customWidth="1"/>
    <col min="14" max="14" width="15.7109375" style="33" customWidth="1"/>
    <col min="15" max="15" width="17.28515625" style="33" customWidth="1"/>
    <col min="16" max="16" width="17.5703125" style="33" customWidth="1"/>
    <col min="17" max="17" width="11.5703125" style="33" customWidth="1"/>
    <col min="18" max="18" width="15.42578125" style="33" customWidth="1"/>
    <col min="19" max="19" width="11.5703125" style="33" customWidth="1"/>
    <col min="20" max="20" width="17.28515625" style="33" customWidth="1"/>
    <col min="21" max="21" width="11.5703125" style="33" customWidth="1"/>
    <col min="22" max="22" width="14.7109375" style="33" customWidth="1"/>
    <col min="23" max="23" width="11.5703125" style="33" customWidth="1"/>
    <col min="24" max="24" width="15.140625" style="33" customWidth="1"/>
    <col min="25" max="25" width="11.5703125" style="33" customWidth="1"/>
    <col min="26" max="26" width="15.140625" style="33" customWidth="1"/>
    <col min="27" max="27" width="11.5703125" style="33" customWidth="1"/>
    <col min="28" max="28" width="16.5703125" style="33" customWidth="1"/>
    <col min="29" max="29" width="13.85546875" style="33" customWidth="1"/>
    <col min="30" max="30" width="22.7109375" style="33" customWidth="1"/>
    <col min="31" max="31" width="11.5703125" style="33" customWidth="1"/>
    <col min="32" max="32" width="79.85546875" style="33" customWidth="1"/>
    <col min="33" max="33" width="10.7109375" style="33" customWidth="1"/>
    <col min="34" max="34" width="11.85546875" style="33" bestFit="1" customWidth="1"/>
    <col min="35" max="16384" width="9.140625" style="33"/>
  </cols>
  <sheetData>
    <row r="4" spans="1:33" x14ac:dyDescent="0.3">
      <c r="A4" s="911" t="s">
        <v>274</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row>
    <row r="6" spans="1:33" ht="50.25" customHeight="1" x14ac:dyDescent="0.3">
      <c r="A6" s="912" t="s">
        <v>163</v>
      </c>
      <c r="B6" s="95" t="s">
        <v>3</v>
      </c>
      <c r="C6" s="95" t="s">
        <v>3</v>
      </c>
      <c r="D6" s="95" t="s">
        <v>4</v>
      </c>
      <c r="E6" s="95" t="s">
        <v>5</v>
      </c>
      <c r="F6" s="913" t="s">
        <v>6</v>
      </c>
      <c r="G6" s="914"/>
      <c r="H6" s="913" t="s">
        <v>7</v>
      </c>
      <c r="I6" s="915"/>
      <c r="J6" s="913" t="s">
        <v>8</v>
      </c>
      <c r="K6" s="915"/>
      <c r="L6" s="913" t="s">
        <v>9</v>
      </c>
      <c r="M6" s="915"/>
      <c r="N6" s="913" t="s">
        <v>10</v>
      </c>
      <c r="O6" s="915"/>
      <c r="P6" s="913" t="s">
        <v>11</v>
      </c>
      <c r="Q6" s="915"/>
      <c r="R6" s="913" t="s">
        <v>12</v>
      </c>
      <c r="S6" s="915"/>
      <c r="T6" s="913" t="s">
        <v>13</v>
      </c>
      <c r="U6" s="915"/>
      <c r="V6" s="913" t="s">
        <v>14</v>
      </c>
      <c r="W6" s="915"/>
      <c r="X6" s="913" t="s">
        <v>15</v>
      </c>
      <c r="Y6" s="915"/>
      <c r="Z6" s="913" t="s">
        <v>16</v>
      </c>
      <c r="AA6" s="915"/>
      <c r="AB6" s="913" t="s">
        <v>17</v>
      </c>
      <c r="AC6" s="915"/>
      <c r="AD6" s="916" t="s">
        <v>18</v>
      </c>
      <c r="AE6" s="916"/>
      <c r="AF6" s="902" t="s">
        <v>19</v>
      </c>
    </row>
    <row r="7" spans="1:33" ht="56.25" x14ac:dyDescent="0.3">
      <c r="A7" s="912"/>
      <c r="B7" s="3">
        <v>2024</v>
      </c>
      <c r="C7" s="4">
        <v>45413</v>
      </c>
      <c r="D7" s="4">
        <v>45413</v>
      </c>
      <c r="E7" s="4">
        <v>45413</v>
      </c>
      <c r="F7" s="5" t="s">
        <v>20</v>
      </c>
      <c r="G7" s="5" t="s">
        <v>21</v>
      </c>
      <c r="H7" s="96" t="s">
        <v>22</v>
      </c>
      <c r="I7" s="96" t="s">
        <v>164</v>
      </c>
      <c r="J7" s="96" t="s">
        <v>22</v>
      </c>
      <c r="K7" s="96" t="s">
        <v>164</v>
      </c>
      <c r="L7" s="96" t="s">
        <v>22</v>
      </c>
      <c r="M7" s="96" t="s">
        <v>164</v>
      </c>
      <c r="N7" s="96" t="s">
        <v>22</v>
      </c>
      <c r="O7" s="96" t="s">
        <v>164</v>
      </c>
      <c r="P7" s="96" t="s">
        <v>22</v>
      </c>
      <c r="Q7" s="96" t="s">
        <v>164</v>
      </c>
      <c r="R7" s="96" t="s">
        <v>22</v>
      </c>
      <c r="S7" s="96" t="s">
        <v>164</v>
      </c>
      <c r="T7" s="96" t="s">
        <v>22</v>
      </c>
      <c r="U7" s="96" t="s">
        <v>164</v>
      </c>
      <c r="V7" s="96" t="s">
        <v>22</v>
      </c>
      <c r="W7" s="96" t="s">
        <v>164</v>
      </c>
      <c r="X7" s="96" t="s">
        <v>22</v>
      </c>
      <c r="Y7" s="96" t="s">
        <v>164</v>
      </c>
      <c r="Z7" s="96" t="s">
        <v>22</v>
      </c>
      <c r="AA7" s="96" t="s">
        <v>164</v>
      </c>
      <c r="AB7" s="96" t="s">
        <v>22</v>
      </c>
      <c r="AC7" s="96" t="s">
        <v>164</v>
      </c>
      <c r="AD7" s="96" t="s">
        <v>165</v>
      </c>
      <c r="AE7" s="96" t="s">
        <v>164</v>
      </c>
      <c r="AF7" s="903"/>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7" customFormat="1" x14ac:dyDescent="0.3">
      <c r="A9" s="908" t="s">
        <v>275</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10"/>
    </row>
    <row r="10" spans="1:33" s="97" customFormat="1" x14ac:dyDescent="0.3">
      <c r="A10" s="908" t="s">
        <v>167</v>
      </c>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10"/>
    </row>
    <row r="11" spans="1:33" ht="56.25" customHeight="1" x14ac:dyDescent="0.3">
      <c r="A11" s="98" t="s">
        <v>276</v>
      </c>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1"/>
      <c r="AG11" s="102">
        <f>B11-H11-J11-L11-N11-P11-R11-T11-V11-X11-Z11-AB11-AD11</f>
        <v>0</v>
      </c>
    </row>
    <row r="12" spans="1:33" x14ac:dyDescent="0.3">
      <c r="A12" s="103" t="s">
        <v>31</v>
      </c>
      <c r="B12" s="104">
        <f>B13+B14+B15+B16</f>
        <v>240.00299999999999</v>
      </c>
      <c r="C12" s="104">
        <f>C13+C14+C15+C16</f>
        <v>137.773</v>
      </c>
      <c r="D12" s="104">
        <f>D13+D14+D15+D16</f>
        <v>137.77000000000001</v>
      </c>
      <c r="E12" s="104">
        <f>E13+E14+E15+E16</f>
        <v>137.77000000000001</v>
      </c>
      <c r="F12" s="105">
        <f t="shared" ref="F12:F16" si="0">IFERROR(E12/B12*100,0)</f>
        <v>57.403449123552633</v>
      </c>
      <c r="G12" s="105">
        <f t="shared" ref="G12:G16" si="1">IFERROR(E12/C12*100,0)</f>
        <v>99.997822505135275</v>
      </c>
      <c r="H12" s="104">
        <f>H13+H14+H15+H16</f>
        <v>0</v>
      </c>
      <c r="I12" s="104">
        <f t="shared" ref="I12:AE12" si="2">I13+I14+I15+I16</f>
        <v>0</v>
      </c>
      <c r="J12" s="104">
        <f t="shared" si="2"/>
        <v>137.773</v>
      </c>
      <c r="K12" s="104">
        <f t="shared" si="2"/>
        <v>137.77000000000001</v>
      </c>
      <c r="L12" s="104">
        <f t="shared" si="2"/>
        <v>0</v>
      </c>
      <c r="M12" s="104">
        <f t="shared" si="2"/>
        <v>0</v>
      </c>
      <c r="N12" s="104">
        <f t="shared" si="2"/>
        <v>0</v>
      </c>
      <c r="O12" s="104">
        <f t="shared" si="2"/>
        <v>0</v>
      </c>
      <c r="P12" s="104">
        <f t="shared" si="2"/>
        <v>0</v>
      </c>
      <c r="Q12" s="104">
        <f t="shared" si="2"/>
        <v>0</v>
      </c>
      <c r="R12" s="104">
        <f t="shared" si="2"/>
        <v>0</v>
      </c>
      <c r="S12" s="104">
        <f t="shared" si="2"/>
        <v>0</v>
      </c>
      <c r="T12" s="104">
        <f t="shared" si="2"/>
        <v>0</v>
      </c>
      <c r="U12" s="104">
        <f t="shared" si="2"/>
        <v>0</v>
      </c>
      <c r="V12" s="104">
        <f t="shared" si="2"/>
        <v>100</v>
      </c>
      <c r="W12" s="104">
        <f t="shared" si="2"/>
        <v>0</v>
      </c>
      <c r="X12" s="104">
        <f t="shared" si="2"/>
        <v>0</v>
      </c>
      <c r="Y12" s="104">
        <f t="shared" si="2"/>
        <v>0</v>
      </c>
      <c r="Z12" s="104">
        <f t="shared" si="2"/>
        <v>2.23</v>
      </c>
      <c r="AA12" s="104">
        <f t="shared" si="2"/>
        <v>0</v>
      </c>
      <c r="AB12" s="104">
        <f t="shared" si="2"/>
        <v>0</v>
      </c>
      <c r="AC12" s="104">
        <f t="shared" si="2"/>
        <v>0</v>
      </c>
      <c r="AD12" s="104">
        <f t="shared" si="2"/>
        <v>0</v>
      </c>
      <c r="AE12" s="104">
        <f t="shared" si="2"/>
        <v>0</v>
      </c>
      <c r="AF12" s="101"/>
      <c r="AG12" s="102">
        <f t="shared" ref="AG12:AG129" si="3">B12-H12-J12-L12-N12-P12-R12-T12-V12-X12-Z12-AB12-AD12</f>
        <v>-1.021405182655144E-14</v>
      </c>
    </row>
    <row r="13" spans="1:33" x14ac:dyDescent="0.3">
      <c r="A13" s="106" t="s">
        <v>169</v>
      </c>
      <c r="B13" s="107">
        <f>B19</f>
        <v>0</v>
      </c>
      <c r="C13" s="107">
        <f t="shared" ref="C13:E16" si="4">C19</f>
        <v>0</v>
      </c>
      <c r="D13" s="107">
        <f t="shared" si="4"/>
        <v>0</v>
      </c>
      <c r="E13" s="107">
        <f t="shared" si="4"/>
        <v>0</v>
      </c>
      <c r="F13" s="107">
        <f t="shared" si="0"/>
        <v>0</v>
      </c>
      <c r="G13" s="107">
        <f t="shared" si="1"/>
        <v>0</v>
      </c>
      <c r="H13" s="107">
        <f t="shared" ref="H13:AE16" si="5">H19</f>
        <v>0</v>
      </c>
      <c r="I13" s="107">
        <f t="shared" si="5"/>
        <v>0</v>
      </c>
      <c r="J13" s="107">
        <f t="shared" si="5"/>
        <v>0</v>
      </c>
      <c r="K13" s="107">
        <f t="shared" si="5"/>
        <v>0</v>
      </c>
      <c r="L13" s="107">
        <f t="shared" si="5"/>
        <v>0</v>
      </c>
      <c r="M13" s="107">
        <f t="shared" si="5"/>
        <v>0</v>
      </c>
      <c r="N13" s="107">
        <f t="shared" si="5"/>
        <v>0</v>
      </c>
      <c r="O13" s="107">
        <f t="shared" si="5"/>
        <v>0</v>
      </c>
      <c r="P13" s="107">
        <f t="shared" si="5"/>
        <v>0</v>
      </c>
      <c r="Q13" s="107">
        <f t="shared" si="5"/>
        <v>0</v>
      </c>
      <c r="R13" s="107">
        <f t="shared" si="5"/>
        <v>0</v>
      </c>
      <c r="S13" s="107">
        <f t="shared" si="5"/>
        <v>0</v>
      </c>
      <c r="T13" s="107">
        <f t="shared" si="5"/>
        <v>0</v>
      </c>
      <c r="U13" s="107">
        <f t="shared" si="5"/>
        <v>0</v>
      </c>
      <c r="V13" s="107">
        <f t="shared" si="5"/>
        <v>0</v>
      </c>
      <c r="W13" s="107">
        <f t="shared" si="5"/>
        <v>0</v>
      </c>
      <c r="X13" s="107">
        <f t="shared" si="5"/>
        <v>0</v>
      </c>
      <c r="Y13" s="107">
        <f t="shared" si="5"/>
        <v>0</v>
      </c>
      <c r="Z13" s="107">
        <f t="shared" si="5"/>
        <v>0</v>
      </c>
      <c r="AA13" s="107">
        <f t="shared" si="5"/>
        <v>0</v>
      </c>
      <c r="AB13" s="107">
        <f t="shared" si="5"/>
        <v>0</v>
      </c>
      <c r="AC13" s="107">
        <f t="shared" si="5"/>
        <v>0</v>
      </c>
      <c r="AD13" s="107">
        <f t="shared" si="5"/>
        <v>0</v>
      </c>
      <c r="AE13" s="107">
        <f t="shared" si="5"/>
        <v>0</v>
      </c>
      <c r="AF13" s="101"/>
      <c r="AG13" s="102">
        <f t="shared" si="3"/>
        <v>0</v>
      </c>
    </row>
    <row r="14" spans="1:33" x14ac:dyDescent="0.3">
      <c r="A14" s="106" t="s">
        <v>32</v>
      </c>
      <c r="B14" s="107">
        <f t="shared" ref="B14:B16" si="6">B20</f>
        <v>0</v>
      </c>
      <c r="C14" s="107">
        <f t="shared" si="4"/>
        <v>0</v>
      </c>
      <c r="D14" s="107">
        <f t="shared" si="4"/>
        <v>0</v>
      </c>
      <c r="E14" s="107">
        <f t="shared" si="4"/>
        <v>0</v>
      </c>
      <c r="F14" s="107">
        <f t="shared" si="0"/>
        <v>0</v>
      </c>
      <c r="G14" s="107">
        <f t="shared" si="1"/>
        <v>0</v>
      </c>
      <c r="H14" s="107">
        <f t="shared" si="5"/>
        <v>0</v>
      </c>
      <c r="I14" s="107">
        <f t="shared" si="5"/>
        <v>0</v>
      </c>
      <c r="J14" s="107">
        <f t="shared" si="5"/>
        <v>0</v>
      </c>
      <c r="K14" s="107">
        <f t="shared" si="5"/>
        <v>0</v>
      </c>
      <c r="L14" s="107">
        <f t="shared" si="5"/>
        <v>0</v>
      </c>
      <c r="M14" s="107">
        <f t="shared" si="5"/>
        <v>0</v>
      </c>
      <c r="N14" s="107">
        <f t="shared" si="5"/>
        <v>0</v>
      </c>
      <c r="O14" s="107">
        <f t="shared" si="5"/>
        <v>0</v>
      </c>
      <c r="P14" s="107">
        <f t="shared" si="5"/>
        <v>0</v>
      </c>
      <c r="Q14" s="107">
        <f t="shared" si="5"/>
        <v>0</v>
      </c>
      <c r="R14" s="107">
        <f t="shared" si="5"/>
        <v>0</v>
      </c>
      <c r="S14" s="107">
        <f t="shared" si="5"/>
        <v>0</v>
      </c>
      <c r="T14" s="107">
        <f t="shared" si="5"/>
        <v>0</v>
      </c>
      <c r="U14" s="107">
        <f t="shared" si="5"/>
        <v>0</v>
      </c>
      <c r="V14" s="107">
        <f t="shared" si="5"/>
        <v>0</v>
      </c>
      <c r="W14" s="107">
        <f t="shared" si="5"/>
        <v>0</v>
      </c>
      <c r="X14" s="107">
        <f t="shared" si="5"/>
        <v>0</v>
      </c>
      <c r="Y14" s="107">
        <f t="shared" si="5"/>
        <v>0</v>
      </c>
      <c r="Z14" s="107">
        <f t="shared" si="5"/>
        <v>0</v>
      </c>
      <c r="AA14" s="107">
        <f t="shared" si="5"/>
        <v>0</v>
      </c>
      <c r="AB14" s="107">
        <f t="shared" si="5"/>
        <v>0</v>
      </c>
      <c r="AC14" s="107">
        <f t="shared" si="5"/>
        <v>0</v>
      </c>
      <c r="AD14" s="107">
        <f t="shared" si="5"/>
        <v>0</v>
      </c>
      <c r="AE14" s="107">
        <f t="shared" si="5"/>
        <v>0</v>
      </c>
      <c r="AF14" s="101"/>
      <c r="AG14" s="102">
        <f t="shared" si="3"/>
        <v>0</v>
      </c>
    </row>
    <row r="15" spans="1:33" x14ac:dyDescent="0.3">
      <c r="A15" s="106" t="s">
        <v>33</v>
      </c>
      <c r="B15" s="107">
        <f t="shared" si="6"/>
        <v>240.00299999999999</v>
      </c>
      <c r="C15" s="107">
        <f>C21</f>
        <v>137.773</v>
      </c>
      <c r="D15" s="107">
        <f t="shared" si="4"/>
        <v>137.77000000000001</v>
      </c>
      <c r="E15" s="107">
        <f t="shared" si="4"/>
        <v>137.77000000000001</v>
      </c>
      <c r="F15" s="107">
        <f t="shared" si="0"/>
        <v>57.403449123552633</v>
      </c>
      <c r="G15" s="107">
        <f t="shared" si="1"/>
        <v>99.997822505135275</v>
      </c>
      <c r="H15" s="107">
        <f t="shared" si="5"/>
        <v>0</v>
      </c>
      <c r="I15" s="107">
        <f t="shared" si="5"/>
        <v>0</v>
      </c>
      <c r="J15" s="107">
        <f t="shared" si="5"/>
        <v>137.773</v>
      </c>
      <c r="K15" s="107">
        <f t="shared" si="5"/>
        <v>137.77000000000001</v>
      </c>
      <c r="L15" s="107">
        <f t="shared" si="5"/>
        <v>0</v>
      </c>
      <c r="M15" s="107">
        <f t="shared" si="5"/>
        <v>0</v>
      </c>
      <c r="N15" s="107">
        <f t="shared" si="5"/>
        <v>0</v>
      </c>
      <c r="O15" s="107">
        <f t="shared" si="5"/>
        <v>0</v>
      </c>
      <c r="P15" s="107">
        <f t="shared" si="5"/>
        <v>0</v>
      </c>
      <c r="Q15" s="107">
        <f t="shared" si="5"/>
        <v>0</v>
      </c>
      <c r="R15" s="107">
        <f t="shared" si="5"/>
        <v>0</v>
      </c>
      <c r="S15" s="107">
        <f t="shared" si="5"/>
        <v>0</v>
      </c>
      <c r="T15" s="107">
        <f t="shared" si="5"/>
        <v>0</v>
      </c>
      <c r="U15" s="107">
        <f t="shared" si="5"/>
        <v>0</v>
      </c>
      <c r="V15" s="107">
        <f t="shared" si="5"/>
        <v>100</v>
      </c>
      <c r="W15" s="107">
        <f t="shared" si="5"/>
        <v>0</v>
      </c>
      <c r="X15" s="107">
        <f t="shared" si="5"/>
        <v>0</v>
      </c>
      <c r="Y15" s="107">
        <f t="shared" si="5"/>
        <v>0</v>
      </c>
      <c r="Z15" s="107">
        <f t="shared" si="5"/>
        <v>2.23</v>
      </c>
      <c r="AA15" s="107">
        <f t="shared" si="5"/>
        <v>0</v>
      </c>
      <c r="AB15" s="107">
        <f t="shared" si="5"/>
        <v>0</v>
      </c>
      <c r="AC15" s="107">
        <f t="shared" si="5"/>
        <v>0</v>
      </c>
      <c r="AD15" s="107">
        <f t="shared" si="5"/>
        <v>0</v>
      </c>
      <c r="AE15" s="107">
        <f t="shared" si="5"/>
        <v>0</v>
      </c>
      <c r="AF15" s="101"/>
      <c r="AG15" s="102">
        <f t="shared" si="3"/>
        <v>-1.021405182655144E-14</v>
      </c>
    </row>
    <row r="16" spans="1:33" x14ac:dyDescent="0.3">
      <c r="A16" s="106" t="s">
        <v>170</v>
      </c>
      <c r="B16" s="107">
        <f t="shared" si="6"/>
        <v>0</v>
      </c>
      <c r="C16" s="107">
        <f t="shared" si="4"/>
        <v>0</v>
      </c>
      <c r="D16" s="107">
        <f t="shared" si="4"/>
        <v>0</v>
      </c>
      <c r="E16" s="107">
        <f t="shared" si="4"/>
        <v>0</v>
      </c>
      <c r="F16" s="107">
        <f t="shared" si="0"/>
        <v>0</v>
      </c>
      <c r="G16" s="107">
        <f t="shared" si="1"/>
        <v>0</v>
      </c>
      <c r="H16" s="107">
        <f t="shared" si="5"/>
        <v>0</v>
      </c>
      <c r="I16" s="107">
        <f t="shared" si="5"/>
        <v>0</v>
      </c>
      <c r="J16" s="107">
        <f t="shared" si="5"/>
        <v>0</v>
      </c>
      <c r="K16" s="107">
        <f t="shared" si="5"/>
        <v>0</v>
      </c>
      <c r="L16" s="107">
        <f t="shared" si="5"/>
        <v>0</v>
      </c>
      <c r="M16" s="107">
        <f t="shared" si="5"/>
        <v>0</v>
      </c>
      <c r="N16" s="107">
        <f t="shared" si="5"/>
        <v>0</v>
      </c>
      <c r="O16" s="107">
        <f t="shared" si="5"/>
        <v>0</v>
      </c>
      <c r="P16" s="107">
        <f t="shared" si="5"/>
        <v>0</v>
      </c>
      <c r="Q16" s="107">
        <f t="shared" si="5"/>
        <v>0</v>
      </c>
      <c r="R16" s="107">
        <f t="shared" si="5"/>
        <v>0</v>
      </c>
      <c r="S16" s="107">
        <f t="shared" si="5"/>
        <v>0</v>
      </c>
      <c r="T16" s="107">
        <f t="shared" si="5"/>
        <v>0</v>
      </c>
      <c r="U16" s="107">
        <f t="shared" si="5"/>
        <v>0</v>
      </c>
      <c r="V16" s="107">
        <f t="shared" si="5"/>
        <v>0</v>
      </c>
      <c r="W16" s="107">
        <f t="shared" si="5"/>
        <v>0</v>
      </c>
      <c r="X16" s="107">
        <f t="shared" si="5"/>
        <v>0</v>
      </c>
      <c r="Y16" s="107">
        <f t="shared" si="5"/>
        <v>0</v>
      </c>
      <c r="Z16" s="107">
        <f t="shared" si="5"/>
        <v>0</v>
      </c>
      <c r="AA16" s="107">
        <f t="shared" si="5"/>
        <v>0</v>
      </c>
      <c r="AB16" s="107">
        <f t="shared" si="5"/>
        <v>0</v>
      </c>
      <c r="AC16" s="107">
        <f t="shared" si="5"/>
        <v>0</v>
      </c>
      <c r="AD16" s="107">
        <f t="shared" si="5"/>
        <v>0</v>
      </c>
      <c r="AE16" s="107">
        <f t="shared" si="5"/>
        <v>0</v>
      </c>
      <c r="AF16" s="101"/>
      <c r="AG16" s="102">
        <f t="shared" si="3"/>
        <v>0</v>
      </c>
    </row>
    <row r="17" spans="1:33" ht="84" customHeight="1" x14ac:dyDescent="0.3">
      <c r="A17" s="864" t="s">
        <v>608</v>
      </c>
      <c r="B17" s="642"/>
      <c r="C17" s="110"/>
      <c r="D17" s="110"/>
      <c r="E17" s="110"/>
      <c r="F17" s="110"/>
      <c r="G17" s="110"/>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29"/>
      <c r="AG17" s="102">
        <f t="shared" si="3"/>
        <v>0</v>
      </c>
    </row>
    <row r="18" spans="1:33" x14ac:dyDescent="0.3">
      <c r="A18" s="638" t="s">
        <v>31</v>
      </c>
      <c r="B18" s="662">
        <f>B20+B21+B19+B22</f>
        <v>240.00299999999999</v>
      </c>
      <c r="C18" s="662">
        <f>C20+C21+C19+C22</f>
        <v>137.773</v>
      </c>
      <c r="D18" s="665">
        <f>D20+D21+D19+D22</f>
        <v>137.77000000000001</v>
      </c>
      <c r="E18" s="662">
        <f>E20+E21+E19+E22</f>
        <v>137.77000000000001</v>
      </c>
      <c r="F18" s="113">
        <f>IFERROR(E18/B18*100,0)</f>
        <v>57.403449123552633</v>
      </c>
      <c r="G18" s="113">
        <f>IFERROR(E18/C18*100,0)</f>
        <v>99.997822505135275</v>
      </c>
      <c r="H18" s="662">
        <f t="shared" ref="H18:AE18" si="7">H20+H21+H19+H22</f>
        <v>0</v>
      </c>
      <c r="I18" s="662">
        <f t="shared" si="7"/>
        <v>0</v>
      </c>
      <c r="J18" s="662">
        <f t="shared" si="7"/>
        <v>137.773</v>
      </c>
      <c r="K18" s="662">
        <f t="shared" si="7"/>
        <v>137.77000000000001</v>
      </c>
      <c r="L18" s="662">
        <f t="shared" si="7"/>
        <v>0</v>
      </c>
      <c r="M18" s="662">
        <f t="shared" si="7"/>
        <v>0</v>
      </c>
      <c r="N18" s="662">
        <f t="shared" si="7"/>
        <v>0</v>
      </c>
      <c r="O18" s="113">
        <f t="shared" si="7"/>
        <v>0</v>
      </c>
      <c r="P18" s="662">
        <f t="shared" si="7"/>
        <v>0</v>
      </c>
      <c r="Q18" s="113">
        <f t="shared" si="7"/>
        <v>0</v>
      </c>
      <c r="R18" s="662">
        <f t="shared" si="7"/>
        <v>0</v>
      </c>
      <c r="S18" s="113">
        <f t="shared" si="7"/>
        <v>0</v>
      </c>
      <c r="T18" s="662">
        <f t="shared" si="7"/>
        <v>0</v>
      </c>
      <c r="U18" s="113">
        <f t="shared" si="7"/>
        <v>0</v>
      </c>
      <c r="V18" s="122">
        <f t="shared" si="7"/>
        <v>100</v>
      </c>
      <c r="W18" s="113">
        <f t="shared" si="7"/>
        <v>0</v>
      </c>
      <c r="X18" s="662">
        <f t="shared" si="7"/>
        <v>0</v>
      </c>
      <c r="Y18" s="113">
        <f t="shared" si="7"/>
        <v>0</v>
      </c>
      <c r="Z18" s="122">
        <f t="shared" si="7"/>
        <v>2.23</v>
      </c>
      <c r="AA18" s="113">
        <f t="shared" si="7"/>
        <v>0</v>
      </c>
      <c r="AB18" s="662">
        <f t="shared" si="7"/>
        <v>0</v>
      </c>
      <c r="AC18" s="113">
        <f t="shared" si="7"/>
        <v>0</v>
      </c>
      <c r="AD18" s="662">
        <f t="shared" si="7"/>
        <v>0</v>
      </c>
      <c r="AE18" s="113">
        <f t="shared" si="7"/>
        <v>0</v>
      </c>
      <c r="AF18" s="29"/>
      <c r="AG18" s="102">
        <f t="shared" si="3"/>
        <v>-1.021405182655144E-14</v>
      </c>
    </row>
    <row r="19" spans="1:33" x14ac:dyDescent="0.3">
      <c r="A19" s="641" t="s">
        <v>169</v>
      </c>
      <c r="B19" s="663">
        <f t="shared" ref="B19:B21" si="8">J19+L19+N19+P19+R19+T19+V19+X19+Z19+AB19+AD19+H19</f>
        <v>0</v>
      </c>
      <c r="C19" s="664">
        <f>SUM(H19)</f>
        <v>0</v>
      </c>
      <c r="D19" s="666">
        <f>E19</f>
        <v>0</v>
      </c>
      <c r="E19" s="664">
        <f>SUM(I19,K19,M19,O19,Q19,S19,U19,W19,Y19,AA19,AC19,AE19)</f>
        <v>0</v>
      </c>
      <c r="F19" s="116">
        <f>IFERROR(E19/B19*100,0)</f>
        <v>0</v>
      </c>
      <c r="G19" s="116">
        <f>IFERROR(E19/C19*100,0)</f>
        <v>0</v>
      </c>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29"/>
      <c r="AG19" s="102">
        <f t="shared" si="3"/>
        <v>0</v>
      </c>
    </row>
    <row r="20" spans="1:33" x14ac:dyDescent="0.3">
      <c r="A20" s="641" t="s">
        <v>32</v>
      </c>
      <c r="B20" s="663">
        <f t="shared" si="8"/>
        <v>0</v>
      </c>
      <c r="C20" s="664">
        <f>SUM(H20)</f>
        <v>0</v>
      </c>
      <c r="D20" s="666">
        <f>E20</f>
        <v>0</v>
      </c>
      <c r="E20" s="664">
        <f>SUM(I20,K20,M20,O20,Q20,S20,U20,W20,Y20,AA20,AC20,AE20)</f>
        <v>0</v>
      </c>
      <c r="F20" s="116">
        <f>IFERROR(E20/B20*100,0)</f>
        <v>0</v>
      </c>
      <c r="G20" s="116">
        <f>IFERROR(E20/C20*100,0)</f>
        <v>0</v>
      </c>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29"/>
      <c r="AG20" s="102">
        <f t="shared" si="3"/>
        <v>0</v>
      </c>
    </row>
    <row r="21" spans="1:33" x14ac:dyDescent="0.3">
      <c r="A21" s="802" t="s">
        <v>33</v>
      </c>
      <c r="B21" s="663">
        <f t="shared" si="8"/>
        <v>240.00299999999999</v>
      </c>
      <c r="C21" s="664">
        <f>H21+J21</f>
        <v>137.773</v>
      </c>
      <c r="D21" s="666">
        <f>E21</f>
        <v>137.77000000000001</v>
      </c>
      <c r="E21" s="664">
        <f>SUM(I21,K21,M21,O21,Q21,S21,U21,W21,Y21,AA21,AC21,AE21)</f>
        <v>137.77000000000001</v>
      </c>
      <c r="F21" s="116">
        <f>IFERROR(E21/B21*100,0)</f>
        <v>57.403449123552633</v>
      </c>
      <c r="G21" s="116">
        <f>IFERROR(E21/C21*100,0)</f>
        <v>99.997822505135275</v>
      </c>
      <c r="H21" s="111"/>
      <c r="I21" s="111"/>
      <c r="J21" s="111">
        <v>137.773</v>
      </c>
      <c r="K21" s="111">
        <v>137.77000000000001</v>
      </c>
      <c r="L21" s="111"/>
      <c r="M21" s="111"/>
      <c r="N21" s="111"/>
      <c r="O21" s="111"/>
      <c r="P21" s="111"/>
      <c r="Q21" s="111"/>
      <c r="R21" s="111"/>
      <c r="S21" s="111"/>
      <c r="T21" s="111"/>
      <c r="U21" s="111"/>
      <c r="V21" s="111">
        <v>100</v>
      </c>
      <c r="W21" s="111"/>
      <c r="X21" s="111"/>
      <c r="Y21" s="111"/>
      <c r="Z21" s="597">
        <v>2.23</v>
      </c>
      <c r="AA21" s="111"/>
      <c r="AB21" s="111"/>
      <c r="AC21" s="111"/>
      <c r="AD21" s="111"/>
      <c r="AE21" s="111"/>
      <c r="AF21" s="29"/>
      <c r="AG21" s="102">
        <f t="shared" si="3"/>
        <v>-1.021405182655144E-14</v>
      </c>
    </row>
    <row r="22" spans="1:33" x14ac:dyDescent="0.3">
      <c r="A22" s="115" t="s">
        <v>170</v>
      </c>
      <c r="B22" s="116"/>
      <c r="C22" s="117"/>
      <c r="D22" s="118"/>
      <c r="E22" s="117"/>
      <c r="F22" s="116"/>
      <c r="G22" s="116"/>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29"/>
      <c r="AG22" s="102">
        <f t="shared" si="3"/>
        <v>0</v>
      </c>
    </row>
    <row r="23" spans="1:33" ht="56.25" customHeight="1" x14ac:dyDescent="0.3">
      <c r="A23" s="98" t="s">
        <v>277</v>
      </c>
      <c r="B23" s="99"/>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1"/>
      <c r="AG23" s="102">
        <f>B23-H23-J23-L23-N23-P23-R23-T23-V23-X23-Z23-AB23-AD23</f>
        <v>0</v>
      </c>
    </row>
    <row r="24" spans="1:33" x14ac:dyDescent="0.3">
      <c r="A24" s="103" t="s">
        <v>31</v>
      </c>
      <c r="B24" s="104">
        <f>B25+B26+B27+B28</f>
        <v>0</v>
      </c>
      <c r="C24" s="104">
        <f>C25+C26+C27+C28</f>
        <v>0</v>
      </c>
      <c r="D24" s="104">
        <f>D25+D26+D27+D28</f>
        <v>0</v>
      </c>
      <c r="E24" s="104">
        <f>E25+E26+E27+E28</f>
        <v>0</v>
      </c>
      <c r="F24" s="105">
        <f t="shared" ref="F24:F28" si="9">IFERROR(E24/B24*100,0)</f>
        <v>0</v>
      </c>
      <c r="G24" s="105">
        <f t="shared" ref="G24:G28" si="10">IFERROR(E24/C24*100,0)</f>
        <v>0</v>
      </c>
      <c r="H24" s="104">
        <f>H25+H26+H27+H28</f>
        <v>0</v>
      </c>
      <c r="I24" s="104">
        <f t="shared" ref="I24:AE24" si="11">I25+I26+I27+I28</f>
        <v>0</v>
      </c>
      <c r="J24" s="104">
        <f t="shared" si="11"/>
        <v>0</v>
      </c>
      <c r="K24" s="104">
        <f t="shared" si="11"/>
        <v>0</v>
      </c>
      <c r="L24" s="104">
        <f t="shared" si="11"/>
        <v>0</v>
      </c>
      <c r="M24" s="104">
        <f t="shared" si="11"/>
        <v>0</v>
      </c>
      <c r="N24" s="104">
        <f t="shared" si="11"/>
        <v>0</v>
      </c>
      <c r="O24" s="104">
        <f t="shared" si="11"/>
        <v>0</v>
      </c>
      <c r="P24" s="104">
        <f t="shared" si="11"/>
        <v>0</v>
      </c>
      <c r="Q24" s="104">
        <f t="shared" si="11"/>
        <v>0</v>
      </c>
      <c r="R24" s="104">
        <f t="shared" si="11"/>
        <v>0</v>
      </c>
      <c r="S24" s="104">
        <f t="shared" si="11"/>
        <v>0</v>
      </c>
      <c r="T24" s="104">
        <f t="shared" si="11"/>
        <v>0</v>
      </c>
      <c r="U24" s="104">
        <f t="shared" si="11"/>
        <v>0</v>
      </c>
      <c r="V24" s="104">
        <f t="shared" si="11"/>
        <v>0</v>
      </c>
      <c r="W24" s="104">
        <f t="shared" si="11"/>
        <v>0</v>
      </c>
      <c r="X24" s="104">
        <f t="shared" si="11"/>
        <v>0</v>
      </c>
      <c r="Y24" s="104">
        <f t="shared" si="11"/>
        <v>0</v>
      </c>
      <c r="Z24" s="104">
        <f t="shared" si="11"/>
        <v>0</v>
      </c>
      <c r="AA24" s="104">
        <f t="shared" si="11"/>
        <v>0</v>
      </c>
      <c r="AB24" s="104">
        <f t="shared" si="11"/>
        <v>0</v>
      </c>
      <c r="AC24" s="104">
        <f t="shared" si="11"/>
        <v>0</v>
      </c>
      <c r="AD24" s="104">
        <f t="shared" si="11"/>
        <v>0</v>
      </c>
      <c r="AE24" s="104">
        <f t="shared" si="11"/>
        <v>0</v>
      </c>
      <c r="AF24" s="101"/>
      <c r="AG24" s="102">
        <f t="shared" ref="AG24:AG28" si="12">B24-H24-J24-L24-N24-P24-R24-T24-V24-X24-Z24-AB24-AD24</f>
        <v>0</v>
      </c>
    </row>
    <row r="25" spans="1:33" x14ac:dyDescent="0.3">
      <c r="A25" s="106" t="s">
        <v>169</v>
      </c>
      <c r="B25" s="107">
        <f t="shared" ref="B25:B28" si="13">J25+L25+N25+P25+R25+T25+V25+X25+Z25+AB25+AD25+H25</f>
        <v>0</v>
      </c>
      <c r="C25" s="107">
        <f t="shared" ref="C25:C28" si="14">SUM(H25)</f>
        <v>0</v>
      </c>
      <c r="D25" s="107">
        <f t="shared" ref="D25:D28" si="15">E25</f>
        <v>0</v>
      </c>
      <c r="E25" s="107">
        <f t="shared" ref="E25:E28" si="16">SUM(I25,K25,M25,O25,Q25,S25,U25,W25,Y25,AA25,AC25,AE25)</f>
        <v>0</v>
      </c>
      <c r="F25" s="107">
        <f t="shared" si="9"/>
        <v>0</v>
      </c>
      <c r="G25" s="107">
        <f t="shared" si="10"/>
        <v>0</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1"/>
      <c r="AG25" s="102">
        <f t="shared" si="12"/>
        <v>0</v>
      </c>
    </row>
    <row r="26" spans="1:33" x14ac:dyDescent="0.3">
      <c r="A26" s="106" t="s">
        <v>32</v>
      </c>
      <c r="B26" s="107">
        <f t="shared" si="13"/>
        <v>0</v>
      </c>
      <c r="C26" s="107">
        <f t="shared" si="14"/>
        <v>0</v>
      </c>
      <c r="D26" s="107">
        <f t="shared" si="15"/>
        <v>0</v>
      </c>
      <c r="E26" s="107">
        <f t="shared" si="16"/>
        <v>0</v>
      </c>
      <c r="F26" s="107">
        <f t="shared" si="9"/>
        <v>0</v>
      </c>
      <c r="G26" s="107">
        <f t="shared" si="10"/>
        <v>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1"/>
      <c r="AG26" s="102">
        <f t="shared" si="12"/>
        <v>0</v>
      </c>
    </row>
    <row r="27" spans="1:33" x14ac:dyDescent="0.3">
      <c r="A27" s="106" t="s">
        <v>33</v>
      </c>
      <c r="B27" s="107">
        <f t="shared" si="13"/>
        <v>0</v>
      </c>
      <c r="C27" s="107">
        <f t="shared" si="14"/>
        <v>0</v>
      </c>
      <c r="D27" s="107">
        <f t="shared" si="15"/>
        <v>0</v>
      </c>
      <c r="E27" s="107">
        <f t="shared" si="16"/>
        <v>0</v>
      </c>
      <c r="F27" s="107">
        <f t="shared" si="9"/>
        <v>0</v>
      </c>
      <c r="G27" s="107">
        <f t="shared" si="10"/>
        <v>0</v>
      </c>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1"/>
      <c r="AG27" s="102">
        <f t="shared" si="12"/>
        <v>0</v>
      </c>
    </row>
    <row r="28" spans="1:33" x14ac:dyDescent="0.3">
      <c r="A28" s="106" t="s">
        <v>170</v>
      </c>
      <c r="B28" s="107">
        <f t="shared" si="13"/>
        <v>0</v>
      </c>
      <c r="C28" s="107">
        <f t="shared" si="14"/>
        <v>0</v>
      </c>
      <c r="D28" s="107">
        <f t="shared" si="15"/>
        <v>0</v>
      </c>
      <c r="E28" s="107">
        <f t="shared" si="16"/>
        <v>0</v>
      </c>
      <c r="F28" s="107">
        <f t="shared" si="9"/>
        <v>0</v>
      </c>
      <c r="G28" s="107">
        <f t="shared" si="10"/>
        <v>0</v>
      </c>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1"/>
      <c r="AG28" s="102">
        <f t="shared" si="12"/>
        <v>0</v>
      </c>
    </row>
    <row r="29" spans="1:33" s="97" customFormat="1" x14ac:dyDescent="0.3">
      <c r="A29" s="908" t="s">
        <v>54</v>
      </c>
      <c r="B29" s="909"/>
      <c r="C29" s="909"/>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10"/>
      <c r="AG29" s="102">
        <f t="shared" si="3"/>
        <v>0</v>
      </c>
    </row>
    <row r="30" spans="1:33" ht="37.5" x14ac:dyDescent="0.3">
      <c r="A30" s="98" t="s">
        <v>278</v>
      </c>
      <c r="B30" s="99"/>
      <c r="C30" s="100"/>
      <c r="D30" s="100"/>
      <c r="E30" s="100"/>
      <c r="F30" s="100"/>
      <c r="G30" s="100"/>
      <c r="H30" s="99"/>
      <c r="I30" s="99"/>
      <c r="J30" s="99"/>
      <c r="K30" s="99"/>
      <c r="L30" s="99"/>
      <c r="M30" s="99"/>
      <c r="N30" s="99"/>
      <c r="O30" s="99"/>
      <c r="P30" s="99"/>
      <c r="Q30" s="99"/>
      <c r="R30" s="99"/>
      <c r="S30" s="99"/>
      <c r="T30" s="99"/>
      <c r="U30" s="99"/>
      <c r="V30" s="99"/>
      <c r="W30" s="99"/>
      <c r="X30" s="99"/>
      <c r="Y30" s="99"/>
      <c r="Z30" s="99"/>
      <c r="AA30" s="99"/>
      <c r="AB30" s="99"/>
      <c r="AC30" s="99"/>
      <c r="AD30" s="99"/>
      <c r="AE30" s="99"/>
      <c r="AF30" s="101"/>
      <c r="AG30" s="102">
        <f t="shared" si="3"/>
        <v>0</v>
      </c>
    </row>
    <row r="31" spans="1:33" x14ac:dyDescent="0.3">
      <c r="A31" s="103" t="s">
        <v>31</v>
      </c>
      <c r="B31" s="104">
        <f>B32+B33+B34+B35</f>
        <v>2959.4969999999998</v>
      </c>
      <c r="C31" s="104">
        <f>C32+C33+C34+C35</f>
        <v>766.44399999999996</v>
      </c>
      <c r="D31" s="104">
        <f>D32+D33+D34+D35</f>
        <v>821.73699999999997</v>
      </c>
      <c r="E31" s="104">
        <f>E32+E33+E34+E35</f>
        <v>821.73699999999997</v>
      </c>
      <c r="F31" s="105">
        <f t="shared" ref="F31:F35" si="17">IFERROR(E31/B31*100,0)</f>
        <v>27.766103496641492</v>
      </c>
      <c r="G31" s="105">
        <f t="shared" ref="G31:G35" si="18">IFERROR(E31/C31*100,0)</f>
        <v>107.21422569685457</v>
      </c>
      <c r="H31" s="104">
        <f>H32+H33+H34+H35</f>
        <v>256.2</v>
      </c>
      <c r="I31" s="104">
        <f t="shared" ref="I31:AE31" si="19">I32+I33+I34+I35</f>
        <v>256.2</v>
      </c>
      <c r="J31" s="104">
        <f t="shared" si="19"/>
        <v>309.25400000000002</v>
      </c>
      <c r="K31" s="104">
        <f t="shared" si="19"/>
        <v>307.20699999999999</v>
      </c>
      <c r="L31" s="104">
        <f t="shared" si="19"/>
        <v>200.99</v>
      </c>
      <c r="M31" s="104">
        <f t="shared" si="19"/>
        <v>200.63</v>
      </c>
      <c r="N31" s="104">
        <f t="shared" si="19"/>
        <v>57.7</v>
      </c>
      <c r="O31" s="104">
        <f t="shared" si="19"/>
        <v>57.7</v>
      </c>
      <c r="P31" s="104">
        <f t="shared" si="19"/>
        <v>200</v>
      </c>
      <c r="Q31" s="104">
        <f t="shared" si="19"/>
        <v>0</v>
      </c>
      <c r="R31" s="104">
        <f t="shared" si="19"/>
        <v>45.4</v>
      </c>
      <c r="S31" s="104">
        <f t="shared" si="19"/>
        <v>0</v>
      </c>
      <c r="T31" s="104">
        <f t="shared" si="19"/>
        <v>1000</v>
      </c>
      <c r="U31" s="104">
        <f t="shared" si="19"/>
        <v>0</v>
      </c>
      <c r="V31" s="104">
        <f t="shared" si="19"/>
        <v>0</v>
      </c>
      <c r="W31" s="104">
        <f t="shared" si="19"/>
        <v>0</v>
      </c>
      <c r="X31" s="104">
        <f t="shared" si="19"/>
        <v>0</v>
      </c>
      <c r="Y31" s="104">
        <f t="shared" si="19"/>
        <v>0</v>
      </c>
      <c r="Z31" s="104">
        <f t="shared" si="19"/>
        <v>0</v>
      </c>
      <c r="AA31" s="104">
        <f t="shared" si="19"/>
        <v>0</v>
      </c>
      <c r="AB31" s="104">
        <f t="shared" si="19"/>
        <v>0</v>
      </c>
      <c r="AC31" s="104">
        <f t="shared" si="19"/>
        <v>0</v>
      </c>
      <c r="AD31" s="104">
        <f t="shared" si="19"/>
        <v>889.95299999999997</v>
      </c>
      <c r="AE31" s="104">
        <f t="shared" si="19"/>
        <v>0</v>
      </c>
      <c r="AF31" s="101"/>
      <c r="AG31" s="102">
        <f t="shared" si="3"/>
        <v>0</v>
      </c>
    </row>
    <row r="32" spans="1:33" x14ac:dyDescent="0.3">
      <c r="A32" s="106" t="s">
        <v>169</v>
      </c>
      <c r="B32" s="107">
        <f t="shared" ref="B32:B35" si="20">J32+L32+N32+P32+R32+T32+V32+X32+Z32+AB32+AD32+H32</f>
        <v>0</v>
      </c>
      <c r="C32" s="107">
        <f t="shared" ref="C32:C35" si="21">SUM(H32)</f>
        <v>0</v>
      </c>
      <c r="D32" s="107">
        <f t="shared" ref="D32:D35" si="22">E32</f>
        <v>0</v>
      </c>
      <c r="E32" s="107">
        <f t="shared" ref="E32:E35" si="23">SUM(I32,K32,M32,O32,Q32,S32,U32,W32,Y32,AA32,AC32,AE32)</f>
        <v>0</v>
      </c>
      <c r="F32" s="107">
        <f t="shared" si="17"/>
        <v>0</v>
      </c>
      <c r="G32" s="107">
        <f t="shared" si="18"/>
        <v>0</v>
      </c>
      <c r="H32" s="107">
        <f>H38+H44+H50</f>
        <v>0</v>
      </c>
      <c r="I32" s="107">
        <f t="shared" ref="I32:AE35" si="24">I38+I44+I50</f>
        <v>0</v>
      </c>
      <c r="J32" s="107">
        <f t="shared" si="24"/>
        <v>0</v>
      </c>
      <c r="K32" s="107">
        <f t="shared" si="24"/>
        <v>0</v>
      </c>
      <c r="L32" s="107">
        <f t="shared" si="24"/>
        <v>0</v>
      </c>
      <c r="M32" s="107">
        <f t="shared" si="24"/>
        <v>0</v>
      </c>
      <c r="N32" s="107">
        <f t="shared" si="24"/>
        <v>0</v>
      </c>
      <c r="O32" s="107">
        <f t="shared" si="24"/>
        <v>0</v>
      </c>
      <c r="P32" s="107">
        <f t="shared" si="24"/>
        <v>0</v>
      </c>
      <c r="Q32" s="107">
        <f t="shared" si="24"/>
        <v>0</v>
      </c>
      <c r="R32" s="107">
        <f t="shared" si="24"/>
        <v>0</v>
      </c>
      <c r="S32" s="107">
        <f t="shared" si="24"/>
        <v>0</v>
      </c>
      <c r="T32" s="107">
        <f t="shared" si="24"/>
        <v>0</v>
      </c>
      <c r="U32" s="107">
        <f t="shared" si="24"/>
        <v>0</v>
      </c>
      <c r="V32" s="107">
        <f t="shared" si="24"/>
        <v>0</v>
      </c>
      <c r="W32" s="107">
        <f t="shared" si="24"/>
        <v>0</v>
      </c>
      <c r="X32" s="107">
        <f t="shared" si="24"/>
        <v>0</v>
      </c>
      <c r="Y32" s="107">
        <f t="shared" si="24"/>
        <v>0</v>
      </c>
      <c r="Z32" s="107">
        <f t="shared" si="24"/>
        <v>0</v>
      </c>
      <c r="AA32" s="107">
        <f t="shared" si="24"/>
        <v>0</v>
      </c>
      <c r="AB32" s="107">
        <f t="shared" si="24"/>
        <v>0</v>
      </c>
      <c r="AC32" s="107">
        <f t="shared" si="24"/>
        <v>0</v>
      </c>
      <c r="AD32" s="107">
        <f t="shared" si="24"/>
        <v>0</v>
      </c>
      <c r="AE32" s="107">
        <f t="shared" si="24"/>
        <v>0</v>
      </c>
      <c r="AF32" s="101"/>
      <c r="AG32" s="102">
        <f t="shared" si="3"/>
        <v>0</v>
      </c>
    </row>
    <row r="33" spans="1:33" x14ac:dyDescent="0.3">
      <c r="A33" s="106" t="s">
        <v>32</v>
      </c>
      <c r="B33" s="107">
        <f t="shared" si="20"/>
        <v>0</v>
      </c>
      <c r="C33" s="107">
        <f t="shared" si="21"/>
        <v>0</v>
      </c>
      <c r="D33" s="107">
        <f t="shared" si="22"/>
        <v>0</v>
      </c>
      <c r="E33" s="107">
        <f t="shared" si="23"/>
        <v>0</v>
      </c>
      <c r="F33" s="107">
        <f t="shared" si="17"/>
        <v>0</v>
      </c>
      <c r="G33" s="107">
        <f t="shared" si="18"/>
        <v>0</v>
      </c>
      <c r="H33" s="107">
        <f t="shared" ref="H33:W35" si="25">H39+H45+H51</f>
        <v>0</v>
      </c>
      <c r="I33" s="107">
        <f t="shared" si="25"/>
        <v>0</v>
      </c>
      <c r="J33" s="107">
        <f t="shared" si="25"/>
        <v>0</v>
      </c>
      <c r="K33" s="107">
        <f t="shared" si="25"/>
        <v>0</v>
      </c>
      <c r="L33" s="107">
        <f t="shared" si="25"/>
        <v>0</v>
      </c>
      <c r="M33" s="107">
        <f t="shared" si="25"/>
        <v>0</v>
      </c>
      <c r="N33" s="107">
        <f t="shared" si="25"/>
        <v>0</v>
      </c>
      <c r="O33" s="107">
        <f t="shared" si="25"/>
        <v>0</v>
      </c>
      <c r="P33" s="107">
        <f t="shared" si="25"/>
        <v>0</v>
      </c>
      <c r="Q33" s="107">
        <f t="shared" si="25"/>
        <v>0</v>
      </c>
      <c r="R33" s="107">
        <f t="shared" si="25"/>
        <v>0</v>
      </c>
      <c r="S33" s="107">
        <f t="shared" si="25"/>
        <v>0</v>
      </c>
      <c r="T33" s="107">
        <f t="shared" si="25"/>
        <v>0</v>
      </c>
      <c r="U33" s="107">
        <f t="shared" si="25"/>
        <v>0</v>
      </c>
      <c r="V33" s="107">
        <f t="shared" si="25"/>
        <v>0</v>
      </c>
      <c r="W33" s="107">
        <f t="shared" si="25"/>
        <v>0</v>
      </c>
      <c r="X33" s="107">
        <f t="shared" si="24"/>
        <v>0</v>
      </c>
      <c r="Y33" s="107">
        <f t="shared" si="24"/>
        <v>0</v>
      </c>
      <c r="Z33" s="107">
        <f t="shared" si="24"/>
        <v>0</v>
      </c>
      <c r="AA33" s="107">
        <f t="shared" si="24"/>
        <v>0</v>
      </c>
      <c r="AB33" s="107">
        <f t="shared" si="24"/>
        <v>0</v>
      </c>
      <c r="AC33" s="107">
        <f t="shared" si="24"/>
        <v>0</v>
      </c>
      <c r="AD33" s="107">
        <f t="shared" si="24"/>
        <v>0</v>
      </c>
      <c r="AE33" s="107">
        <f t="shared" si="24"/>
        <v>0</v>
      </c>
      <c r="AF33" s="101"/>
      <c r="AG33" s="102">
        <f t="shared" si="3"/>
        <v>0</v>
      </c>
    </row>
    <row r="34" spans="1:33" x14ac:dyDescent="0.3">
      <c r="A34" s="106" t="s">
        <v>33</v>
      </c>
      <c r="B34" s="805">
        <f>J34+L34+N34+P34+R34+T34+V34+X34+Z34+AB34+AD34+H34</f>
        <v>2959.4969999999998</v>
      </c>
      <c r="C34" s="107">
        <f>H34+J34+L34</f>
        <v>766.44399999999996</v>
      </c>
      <c r="D34" s="107">
        <f t="shared" si="22"/>
        <v>821.73699999999997</v>
      </c>
      <c r="E34" s="107">
        <f t="shared" si="23"/>
        <v>821.73699999999997</v>
      </c>
      <c r="F34" s="107">
        <f t="shared" si="17"/>
        <v>27.766103496641492</v>
      </c>
      <c r="G34" s="107">
        <f t="shared" si="18"/>
        <v>107.21422569685457</v>
      </c>
      <c r="H34" s="107">
        <f>H40+H46+H52+H58</f>
        <v>256.2</v>
      </c>
      <c r="I34" s="107">
        <f t="shared" ref="I34:AF34" si="26">I40+I46+I52+I58</f>
        <v>256.2</v>
      </c>
      <c r="J34" s="107">
        <f t="shared" si="26"/>
        <v>309.25400000000002</v>
      </c>
      <c r="K34" s="107">
        <f t="shared" si="26"/>
        <v>307.20699999999999</v>
      </c>
      <c r="L34" s="107">
        <f>L40+L46+L52+L58</f>
        <v>200.99</v>
      </c>
      <c r="M34" s="107">
        <f t="shared" si="26"/>
        <v>200.63</v>
      </c>
      <c r="N34" s="107">
        <f t="shared" si="26"/>
        <v>57.7</v>
      </c>
      <c r="O34" s="107">
        <f t="shared" si="26"/>
        <v>57.7</v>
      </c>
      <c r="P34" s="107">
        <f t="shared" si="26"/>
        <v>200</v>
      </c>
      <c r="Q34" s="107">
        <f t="shared" si="26"/>
        <v>0</v>
      </c>
      <c r="R34" s="107">
        <f t="shared" si="26"/>
        <v>45.4</v>
      </c>
      <c r="S34" s="107">
        <f t="shared" si="26"/>
        <v>0</v>
      </c>
      <c r="T34" s="107">
        <f t="shared" si="26"/>
        <v>1000</v>
      </c>
      <c r="U34" s="107">
        <f t="shared" si="26"/>
        <v>0</v>
      </c>
      <c r="V34" s="107">
        <f t="shared" si="26"/>
        <v>0</v>
      </c>
      <c r="W34" s="107">
        <f t="shared" si="26"/>
        <v>0</v>
      </c>
      <c r="X34" s="107">
        <f t="shared" si="26"/>
        <v>0</v>
      </c>
      <c r="Y34" s="107">
        <f t="shared" si="26"/>
        <v>0</v>
      </c>
      <c r="Z34" s="107">
        <f t="shared" si="26"/>
        <v>0</v>
      </c>
      <c r="AA34" s="107">
        <f t="shared" si="26"/>
        <v>0</v>
      </c>
      <c r="AB34" s="107">
        <f t="shared" si="26"/>
        <v>0</v>
      </c>
      <c r="AC34" s="107">
        <f t="shared" si="26"/>
        <v>0</v>
      </c>
      <c r="AD34" s="107">
        <f t="shared" si="26"/>
        <v>889.95299999999997</v>
      </c>
      <c r="AE34" s="107">
        <f t="shared" si="26"/>
        <v>0</v>
      </c>
      <c r="AF34" s="107">
        <f t="shared" si="26"/>
        <v>0</v>
      </c>
      <c r="AG34" s="102">
        <f t="shared" si="3"/>
        <v>0</v>
      </c>
    </row>
    <row r="35" spans="1:33" x14ac:dyDescent="0.3">
      <c r="A35" s="106" t="s">
        <v>170</v>
      </c>
      <c r="B35" s="107">
        <f t="shared" si="20"/>
        <v>0</v>
      </c>
      <c r="C35" s="107">
        <f t="shared" si="21"/>
        <v>0</v>
      </c>
      <c r="D35" s="107">
        <f t="shared" si="22"/>
        <v>0</v>
      </c>
      <c r="E35" s="107">
        <f t="shared" si="23"/>
        <v>0</v>
      </c>
      <c r="F35" s="107">
        <f t="shared" si="17"/>
        <v>0</v>
      </c>
      <c r="G35" s="107">
        <f t="shared" si="18"/>
        <v>0</v>
      </c>
      <c r="H35" s="107">
        <f t="shared" si="25"/>
        <v>0</v>
      </c>
      <c r="I35" s="107">
        <f t="shared" si="24"/>
        <v>0</v>
      </c>
      <c r="J35" s="107">
        <f t="shared" si="24"/>
        <v>0</v>
      </c>
      <c r="K35" s="107">
        <f t="shared" si="24"/>
        <v>0</v>
      </c>
      <c r="L35" s="107">
        <f t="shared" si="24"/>
        <v>0</v>
      </c>
      <c r="M35" s="107">
        <f t="shared" si="24"/>
        <v>0</v>
      </c>
      <c r="N35" s="107">
        <f t="shared" si="24"/>
        <v>0</v>
      </c>
      <c r="O35" s="107">
        <f t="shared" si="24"/>
        <v>0</v>
      </c>
      <c r="P35" s="107">
        <f t="shared" si="24"/>
        <v>0</v>
      </c>
      <c r="Q35" s="107">
        <f t="shared" si="24"/>
        <v>0</v>
      </c>
      <c r="R35" s="107">
        <f t="shared" si="24"/>
        <v>0</v>
      </c>
      <c r="S35" s="107">
        <f t="shared" si="24"/>
        <v>0</v>
      </c>
      <c r="T35" s="107">
        <f t="shared" si="24"/>
        <v>0</v>
      </c>
      <c r="U35" s="107">
        <f t="shared" si="24"/>
        <v>0</v>
      </c>
      <c r="V35" s="107">
        <f t="shared" si="24"/>
        <v>0</v>
      </c>
      <c r="W35" s="107">
        <f t="shared" si="24"/>
        <v>0</v>
      </c>
      <c r="X35" s="107">
        <f t="shared" si="24"/>
        <v>0</v>
      </c>
      <c r="Y35" s="107">
        <f t="shared" si="24"/>
        <v>0</v>
      </c>
      <c r="Z35" s="107">
        <f t="shared" si="24"/>
        <v>0</v>
      </c>
      <c r="AA35" s="107">
        <f t="shared" si="24"/>
        <v>0</v>
      </c>
      <c r="AB35" s="107">
        <f t="shared" si="24"/>
        <v>0</v>
      </c>
      <c r="AC35" s="107">
        <f t="shared" si="24"/>
        <v>0</v>
      </c>
      <c r="AD35" s="107">
        <f t="shared" si="24"/>
        <v>0</v>
      </c>
      <c r="AE35" s="107">
        <f t="shared" si="24"/>
        <v>0</v>
      </c>
      <c r="AF35" s="101"/>
      <c r="AG35" s="102">
        <f t="shared" si="3"/>
        <v>0</v>
      </c>
    </row>
    <row r="36" spans="1:33" ht="56.25" x14ac:dyDescent="0.3">
      <c r="A36" s="864" t="s">
        <v>279</v>
      </c>
      <c r="B36" s="642"/>
      <c r="C36" s="650"/>
      <c r="D36" s="650"/>
      <c r="E36" s="650"/>
      <c r="F36" s="110"/>
      <c r="G36" s="110"/>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29"/>
      <c r="AG36" s="102">
        <f t="shared" si="3"/>
        <v>0</v>
      </c>
    </row>
    <row r="37" spans="1:33" x14ac:dyDescent="0.3">
      <c r="A37" s="638" t="s">
        <v>31</v>
      </c>
      <c r="B37" s="662">
        <f>B39+B40+B38+B41</f>
        <v>1144.4970000000001</v>
      </c>
      <c r="C37" s="662">
        <f>C39+C40+C38+C41</f>
        <v>549.14400000000001</v>
      </c>
      <c r="D37" s="665">
        <f>D39+D40+D38+D41</f>
        <v>546.73700000000008</v>
      </c>
      <c r="E37" s="662">
        <f>E39+E40+E38+E41</f>
        <v>546.73700000000008</v>
      </c>
      <c r="F37" s="113">
        <f>IFERROR(E37/B37*100,0)</f>
        <v>47.770942169354754</v>
      </c>
      <c r="G37" s="113">
        <f>IFERROR(E37/C37*100,0)</f>
        <v>99.561681453316453</v>
      </c>
      <c r="H37" s="122">
        <f t="shared" ref="H37:AE37" si="27">H39+H40+H38+H41</f>
        <v>256.2</v>
      </c>
      <c r="I37" s="113">
        <f t="shared" si="27"/>
        <v>256.2</v>
      </c>
      <c r="J37" s="122">
        <f t="shared" si="27"/>
        <v>134.25399999999999</v>
      </c>
      <c r="K37" s="113">
        <f t="shared" si="27"/>
        <v>132.20699999999999</v>
      </c>
      <c r="L37" s="122">
        <f t="shared" si="27"/>
        <v>150.99</v>
      </c>
      <c r="M37" s="113">
        <f t="shared" si="27"/>
        <v>150.63</v>
      </c>
      <c r="N37" s="122">
        <f t="shared" si="27"/>
        <v>7.6999999999999993</v>
      </c>
      <c r="O37" s="113">
        <f t="shared" si="27"/>
        <v>7.7</v>
      </c>
      <c r="P37" s="662">
        <f t="shared" si="27"/>
        <v>200</v>
      </c>
      <c r="Q37" s="113">
        <f t="shared" si="27"/>
        <v>0</v>
      </c>
      <c r="R37" s="645">
        <f t="shared" si="27"/>
        <v>45.4</v>
      </c>
      <c r="S37" s="113">
        <f t="shared" si="27"/>
        <v>0</v>
      </c>
      <c r="T37" s="662">
        <f t="shared" si="27"/>
        <v>0</v>
      </c>
      <c r="U37" s="113">
        <f t="shared" si="27"/>
        <v>0</v>
      </c>
      <c r="V37" s="662">
        <f t="shared" si="27"/>
        <v>0</v>
      </c>
      <c r="W37" s="113">
        <f t="shared" si="27"/>
        <v>0</v>
      </c>
      <c r="X37" s="662">
        <f t="shared" si="27"/>
        <v>0</v>
      </c>
      <c r="Y37" s="113">
        <f t="shared" si="27"/>
        <v>0</v>
      </c>
      <c r="Z37" s="662">
        <f t="shared" si="27"/>
        <v>0</v>
      </c>
      <c r="AA37" s="113">
        <f t="shared" si="27"/>
        <v>0</v>
      </c>
      <c r="AB37" s="662">
        <f t="shared" si="27"/>
        <v>0</v>
      </c>
      <c r="AC37" s="113">
        <f t="shared" si="27"/>
        <v>0</v>
      </c>
      <c r="AD37" s="122">
        <f t="shared" si="27"/>
        <v>349.95299999999997</v>
      </c>
      <c r="AE37" s="113">
        <f t="shared" si="27"/>
        <v>0</v>
      </c>
      <c r="AF37" s="29"/>
      <c r="AG37" s="102">
        <f t="shared" si="3"/>
        <v>0</v>
      </c>
    </row>
    <row r="38" spans="1:33" x14ac:dyDescent="0.3">
      <c r="A38" s="641" t="s">
        <v>169</v>
      </c>
      <c r="B38" s="663">
        <f t="shared" ref="B38:B40" si="28">J38+L38+N38+P38+R38+T38+V38+X38+Z38+AB38+AD38+H38</f>
        <v>0</v>
      </c>
      <c r="C38" s="664">
        <f>SUM(H38)</f>
        <v>0</v>
      </c>
      <c r="D38" s="666">
        <f>E38</f>
        <v>0</v>
      </c>
      <c r="E38" s="664">
        <f>SUM(I38,K38,M38,O38,Q38,S38,U38,W38,Y38,AA38,AC38,AE38)</f>
        <v>0</v>
      </c>
      <c r="F38" s="116">
        <f>IFERROR(E38/B38*100,0)</f>
        <v>0</v>
      </c>
      <c r="G38" s="116">
        <f>IFERROR(E38/C38*100,0)</f>
        <v>0</v>
      </c>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29"/>
      <c r="AG38" s="102">
        <f t="shared" si="3"/>
        <v>0</v>
      </c>
    </row>
    <row r="39" spans="1:33" x14ac:dyDescent="0.3">
      <c r="A39" s="641" t="s">
        <v>32</v>
      </c>
      <c r="B39" s="663">
        <f t="shared" si="28"/>
        <v>0</v>
      </c>
      <c r="C39" s="664">
        <f>SUM(H39)</f>
        <v>0</v>
      </c>
      <c r="D39" s="666">
        <f>E39</f>
        <v>0</v>
      </c>
      <c r="E39" s="664">
        <f>SUM(I39,K39,M39,O39,Q39,S39,U39,W39,Y39,AA39,AC39,AE39)</f>
        <v>0</v>
      </c>
      <c r="F39" s="116">
        <f>IFERROR(E39/B39*100,0)</f>
        <v>0</v>
      </c>
      <c r="G39" s="116">
        <f>IFERROR(E39/C39*100,0)</f>
        <v>0</v>
      </c>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29"/>
      <c r="AG39" s="102">
        <f t="shared" si="3"/>
        <v>0</v>
      </c>
    </row>
    <row r="40" spans="1:33" x14ac:dyDescent="0.3">
      <c r="A40" s="802" t="s">
        <v>33</v>
      </c>
      <c r="B40" s="663">
        <f t="shared" si="28"/>
        <v>1144.4970000000001</v>
      </c>
      <c r="C40" s="664">
        <f>H40+J40+L40+N40</f>
        <v>549.14400000000001</v>
      </c>
      <c r="D40" s="666">
        <f>E40</f>
        <v>546.73700000000008</v>
      </c>
      <c r="E40" s="664">
        <f>SUM(I40,K40,M40,O40,Q40,S40,U40,W40,Y40,AA40,AC40,AE40)</f>
        <v>546.73700000000008</v>
      </c>
      <c r="F40" s="116">
        <f>IFERROR(E40/B40*100,0)</f>
        <v>47.770942169354754</v>
      </c>
      <c r="G40" s="116">
        <f>IFERROR(E40/C40*100,0)</f>
        <v>99.561681453316453</v>
      </c>
      <c r="H40" s="597">
        <v>256.2</v>
      </c>
      <c r="I40" s="111">
        <v>256.2</v>
      </c>
      <c r="J40" s="597">
        <v>134.25399999999999</v>
      </c>
      <c r="K40" s="111">
        <v>132.20699999999999</v>
      </c>
      <c r="L40" s="597">
        <v>150.99</v>
      </c>
      <c r="M40" s="111">
        <v>150.63</v>
      </c>
      <c r="N40" s="597">
        <f>24.5-16.8</f>
        <v>7.6999999999999993</v>
      </c>
      <c r="O40" s="111">
        <v>7.7</v>
      </c>
      <c r="P40" s="111">
        <v>200</v>
      </c>
      <c r="Q40" s="111"/>
      <c r="R40" s="597">
        <v>45.4</v>
      </c>
      <c r="S40" s="111"/>
      <c r="T40" s="111">
        <v>0</v>
      </c>
      <c r="U40" s="111"/>
      <c r="V40" s="111">
        <v>0</v>
      </c>
      <c r="W40" s="111"/>
      <c r="X40" s="111">
        <v>0</v>
      </c>
      <c r="Y40" s="111"/>
      <c r="Z40" s="111">
        <v>0</v>
      </c>
      <c r="AA40" s="111"/>
      <c r="AB40" s="111">
        <v>0</v>
      </c>
      <c r="AC40" s="111"/>
      <c r="AD40" s="597">
        <f>273.453+59.7+16.8</f>
        <v>349.95299999999997</v>
      </c>
      <c r="AE40" s="111"/>
      <c r="AF40" s="29"/>
      <c r="AG40" s="102">
        <f t="shared" si="3"/>
        <v>0</v>
      </c>
    </row>
    <row r="41" spans="1:33" x14ac:dyDescent="0.3">
      <c r="A41" s="641" t="s">
        <v>170</v>
      </c>
      <c r="B41" s="642"/>
      <c r="C41" s="849"/>
      <c r="D41" s="853"/>
      <c r="E41" s="849"/>
      <c r="F41" s="116"/>
      <c r="G41" s="116"/>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29"/>
      <c r="AG41" s="102">
        <f t="shared" si="3"/>
        <v>0</v>
      </c>
    </row>
    <row r="42" spans="1:33" ht="146.25" customHeight="1" x14ac:dyDescent="0.3">
      <c r="A42" s="871" t="s">
        <v>280</v>
      </c>
      <c r="B42" s="639"/>
      <c r="C42" s="645"/>
      <c r="D42" s="645"/>
      <c r="E42" s="645"/>
      <c r="F42" s="122"/>
      <c r="G42" s="122"/>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29"/>
      <c r="AG42" s="102">
        <f t="shared" si="3"/>
        <v>0</v>
      </c>
    </row>
    <row r="43" spans="1:33" x14ac:dyDescent="0.3">
      <c r="A43" s="638" t="s">
        <v>31</v>
      </c>
      <c r="B43" s="662">
        <f>B45+B46+B44+B47</f>
        <v>815</v>
      </c>
      <c r="C43" s="662">
        <f>C45+C46+C44+C47</f>
        <v>275</v>
      </c>
      <c r="D43" s="662">
        <f>D45+D46+D44+D47</f>
        <v>275</v>
      </c>
      <c r="E43" s="662">
        <f>E45+E46+E44+E47</f>
        <v>275</v>
      </c>
      <c r="F43" s="113">
        <f>IFERROR(E43/B43*100,0)</f>
        <v>33.742331288343557</v>
      </c>
      <c r="G43" s="113">
        <f>IFERROR(E43/C43*100,0)</f>
        <v>100</v>
      </c>
      <c r="H43" s="662">
        <f t="shared" ref="H43:AE43" si="29">H45+H46+H44+H47</f>
        <v>0</v>
      </c>
      <c r="I43" s="113">
        <f t="shared" si="29"/>
        <v>0</v>
      </c>
      <c r="J43" s="662">
        <f t="shared" si="29"/>
        <v>175</v>
      </c>
      <c r="K43" s="113">
        <f t="shared" si="29"/>
        <v>175</v>
      </c>
      <c r="L43" s="662">
        <f t="shared" si="29"/>
        <v>50</v>
      </c>
      <c r="M43" s="113">
        <f t="shared" si="29"/>
        <v>50</v>
      </c>
      <c r="N43" s="870">
        <f t="shared" si="29"/>
        <v>50</v>
      </c>
      <c r="O43" s="113">
        <f t="shared" si="29"/>
        <v>50</v>
      </c>
      <c r="P43" s="662">
        <f t="shared" si="29"/>
        <v>0</v>
      </c>
      <c r="Q43" s="113">
        <f t="shared" si="29"/>
        <v>0</v>
      </c>
      <c r="R43" s="662">
        <f t="shared" si="29"/>
        <v>0</v>
      </c>
      <c r="S43" s="113">
        <f t="shared" si="29"/>
        <v>0</v>
      </c>
      <c r="T43" s="662">
        <f t="shared" si="29"/>
        <v>0</v>
      </c>
      <c r="U43" s="113">
        <f t="shared" si="29"/>
        <v>0</v>
      </c>
      <c r="V43" s="662">
        <f t="shared" si="29"/>
        <v>0</v>
      </c>
      <c r="W43" s="113">
        <f t="shared" si="29"/>
        <v>0</v>
      </c>
      <c r="X43" s="662">
        <f t="shared" si="29"/>
        <v>0</v>
      </c>
      <c r="Y43" s="113">
        <f t="shared" si="29"/>
        <v>0</v>
      </c>
      <c r="Z43" s="662">
        <f t="shared" si="29"/>
        <v>0</v>
      </c>
      <c r="AA43" s="113">
        <f t="shared" si="29"/>
        <v>0</v>
      </c>
      <c r="AB43" s="662">
        <f t="shared" si="29"/>
        <v>0</v>
      </c>
      <c r="AC43" s="113">
        <f t="shared" si="29"/>
        <v>0</v>
      </c>
      <c r="AD43" s="122">
        <f t="shared" si="29"/>
        <v>540</v>
      </c>
      <c r="AE43" s="113">
        <f t="shared" si="29"/>
        <v>0</v>
      </c>
      <c r="AF43" s="29"/>
      <c r="AG43" s="102">
        <f t="shared" si="3"/>
        <v>0</v>
      </c>
    </row>
    <row r="44" spans="1:33" x14ac:dyDescent="0.3">
      <c r="A44" s="641" t="s">
        <v>169</v>
      </c>
      <c r="B44" s="663">
        <f t="shared" ref="B44:B45" si="30">J44+L44+N44+P44+R44+T44+V44+X44+Z44+AB44+AD44+H44</f>
        <v>0</v>
      </c>
      <c r="C44" s="664">
        <f>SUM(H44)</f>
        <v>0</v>
      </c>
      <c r="D44" s="666">
        <f>E44</f>
        <v>0</v>
      </c>
      <c r="E44" s="664">
        <f>SUM(I44,K44,M44,O44,Q44,S44,U44,W44,Y44,AA44,AC44,AE44)</f>
        <v>0</v>
      </c>
      <c r="F44" s="116"/>
      <c r="G44" s="116"/>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29"/>
      <c r="AG44" s="102">
        <f t="shared" si="3"/>
        <v>0</v>
      </c>
    </row>
    <row r="45" spans="1:33" x14ac:dyDescent="0.3">
      <c r="A45" s="641" t="s">
        <v>32</v>
      </c>
      <c r="B45" s="663">
        <f t="shared" si="30"/>
        <v>0</v>
      </c>
      <c r="C45" s="664">
        <f>SUM(H45)</f>
        <v>0</v>
      </c>
      <c r="D45" s="666">
        <f>E45</f>
        <v>0</v>
      </c>
      <c r="E45" s="664">
        <f>SUM(I45,K45,M45,O45,Q45,S45,U45,W45,Y45,AA45,AC45,AE45)</f>
        <v>0</v>
      </c>
      <c r="F45" s="116"/>
      <c r="G45" s="116"/>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29"/>
      <c r="AG45" s="102">
        <f t="shared" si="3"/>
        <v>0</v>
      </c>
    </row>
    <row r="46" spans="1:33" x14ac:dyDescent="0.3">
      <c r="A46" s="802" t="s">
        <v>33</v>
      </c>
      <c r="B46" s="663">
        <f t="shared" ref="B46" si="31">J46+L46+N46+P46+R46+T46+V46+X46+Z46+AB46+AD46+H46</f>
        <v>815</v>
      </c>
      <c r="C46" s="664">
        <f>H46+J46+L46+N46</f>
        <v>275</v>
      </c>
      <c r="D46" s="666">
        <f>E46</f>
        <v>275</v>
      </c>
      <c r="E46" s="664">
        <f>SUM(I46,K46,M46,O46,Q46,S46,U46,W46,Y46,AA46,AC46,AE46)</f>
        <v>275</v>
      </c>
      <c r="F46" s="116">
        <f>IFERROR(E46/B46*100,0)</f>
        <v>33.742331288343557</v>
      </c>
      <c r="G46" s="116">
        <f>IFERROR(E46/C46*100,0)</f>
        <v>100</v>
      </c>
      <c r="H46" s="111"/>
      <c r="I46" s="111"/>
      <c r="J46" s="111">
        <v>175</v>
      </c>
      <c r="K46" s="111">
        <v>175</v>
      </c>
      <c r="L46" s="111">
        <v>50</v>
      </c>
      <c r="M46" s="111">
        <v>50</v>
      </c>
      <c r="N46" s="111">
        <v>50</v>
      </c>
      <c r="O46" s="111">
        <v>50</v>
      </c>
      <c r="P46" s="111"/>
      <c r="Q46" s="111"/>
      <c r="R46" s="111"/>
      <c r="S46" s="111"/>
      <c r="T46" s="111"/>
      <c r="U46" s="111"/>
      <c r="V46" s="111"/>
      <c r="W46" s="111"/>
      <c r="X46" s="111"/>
      <c r="Y46" s="111"/>
      <c r="Z46" s="111"/>
      <c r="AA46" s="111"/>
      <c r="AB46" s="111"/>
      <c r="AC46" s="111"/>
      <c r="AD46" s="111">
        <f>715-175-50+100-50</f>
        <v>540</v>
      </c>
      <c r="AE46" s="111"/>
      <c r="AF46" s="29"/>
      <c r="AG46" s="102">
        <f t="shared" si="3"/>
        <v>0</v>
      </c>
    </row>
    <row r="47" spans="1:33" x14ac:dyDescent="0.3">
      <c r="A47" s="641" t="s">
        <v>170</v>
      </c>
      <c r="B47" s="642"/>
      <c r="C47" s="849"/>
      <c r="D47" s="853"/>
      <c r="E47" s="849"/>
      <c r="F47" s="116"/>
      <c r="G47" s="116"/>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29"/>
      <c r="AG47" s="102">
        <f t="shared" si="3"/>
        <v>0</v>
      </c>
    </row>
    <row r="48" spans="1:33" ht="93.75" x14ac:dyDescent="0.3">
      <c r="A48" s="864" t="s">
        <v>281</v>
      </c>
      <c r="B48" s="639"/>
      <c r="C48" s="645"/>
      <c r="D48" s="645"/>
      <c r="E48" s="645"/>
      <c r="F48" s="122"/>
      <c r="G48" s="122"/>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29"/>
      <c r="AG48" s="102">
        <f t="shared" si="3"/>
        <v>0</v>
      </c>
    </row>
    <row r="49" spans="1:38" x14ac:dyDescent="0.3">
      <c r="A49" s="638" t="s">
        <v>31</v>
      </c>
      <c r="B49" s="662">
        <f>B51+B52+B50+B53</f>
        <v>0</v>
      </c>
      <c r="C49" s="662">
        <f>C51+C52+C50+C53</f>
        <v>0</v>
      </c>
      <c r="D49" s="662">
        <f>D51+D52+D50+D53</f>
        <v>0</v>
      </c>
      <c r="E49" s="662">
        <f>E51+E52+E50+E53</f>
        <v>0</v>
      </c>
      <c r="F49" s="113">
        <f>IFERROR(E49/B49*100,0)</f>
        <v>0</v>
      </c>
      <c r="G49" s="113">
        <f>IFERROR(E49/C49*100,0)</f>
        <v>0</v>
      </c>
      <c r="H49" s="662">
        <f t="shared" ref="H49:AE49" si="32">H51+H52+H50+H53</f>
        <v>0</v>
      </c>
      <c r="I49" s="113">
        <f t="shared" si="32"/>
        <v>0</v>
      </c>
      <c r="J49" s="662">
        <f t="shared" si="32"/>
        <v>0</v>
      </c>
      <c r="K49" s="113">
        <f t="shared" si="32"/>
        <v>0</v>
      </c>
      <c r="L49" s="662">
        <f t="shared" si="32"/>
        <v>0</v>
      </c>
      <c r="M49" s="113">
        <f t="shared" si="32"/>
        <v>0</v>
      </c>
      <c r="N49" s="662">
        <f t="shared" si="32"/>
        <v>0</v>
      </c>
      <c r="O49" s="113">
        <f t="shared" si="32"/>
        <v>0</v>
      </c>
      <c r="P49" s="662">
        <f t="shared" si="32"/>
        <v>0</v>
      </c>
      <c r="Q49" s="113">
        <f t="shared" si="32"/>
        <v>0</v>
      </c>
      <c r="R49" s="662">
        <f t="shared" si="32"/>
        <v>0</v>
      </c>
      <c r="S49" s="113">
        <f t="shared" si="32"/>
        <v>0</v>
      </c>
      <c r="T49" s="662">
        <f t="shared" si="32"/>
        <v>0</v>
      </c>
      <c r="U49" s="113">
        <f t="shared" si="32"/>
        <v>0</v>
      </c>
      <c r="V49" s="662">
        <f t="shared" si="32"/>
        <v>0</v>
      </c>
      <c r="W49" s="113">
        <f t="shared" si="32"/>
        <v>0</v>
      </c>
      <c r="X49" s="662">
        <f t="shared" si="32"/>
        <v>0</v>
      </c>
      <c r="Y49" s="113">
        <f t="shared" si="32"/>
        <v>0</v>
      </c>
      <c r="Z49" s="662">
        <f t="shared" si="32"/>
        <v>0</v>
      </c>
      <c r="AA49" s="113">
        <f t="shared" si="32"/>
        <v>0</v>
      </c>
      <c r="AB49" s="662">
        <f t="shared" si="32"/>
        <v>0</v>
      </c>
      <c r="AC49" s="113">
        <f t="shared" si="32"/>
        <v>0</v>
      </c>
      <c r="AD49" s="662">
        <f t="shared" si="32"/>
        <v>0</v>
      </c>
      <c r="AE49" s="113">
        <f t="shared" si="32"/>
        <v>0</v>
      </c>
      <c r="AF49" s="29"/>
      <c r="AG49" s="102">
        <f t="shared" si="3"/>
        <v>0</v>
      </c>
    </row>
    <row r="50" spans="1:38" x14ac:dyDescent="0.3">
      <c r="A50" s="641" t="s">
        <v>169</v>
      </c>
      <c r="B50" s="663">
        <f t="shared" ref="B50:B51" si="33">J50+L50+N50+P50+R50+T50+V50+X50+Z50+AB50+AD50+H50</f>
        <v>0</v>
      </c>
      <c r="C50" s="664">
        <f>SUM(H50)</f>
        <v>0</v>
      </c>
      <c r="D50" s="666">
        <f>E50</f>
        <v>0</v>
      </c>
      <c r="E50" s="664">
        <f>SUM(I50,K50,M50,O50,Q50,S50,U50,W50,Y50,AA50,AC50,AE50)</f>
        <v>0</v>
      </c>
      <c r="F50" s="116"/>
      <c r="G50" s="116"/>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29"/>
      <c r="AG50" s="102">
        <f t="shared" si="3"/>
        <v>0</v>
      </c>
    </row>
    <row r="51" spans="1:38" x14ac:dyDescent="0.3">
      <c r="A51" s="641" t="s">
        <v>32</v>
      </c>
      <c r="B51" s="663">
        <f t="shared" si="33"/>
        <v>0</v>
      </c>
      <c r="C51" s="664">
        <f>SUM(H51)</f>
        <v>0</v>
      </c>
      <c r="D51" s="666">
        <f>E51</f>
        <v>0</v>
      </c>
      <c r="E51" s="664">
        <f>SUM(I51,K51,M51,O51,Q51,S51,U51,W51,Y51,AA51,AC51,AE51)</f>
        <v>0</v>
      </c>
      <c r="F51" s="116"/>
      <c r="G51" s="116"/>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29"/>
      <c r="AG51" s="102">
        <f t="shared" si="3"/>
        <v>0</v>
      </c>
    </row>
    <row r="52" spans="1:38" x14ac:dyDescent="0.3">
      <c r="A52" s="641" t="s">
        <v>33</v>
      </c>
      <c r="B52" s="663">
        <f>J52+L52+N52+P52+R52+T52+V52+X52+Z52+AB52+AD52+H52</f>
        <v>0</v>
      </c>
      <c r="C52" s="664">
        <f>SUM(H52)</f>
        <v>0</v>
      </c>
      <c r="D52" s="666">
        <f>E52</f>
        <v>0</v>
      </c>
      <c r="E52" s="664">
        <f>SUM(I52,K52,M52,O52,Q52,S52,U52,W52,Y52,AA52,AC52,AE52)</f>
        <v>0</v>
      </c>
      <c r="F52" s="116">
        <f>IFERROR(E52/B52*100,0)</f>
        <v>0</v>
      </c>
      <c r="G52" s="116">
        <f>IFERROR(E52/C52*100,0)</f>
        <v>0</v>
      </c>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29"/>
      <c r="AG52" s="102">
        <f t="shared" si="3"/>
        <v>0</v>
      </c>
    </row>
    <row r="53" spans="1:38" x14ac:dyDescent="0.3">
      <c r="A53" s="641" t="s">
        <v>170</v>
      </c>
      <c r="B53" s="642"/>
      <c r="C53" s="849"/>
      <c r="D53" s="853"/>
      <c r="E53" s="849"/>
      <c r="F53" s="116"/>
      <c r="G53" s="116"/>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29"/>
      <c r="AG53" s="102">
        <f t="shared" si="3"/>
        <v>0</v>
      </c>
    </row>
    <row r="54" spans="1:38" ht="93.75" x14ac:dyDescent="0.3">
      <c r="A54" s="713" t="s">
        <v>514</v>
      </c>
      <c r="B54" s="642"/>
      <c r="C54" s="849"/>
      <c r="D54" s="853"/>
      <c r="E54" s="849"/>
      <c r="F54" s="116"/>
      <c r="G54" s="116"/>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29"/>
      <c r="AG54" s="102"/>
    </row>
    <row r="55" spans="1:38" x14ac:dyDescent="0.3">
      <c r="A55" s="638" t="s">
        <v>31</v>
      </c>
      <c r="B55" s="663">
        <f t="shared" ref="B55:E55" si="34">B58</f>
        <v>1000</v>
      </c>
      <c r="C55" s="663">
        <f t="shared" si="34"/>
        <v>0</v>
      </c>
      <c r="D55" s="663">
        <f t="shared" si="34"/>
        <v>0</v>
      </c>
      <c r="E55" s="663">
        <f t="shared" si="34"/>
        <v>0</v>
      </c>
      <c r="F55" s="116">
        <f t="shared" ref="F55:F58" si="35">IFERROR(E55/B55*100,0)</f>
        <v>0</v>
      </c>
      <c r="G55" s="116">
        <f t="shared" ref="G55:G58" si="36">IFERROR(E55/C55*100,0)</f>
        <v>0</v>
      </c>
      <c r="H55" s="860">
        <f>H58</f>
        <v>0</v>
      </c>
      <c r="I55" s="111">
        <f t="shared" ref="I55:AF55" si="37">I58</f>
        <v>0</v>
      </c>
      <c r="J55" s="860">
        <f t="shared" si="37"/>
        <v>0</v>
      </c>
      <c r="K55" s="111">
        <f t="shared" si="37"/>
        <v>0</v>
      </c>
      <c r="L55" s="860">
        <f t="shared" si="37"/>
        <v>0</v>
      </c>
      <c r="M55" s="111">
        <f t="shared" si="37"/>
        <v>0</v>
      </c>
      <c r="N55" s="860">
        <f t="shared" si="37"/>
        <v>0</v>
      </c>
      <c r="O55" s="111">
        <f t="shared" si="37"/>
        <v>0</v>
      </c>
      <c r="P55" s="860">
        <f t="shared" si="37"/>
        <v>0</v>
      </c>
      <c r="Q55" s="111">
        <f t="shared" si="37"/>
        <v>0</v>
      </c>
      <c r="R55" s="860">
        <f t="shared" si="37"/>
        <v>0</v>
      </c>
      <c r="S55" s="111">
        <f t="shared" si="37"/>
        <v>0</v>
      </c>
      <c r="T55" s="860">
        <f t="shared" si="37"/>
        <v>1000</v>
      </c>
      <c r="U55" s="111">
        <f t="shared" si="37"/>
        <v>0</v>
      </c>
      <c r="V55" s="860">
        <f t="shared" si="37"/>
        <v>0</v>
      </c>
      <c r="W55" s="111">
        <f t="shared" si="37"/>
        <v>0</v>
      </c>
      <c r="X55" s="860">
        <f t="shared" si="37"/>
        <v>0</v>
      </c>
      <c r="Y55" s="111">
        <f t="shared" si="37"/>
        <v>0</v>
      </c>
      <c r="Z55" s="860">
        <f t="shared" si="37"/>
        <v>0</v>
      </c>
      <c r="AA55" s="111">
        <f t="shared" si="37"/>
        <v>0</v>
      </c>
      <c r="AB55" s="860">
        <f t="shared" si="37"/>
        <v>0</v>
      </c>
      <c r="AC55" s="111">
        <f t="shared" si="37"/>
        <v>0</v>
      </c>
      <c r="AD55" s="860">
        <f t="shared" si="37"/>
        <v>0</v>
      </c>
      <c r="AE55" s="111">
        <f t="shared" si="37"/>
        <v>0</v>
      </c>
      <c r="AF55" s="111">
        <f t="shared" si="37"/>
        <v>0</v>
      </c>
      <c r="AG55" s="102"/>
    </row>
    <row r="56" spans="1:38" x14ac:dyDescent="0.3">
      <c r="A56" s="641" t="s">
        <v>169</v>
      </c>
      <c r="B56" s="663">
        <f t="shared" ref="B56:B57" si="38">J56+L56+N56+P56+R56+T56+V56+X56+Z56+AB56+AD56+H56</f>
        <v>0</v>
      </c>
      <c r="C56" s="664">
        <f>SUM(H56)</f>
        <v>0</v>
      </c>
      <c r="D56" s="666">
        <f>E56</f>
        <v>0</v>
      </c>
      <c r="E56" s="664">
        <f>SUM(I56,K56,M56,O56,Q56,S56,U56,W56,Y56,AA56,AC56,AE56)</f>
        <v>0</v>
      </c>
      <c r="F56" s="116"/>
      <c r="G56" s="116"/>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29"/>
      <c r="AG56" s="102"/>
    </row>
    <row r="57" spans="1:38" x14ac:dyDescent="0.3">
      <c r="A57" s="641" t="s">
        <v>32</v>
      </c>
      <c r="B57" s="663">
        <f t="shared" si="38"/>
        <v>0</v>
      </c>
      <c r="C57" s="664">
        <f>SUM(H57)</f>
        <v>0</v>
      </c>
      <c r="D57" s="666">
        <f>E57</f>
        <v>0</v>
      </c>
      <c r="E57" s="664">
        <f>SUM(I57,K57,M57,O57,Q57,S57,U57,W57,Y57,AA57,AC57,AE57)</f>
        <v>0</v>
      </c>
      <c r="F57" s="116"/>
      <c r="G57" s="116"/>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29"/>
      <c r="AG57" s="102"/>
    </row>
    <row r="58" spans="1:38" x14ac:dyDescent="0.3">
      <c r="A58" s="641" t="s">
        <v>33</v>
      </c>
      <c r="B58" s="663">
        <f t="shared" ref="B58" si="39">J58+L58+N58+P58+R58+T58+V58+X58+Z58+AB58+AD58+H58</f>
        <v>1000</v>
      </c>
      <c r="C58" s="664">
        <f>H58+J58</f>
        <v>0</v>
      </c>
      <c r="D58" s="666">
        <f>E58</f>
        <v>0</v>
      </c>
      <c r="E58" s="664">
        <f t="shared" ref="E58" si="40">SUM(I58,K58,M58,O58,Q58,S58,U58,W58,Y58,AA58,AC58,AE58)</f>
        <v>0</v>
      </c>
      <c r="F58" s="116">
        <f t="shared" si="35"/>
        <v>0</v>
      </c>
      <c r="G58" s="116">
        <f t="shared" si="36"/>
        <v>0</v>
      </c>
      <c r="H58" s="111"/>
      <c r="I58" s="111"/>
      <c r="J58" s="111"/>
      <c r="K58" s="111"/>
      <c r="L58" s="111"/>
      <c r="M58" s="111"/>
      <c r="N58" s="111"/>
      <c r="O58" s="111"/>
      <c r="P58" s="111"/>
      <c r="Q58" s="111"/>
      <c r="R58" s="111"/>
      <c r="S58" s="111"/>
      <c r="T58" s="111">
        <v>1000</v>
      </c>
      <c r="U58" s="111"/>
      <c r="V58" s="111"/>
      <c r="W58" s="111"/>
      <c r="X58" s="111"/>
      <c r="Y58" s="111"/>
      <c r="Z58" s="111"/>
      <c r="AA58" s="111"/>
      <c r="AB58" s="111"/>
      <c r="AC58" s="111"/>
      <c r="AD58" s="111"/>
      <c r="AE58" s="111"/>
      <c r="AF58" s="29"/>
      <c r="AG58" s="102"/>
      <c r="AH58" s="637"/>
      <c r="AI58" s="637"/>
      <c r="AJ58" s="637"/>
      <c r="AK58" s="637"/>
      <c r="AL58" s="637"/>
    </row>
    <row r="59" spans="1:38" ht="23.25" x14ac:dyDescent="0.35">
      <c r="A59" s="641" t="s">
        <v>170</v>
      </c>
      <c r="B59" s="642"/>
      <c r="C59" s="849"/>
      <c r="D59" s="853"/>
      <c r="E59" s="849"/>
      <c r="F59" s="116"/>
      <c r="G59" s="116"/>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29"/>
      <c r="AG59" s="102"/>
      <c r="AH59" s="801"/>
      <c r="AI59" s="637"/>
      <c r="AJ59" s="637"/>
      <c r="AK59" s="637"/>
      <c r="AL59" s="637"/>
    </row>
    <row r="60" spans="1:38" ht="56.25" x14ac:dyDescent="0.3">
      <c r="A60" s="125" t="s">
        <v>282</v>
      </c>
      <c r="B60" s="104"/>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01"/>
      <c r="AG60" s="102">
        <f t="shared" si="3"/>
        <v>0</v>
      </c>
    </row>
    <row r="61" spans="1:38" x14ac:dyDescent="0.3">
      <c r="A61" s="103" t="s">
        <v>31</v>
      </c>
      <c r="B61" s="104">
        <f>B62+B63+B64</f>
        <v>69891.20018</v>
      </c>
      <c r="C61" s="104">
        <f>C62+C63+C64</f>
        <v>22713.284520000001</v>
      </c>
      <c r="D61" s="104">
        <f>D62+D63+D64</f>
        <v>20520.29</v>
      </c>
      <c r="E61" s="104">
        <f>E62+E63+E64</f>
        <v>20520.29</v>
      </c>
      <c r="F61" s="105">
        <f t="shared" ref="F61:F65" si="41">IFERROR(E61/B61*100,0)</f>
        <v>29.360334272628595</v>
      </c>
      <c r="G61" s="105">
        <f t="shared" ref="G61:G65" si="42">IFERROR(E61/C61*100,0)</f>
        <v>90.34488156889428</v>
      </c>
      <c r="H61" s="104">
        <f t="shared" ref="H61:AE61" si="43">H62+H63+H64</f>
        <v>3972.4162900000001</v>
      </c>
      <c r="I61" s="104">
        <f t="shared" si="43"/>
        <v>946.54</v>
      </c>
      <c r="J61" s="104">
        <f t="shared" si="43"/>
        <v>7125.1399999999994</v>
      </c>
      <c r="K61" s="104">
        <f t="shared" si="43"/>
        <v>6387.9299999999994</v>
      </c>
      <c r="L61" s="104">
        <f t="shared" si="43"/>
        <v>7453.4286400000001</v>
      </c>
      <c r="M61" s="104">
        <f t="shared" si="43"/>
        <v>6591.97</v>
      </c>
      <c r="N61" s="104">
        <f t="shared" si="43"/>
        <v>4162.2995900000005</v>
      </c>
      <c r="O61" s="104">
        <f t="shared" si="43"/>
        <v>6593.8499999999995</v>
      </c>
      <c r="P61" s="104">
        <f t="shared" si="43"/>
        <v>7126.4871299999995</v>
      </c>
      <c r="Q61" s="104">
        <f t="shared" si="43"/>
        <v>0</v>
      </c>
      <c r="R61" s="104">
        <f t="shared" si="43"/>
        <v>1710.13878</v>
      </c>
      <c r="S61" s="104">
        <f t="shared" si="43"/>
        <v>0</v>
      </c>
      <c r="T61" s="104">
        <f t="shared" si="43"/>
        <v>727.52638999999999</v>
      </c>
      <c r="U61" s="104">
        <f t="shared" si="43"/>
        <v>0</v>
      </c>
      <c r="V61" s="104">
        <f t="shared" si="43"/>
        <v>732.44828000000007</v>
      </c>
      <c r="W61" s="104">
        <f t="shared" si="43"/>
        <v>0</v>
      </c>
      <c r="X61" s="104">
        <f t="shared" si="43"/>
        <v>3753.5122000000001</v>
      </c>
      <c r="Y61" s="104">
        <f t="shared" si="43"/>
        <v>0</v>
      </c>
      <c r="Z61" s="104">
        <f t="shared" si="43"/>
        <v>3758.4229400000004</v>
      </c>
      <c r="AA61" s="104">
        <f t="shared" si="43"/>
        <v>0</v>
      </c>
      <c r="AB61" s="104">
        <f t="shared" si="43"/>
        <v>3827.36879</v>
      </c>
      <c r="AC61" s="104">
        <f t="shared" si="43"/>
        <v>0</v>
      </c>
      <c r="AD61" s="104">
        <f t="shared" si="43"/>
        <v>25542.011149999998</v>
      </c>
      <c r="AE61" s="104">
        <f t="shared" si="43"/>
        <v>0</v>
      </c>
      <c r="AF61" s="101"/>
      <c r="AG61" s="102">
        <f t="shared" si="3"/>
        <v>0</v>
      </c>
    </row>
    <row r="62" spans="1:38" x14ac:dyDescent="0.3">
      <c r="A62" s="106" t="s">
        <v>169</v>
      </c>
      <c r="B62" s="107">
        <f>B68+B74</f>
        <v>0</v>
      </c>
      <c r="C62" s="107">
        <f t="shared" ref="C62:E62" si="44">C68+C74</f>
        <v>0</v>
      </c>
      <c r="D62" s="107">
        <f t="shared" si="44"/>
        <v>0</v>
      </c>
      <c r="E62" s="107">
        <f t="shared" si="44"/>
        <v>0</v>
      </c>
      <c r="F62" s="107">
        <f t="shared" si="41"/>
        <v>0</v>
      </c>
      <c r="G62" s="107">
        <f t="shared" si="42"/>
        <v>0</v>
      </c>
      <c r="H62" s="107">
        <f t="shared" ref="H62:AE65" si="45">H68+H74</f>
        <v>0</v>
      </c>
      <c r="I62" s="107">
        <f t="shared" si="45"/>
        <v>0</v>
      </c>
      <c r="J62" s="107">
        <f t="shared" si="45"/>
        <v>0</v>
      </c>
      <c r="K62" s="107">
        <f t="shared" si="45"/>
        <v>0</v>
      </c>
      <c r="L62" s="107">
        <f t="shared" si="45"/>
        <v>0</v>
      </c>
      <c r="M62" s="107">
        <f t="shared" si="45"/>
        <v>0</v>
      </c>
      <c r="N62" s="107">
        <f t="shared" si="45"/>
        <v>0</v>
      </c>
      <c r="O62" s="107">
        <f t="shared" si="45"/>
        <v>0</v>
      </c>
      <c r="P62" s="107">
        <f t="shared" si="45"/>
        <v>0</v>
      </c>
      <c r="Q62" s="107">
        <f t="shared" si="45"/>
        <v>0</v>
      </c>
      <c r="R62" s="107">
        <f t="shared" si="45"/>
        <v>0</v>
      </c>
      <c r="S62" s="107">
        <f t="shared" si="45"/>
        <v>0</v>
      </c>
      <c r="T62" s="107">
        <f t="shared" si="45"/>
        <v>0</v>
      </c>
      <c r="U62" s="107">
        <f t="shared" si="45"/>
        <v>0</v>
      </c>
      <c r="V62" s="107">
        <f t="shared" si="45"/>
        <v>0</v>
      </c>
      <c r="W62" s="107">
        <f t="shared" si="45"/>
        <v>0</v>
      </c>
      <c r="X62" s="107">
        <f t="shared" si="45"/>
        <v>0</v>
      </c>
      <c r="Y62" s="107">
        <f t="shared" si="45"/>
        <v>0</v>
      </c>
      <c r="Z62" s="107">
        <f t="shared" si="45"/>
        <v>0</v>
      </c>
      <c r="AA62" s="107">
        <f t="shared" si="45"/>
        <v>0</v>
      </c>
      <c r="AB62" s="107">
        <f t="shared" si="45"/>
        <v>0</v>
      </c>
      <c r="AC62" s="107">
        <f t="shared" si="45"/>
        <v>0</v>
      </c>
      <c r="AD62" s="107">
        <f t="shared" si="45"/>
        <v>0</v>
      </c>
      <c r="AE62" s="107">
        <f t="shared" si="45"/>
        <v>0</v>
      </c>
      <c r="AF62" s="101"/>
      <c r="AG62" s="102">
        <f t="shared" si="3"/>
        <v>0</v>
      </c>
    </row>
    <row r="63" spans="1:38" x14ac:dyDescent="0.3">
      <c r="A63" s="106" t="s">
        <v>32</v>
      </c>
      <c r="B63" s="107">
        <f t="shared" ref="B63:E65" si="46">B69+B75</f>
        <v>0</v>
      </c>
      <c r="C63" s="107">
        <f t="shared" si="46"/>
        <v>0</v>
      </c>
      <c r="D63" s="107">
        <f t="shared" si="46"/>
        <v>0</v>
      </c>
      <c r="E63" s="107">
        <f t="shared" si="46"/>
        <v>0</v>
      </c>
      <c r="F63" s="107">
        <f t="shared" si="41"/>
        <v>0</v>
      </c>
      <c r="G63" s="107">
        <f t="shared" si="42"/>
        <v>0</v>
      </c>
      <c r="H63" s="107">
        <f t="shared" si="45"/>
        <v>0</v>
      </c>
      <c r="I63" s="107">
        <f t="shared" si="45"/>
        <v>0</v>
      </c>
      <c r="J63" s="107">
        <f t="shared" si="45"/>
        <v>0</v>
      </c>
      <c r="K63" s="107">
        <f t="shared" si="45"/>
        <v>0</v>
      </c>
      <c r="L63" s="107">
        <f t="shared" si="45"/>
        <v>0</v>
      </c>
      <c r="M63" s="107">
        <f t="shared" si="45"/>
        <v>0</v>
      </c>
      <c r="N63" s="107">
        <f t="shared" si="45"/>
        <v>0</v>
      </c>
      <c r="O63" s="107">
        <f t="shared" si="45"/>
        <v>0</v>
      </c>
      <c r="P63" s="107">
        <f t="shared" si="45"/>
        <v>0</v>
      </c>
      <c r="Q63" s="107">
        <f t="shared" si="45"/>
        <v>0</v>
      </c>
      <c r="R63" s="107">
        <f t="shared" si="45"/>
        <v>0</v>
      </c>
      <c r="S63" s="107">
        <f t="shared" si="45"/>
        <v>0</v>
      </c>
      <c r="T63" s="107">
        <f t="shared" si="45"/>
        <v>0</v>
      </c>
      <c r="U63" s="107">
        <f t="shared" si="45"/>
        <v>0</v>
      </c>
      <c r="V63" s="107">
        <f t="shared" si="45"/>
        <v>0</v>
      </c>
      <c r="W63" s="107">
        <f t="shared" si="45"/>
        <v>0</v>
      </c>
      <c r="X63" s="107">
        <f t="shared" si="45"/>
        <v>0</v>
      </c>
      <c r="Y63" s="107">
        <f t="shared" si="45"/>
        <v>0</v>
      </c>
      <c r="Z63" s="107">
        <f t="shared" si="45"/>
        <v>0</v>
      </c>
      <c r="AA63" s="107">
        <f t="shared" si="45"/>
        <v>0</v>
      </c>
      <c r="AB63" s="107">
        <f t="shared" si="45"/>
        <v>0</v>
      </c>
      <c r="AC63" s="107">
        <f t="shared" si="45"/>
        <v>0</v>
      </c>
      <c r="AD63" s="107">
        <f t="shared" si="45"/>
        <v>0</v>
      </c>
      <c r="AE63" s="107">
        <f t="shared" si="45"/>
        <v>0</v>
      </c>
      <c r="AF63" s="101"/>
      <c r="AG63" s="102">
        <f t="shared" si="3"/>
        <v>0</v>
      </c>
    </row>
    <row r="64" spans="1:38" x14ac:dyDescent="0.3">
      <c r="A64" s="106" t="s">
        <v>33</v>
      </c>
      <c r="B64" s="107">
        <f t="shared" si="46"/>
        <v>69891.20018</v>
      </c>
      <c r="C64" s="107">
        <f>C70+C76</f>
        <v>22713.284520000001</v>
      </c>
      <c r="D64" s="107">
        <f t="shared" si="46"/>
        <v>20520.29</v>
      </c>
      <c r="E64" s="107">
        <f t="shared" si="46"/>
        <v>20520.29</v>
      </c>
      <c r="F64" s="107">
        <f t="shared" si="41"/>
        <v>29.360334272628595</v>
      </c>
      <c r="G64" s="107">
        <f t="shared" si="42"/>
        <v>90.34488156889428</v>
      </c>
      <c r="H64" s="107">
        <f t="shared" si="45"/>
        <v>3972.4162900000001</v>
      </c>
      <c r="I64" s="107">
        <f t="shared" si="45"/>
        <v>946.54</v>
      </c>
      <c r="J64" s="107">
        <f t="shared" si="45"/>
        <v>7125.1399999999994</v>
      </c>
      <c r="K64" s="107">
        <f t="shared" si="45"/>
        <v>6387.9299999999994</v>
      </c>
      <c r="L64" s="107">
        <f t="shared" si="45"/>
        <v>7453.4286400000001</v>
      </c>
      <c r="M64" s="107">
        <f t="shared" si="45"/>
        <v>6591.97</v>
      </c>
      <c r="N64" s="107">
        <f t="shared" si="45"/>
        <v>4162.2995900000005</v>
      </c>
      <c r="O64" s="107">
        <f t="shared" si="45"/>
        <v>6593.8499999999995</v>
      </c>
      <c r="P64" s="107">
        <f t="shared" si="45"/>
        <v>7126.4871299999995</v>
      </c>
      <c r="Q64" s="107">
        <f t="shared" si="45"/>
        <v>0</v>
      </c>
      <c r="R64" s="107">
        <f t="shared" si="45"/>
        <v>1710.13878</v>
      </c>
      <c r="S64" s="107">
        <f t="shared" si="45"/>
        <v>0</v>
      </c>
      <c r="T64" s="107">
        <f t="shared" si="45"/>
        <v>727.52638999999999</v>
      </c>
      <c r="U64" s="107">
        <f t="shared" si="45"/>
        <v>0</v>
      </c>
      <c r="V64" s="107">
        <f t="shared" si="45"/>
        <v>732.44828000000007</v>
      </c>
      <c r="W64" s="107">
        <f t="shared" si="45"/>
        <v>0</v>
      </c>
      <c r="X64" s="107">
        <f t="shared" si="45"/>
        <v>3753.5122000000001</v>
      </c>
      <c r="Y64" s="107">
        <f t="shared" si="45"/>
        <v>0</v>
      </c>
      <c r="Z64" s="107">
        <f t="shared" si="45"/>
        <v>3758.4229400000004</v>
      </c>
      <c r="AA64" s="107">
        <f t="shared" si="45"/>
        <v>0</v>
      </c>
      <c r="AB64" s="107">
        <f t="shared" si="45"/>
        <v>3827.36879</v>
      </c>
      <c r="AC64" s="107">
        <f t="shared" si="45"/>
        <v>0</v>
      </c>
      <c r="AD64" s="107">
        <f t="shared" si="45"/>
        <v>25542.011149999998</v>
      </c>
      <c r="AE64" s="107">
        <f t="shared" si="45"/>
        <v>0</v>
      </c>
      <c r="AF64" s="101"/>
      <c r="AG64" s="102">
        <f t="shared" si="3"/>
        <v>0</v>
      </c>
    </row>
    <row r="65" spans="1:33" x14ac:dyDescent="0.3">
      <c r="A65" s="106" t="s">
        <v>170</v>
      </c>
      <c r="B65" s="107">
        <f t="shared" si="46"/>
        <v>0</v>
      </c>
      <c r="C65" s="107">
        <f t="shared" si="46"/>
        <v>0</v>
      </c>
      <c r="D65" s="107">
        <f t="shared" si="46"/>
        <v>0</v>
      </c>
      <c r="E65" s="107">
        <f t="shared" si="46"/>
        <v>0</v>
      </c>
      <c r="F65" s="107">
        <f t="shared" si="41"/>
        <v>0</v>
      </c>
      <c r="G65" s="107">
        <f t="shared" si="42"/>
        <v>0</v>
      </c>
      <c r="H65" s="107">
        <f t="shared" si="45"/>
        <v>0</v>
      </c>
      <c r="I65" s="107">
        <f t="shared" si="45"/>
        <v>0</v>
      </c>
      <c r="J65" s="107">
        <f t="shared" si="45"/>
        <v>0</v>
      </c>
      <c r="K65" s="107">
        <f t="shared" si="45"/>
        <v>0</v>
      </c>
      <c r="L65" s="107">
        <f t="shared" si="45"/>
        <v>0</v>
      </c>
      <c r="M65" s="107">
        <f t="shared" si="45"/>
        <v>0</v>
      </c>
      <c r="N65" s="107">
        <f t="shared" si="45"/>
        <v>0</v>
      </c>
      <c r="O65" s="107">
        <f t="shared" si="45"/>
        <v>0</v>
      </c>
      <c r="P65" s="107">
        <f t="shared" si="45"/>
        <v>0</v>
      </c>
      <c r="Q65" s="107">
        <f t="shared" si="45"/>
        <v>0</v>
      </c>
      <c r="R65" s="107">
        <f t="shared" si="45"/>
        <v>0</v>
      </c>
      <c r="S65" s="107">
        <f t="shared" si="45"/>
        <v>0</v>
      </c>
      <c r="T65" s="107">
        <f t="shared" si="45"/>
        <v>0</v>
      </c>
      <c r="U65" s="107">
        <f t="shared" si="45"/>
        <v>0</v>
      </c>
      <c r="V65" s="107">
        <f t="shared" si="45"/>
        <v>0</v>
      </c>
      <c r="W65" s="107">
        <f t="shared" si="45"/>
        <v>0</v>
      </c>
      <c r="X65" s="107">
        <f t="shared" si="45"/>
        <v>0</v>
      </c>
      <c r="Y65" s="107">
        <f t="shared" si="45"/>
        <v>0</v>
      </c>
      <c r="Z65" s="107">
        <f t="shared" si="45"/>
        <v>0</v>
      </c>
      <c r="AA65" s="107">
        <f t="shared" si="45"/>
        <v>0</v>
      </c>
      <c r="AB65" s="107">
        <f t="shared" si="45"/>
        <v>0</v>
      </c>
      <c r="AC65" s="107">
        <f t="shared" si="45"/>
        <v>0</v>
      </c>
      <c r="AD65" s="107">
        <f t="shared" si="45"/>
        <v>0</v>
      </c>
      <c r="AE65" s="107">
        <f t="shared" si="45"/>
        <v>0</v>
      </c>
      <c r="AF65" s="101"/>
      <c r="AG65" s="102">
        <f t="shared" si="3"/>
        <v>0</v>
      </c>
    </row>
    <row r="66" spans="1:33" ht="120" customHeight="1" x14ac:dyDescent="0.3">
      <c r="A66" s="864" t="s">
        <v>283</v>
      </c>
      <c r="B66" s="642"/>
      <c r="C66" s="110"/>
      <c r="D66" s="110"/>
      <c r="E66" s="110"/>
      <c r="F66" s="110"/>
      <c r="G66" s="110"/>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29"/>
      <c r="AG66" s="102">
        <f t="shared" si="3"/>
        <v>0</v>
      </c>
    </row>
    <row r="67" spans="1:33" s="637" customFormat="1" x14ac:dyDescent="0.3">
      <c r="A67" s="638" t="s">
        <v>31</v>
      </c>
      <c r="B67" s="639">
        <f>B69+B70+B68+B71</f>
        <v>13803.90006</v>
      </c>
      <c r="C67" s="856">
        <f>C69+C70+C68+C71</f>
        <v>4644.2196299999996</v>
      </c>
      <c r="D67" s="856">
        <f>D69+D70+D68+D71</f>
        <v>4644.2199999999993</v>
      </c>
      <c r="E67" s="856">
        <f>E69+E70+E68+E71</f>
        <v>4644.2199999999993</v>
      </c>
      <c r="F67" s="856">
        <f>IFERROR(E67/B67*100,0)</f>
        <v>33.644259809281749</v>
      </c>
      <c r="G67" s="856">
        <f>IFERROR(E67/C67*100,0)</f>
        <v>100.00000796689281</v>
      </c>
      <c r="H67" s="856">
        <f t="shared" ref="H67:AE67" si="47">H69+H70+H68+H71</f>
        <v>946.54494</v>
      </c>
      <c r="I67" s="856">
        <f t="shared" si="47"/>
        <v>946.54</v>
      </c>
      <c r="J67" s="856">
        <f t="shared" si="47"/>
        <v>1750.03</v>
      </c>
      <c r="K67" s="856">
        <f t="shared" si="47"/>
        <v>1750.03</v>
      </c>
      <c r="L67" s="639">
        <f t="shared" si="47"/>
        <v>1033.9486400000001</v>
      </c>
      <c r="M67" s="639">
        <f t="shared" si="47"/>
        <v>1033.95</v>
      </c>
      <c r="N67" s="639">
        <f t="shared" si="47"/>
        <v>913.69605000000001</v>
      </c>
      <c r="O67" s="639">
        <f t="shared" si="47"/>
        <v>913.7</v>
      </c>
      <c r="P67" s="639">
        <f t="shared" si="47"/>
        <v>1939.30654</v>
      </c>
      <c r="Q67" s="639">
        <f t="shared" si="47"/>
        <v>0</v>
      </c>
      <c r="R67" s="856">
        <f t="shared" si="47"/>
        <v>1650.9758899999999</v>
      </c>
      <c r="S67" s="639">
        <f t="shared" si="47"/>
        <v>0</v>
      </c>
      <c r="T67" s="639">
        <f t="shared" si="47"/>
        <v>668.36639000000002</v>
      </c>
      <c r="U67" s="639">
        <f t="shared" si="47"/>
        <v>0</v>
      </c>
      <c r="V67" s="639">
        <f t="shared" si="47"/>
        <v>680.05839000000003</v>
      </c>
      <c r="W67" s="639">
        <f t="shared" si="47"/>
        <v>0</v>
      </c>
      <c r="X67" s="639">
        <f t="shared" si="47"/>
        <v>747.69055000000003</v>
      </c>
      <c r="Y67" s="639">
        <f t="shared" si="47"/>
        <v>0</v>
      </c>
      <c r="Z67" s="639">
        <f t="shared" si="47"/>
        <v>880.38229999999999</v>
      </c>
      <c r="AA67" s="639">
        <f t="shared" si="47"/>
        <v>0</v>
      </c>
      <c r="AB67" s="639">
        <f t="shared" si="47"/>
        <v>906.12879999999996</v>
      </c>
      <c r="AC67" s="639">
        <f t="shared" si="47"/>
        <v>0</v>
      </c>
      <c r="AD67" s="645">
        <f t="shared" si="47"/>
        <v>1686.7715700000001</v>
      </c>
      <c r="AE67" s="639">
        <f t="shared" si="47"/>
        <v>0</v>
      </c>
      <c r="AF67" s="635"/>
      <c r="AG67" s="636">
        <f t="shared" si="3"/>
        <v>0</v>
      </c>
    </row>
    <row r="68" spans="1:33" x14ac:dyDescent="0.3">
      <c r="A68" s="641" t="s">
        <v>169</v>
      </c>
      <c r="B68" s="642">
        <f t="shared" ref="B68:B69" si="48">J68+L68+N68+P68+R68+T68+V68+X68+Z68+AB68+AD68+H68</f>
        <v>0</v>
      </c>
      <c r="C68" s="117">
        <f>SUM(H68)</f>
        <v>0</v>
      </c>
      <c r="D68" s="118">
        <f>E68</f>
        <v>0</v>
      </c>
      <c r="E68" s="117">
        <f>SUM(I68,K68,M68,O68,Q68,S68,U68,W68,Y68,AA68,AC68,AE68)</f>
        <v>0</v>
      </c>
      <c r="F68" s="116"/>
      <c r="G68" s="116"/>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29"/>
      <c r="AG68" s="102">
        <f t="shared" si="3"/>
        <v>0</v>
      </c>
    </row>
    <row r="69" spans="1:33" x14ac:dyDescent="0.3">
      <c r="A69" s="641" t="s">
        <v>32</v>
      </c>
      <c r="B69" s="642">
        <f t="shared" si="48"/>
        <v>0</v>
      </c>
      <c r="C69" s="117">
        <f>SUM(H69)</f>
        <v>0</v>
      </c>
      <c r="D69" s="118">
        <f>E69</f>
        <v>0</v>
      </c>
      <c r="E69" s="117">
        <f>SUM(I69,K69,M69,O69,Q69,S69,U69,W69,Y69,AA69,AC69,AE69)</f>
        <v>0</v>
      </c>
      <c r="F69" s="116"/>
      <c r="G69" s="116"/>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29"/>
      <c r="AG69" s="102">
        <f t="shared" si="3"/>
        <v>0</v>
      </c>
    </row>
    <row r="70" spans="1:33" s="637" customFormat="1" x14ac:dyDescent="0.3">
      <c r="A70" s="641" t="s">
        <v>33</v>
      </c>
      <c r="B70" s="642">
        <f>J70+L70+N70+P70+R70+T70+V70+X70+Z70+AB70+AD70+H70</f>
        <v>13803.90006</v>
      </c>
      <c r="C70" s="849">
        <f>H70+J70+L70+N70</f>
        <v>4644.2196299999996</v>
      </c>
      <c r="D70" s="853">
        <f>E70</f>
        <v>4644.2199999999993</v>
      </c>
      <c r="E70" s="849">
        <f>SUM(I70,K70,M70,O70,Q70,S70,U70,W70,Y70,AA70,AC70,AE70)</f>
        <v>4644.2199999999993</v>
      </c>
      <c r="F70" s="642">
        <f>IFERROR(E70/B70*100,0)</f>
        <v>33.644259809281749</v>
      </c>
      <c r="G70" s="642">
        <f>IFERROR(E70/C70*100,0)</f>
        <v>100.00000796689281</v>
      </c>
      <c r="H70" s="529">
        <f>946.57494-0.03</f>
        <v>946.54494</v>
      </c>
      <c r="I70" s="529">
        <v>946.54</v>
      </c>
      <c r="J70" s="529">
        <v>1750.03</v>
      </c>
      <c r="K70" s="529">
        <v>1750.03</v>
      </c>
      <c r="L70" s="529">
        <v>1033.9486400000001</v>
      </c>
      <c r="M70" s="529">
        <v>1033.95</v>
      </c>
      <c r="N70" s="529">
        <v>913.69605000000001</v>
      </c>
      <c r="O70" s="529">
        <v>913.7</v>
      </c>
      <c r="P70" s="529">
        <v>1939.30654</v>
      </c>
      <c r="Q70" s="529"/>
      <c r="R70" s="529">
        <f>0.03+1650.94589</f>
        <v>1650.9758899999999</v>
      </c>
      <c r="S70" s="529"/>
      <c r="T70" s="529">
        <v>668.36639000000002</v>
      </c>
      <c r="U70" s="529"/>
      <c r="V70" s="529">
        <v>680.05839000000003</v>
      </c>
      <c r="W70" s="529"/>
      <c r="X70" s="529">
        <v>747.69055000000003</v>
      </c>
      <c r="Y70" s="529"/>
      <c r="Z70" s="529">
        <v>880.38229999999999</v>
      </c>
      <c r="AA70" s="529"/>
      <c r="AB70" s="529">
        <v>906.12879999999996</v>
      </c>
      <c r="AC70" s="529"/>
      <c r="AD70" s="529">
        <f>1719.11157-32.34</f>
        <v>1686.7715700000001</v>
      </c>
      <c r="AE70" s="529"/>
      <c r="AF70" s="635"/>
      <c r="AG70" s="636">
        <f t="shared" si="3"/>
        <v>0</v>
      </c>
    </row>
    <row r="71" spans="1:33" x14ac:dyDescent="0.3">
      <c r="A71" s="115" t="s">
        <v>170</v>
      </c>
      <c r="B71" s="116"/>
      <c r="C71" s="117"/>
      <c r="D71" s="118"/>
      <c r="E71" s="117"/>
      <c r="F71" s="116"/>
      <c r="G71" s="116"/>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29"/>
      <c r="AG71" s="102">
        <f t="shared" si="3"/>
        <v>0</v>
      </c>
    </row>
    <row r="72" spans="1:33" ht="82.5" customHeight="1" x14ac:dyDescent="0.3">
      <c r="A72" s="864" t="s">
        <v>284</v>
      </c>
      <c r="B72" s="642"/>
      <c r="C72" s="110"/>
      <c r="D72" s="110"/>
      <c r="E72" s="110"/>
      <c r="F72" s="110"/>
      <c r="G72" s="110"/>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29"/>
      <c r="AG72" s="102">
        <f t="shared" si="3"/>
        <v>0</v>
      </c>
    </row>
    <row r="73" spans="1:33" s="637" customFormat="1" x14ac:dyDescent="0.3">
      <c r="A73" s="638" t="s">
        <v>31</v>
      </c>
      <c r="B73" s="639">
        <f>B75+B76+B74+B77</f>
        <v>56087.30012</v>
      </c>
      <c r="C73" s="856">
        <f>C75+C76+C74+C77</f>
        <v>18069.064890000001</v>
      </c>
      <c r="D73" s="856">
        <f>D75+D76+D74+D77</f>
        <v>15876.07</v>
      </c>
      <c r="E73" s="856">
        <f>E75+E76+E74+E77</f>
        <v>15876.07</v>
      </c>
      <c r="F73" s="856">
        <f>IFERROR(E73/B73*100,0)</f>
        <v>28.305997910458881</v>
      </c>
      <c r="G73" s="856">
        <f>IFERROR(E73/C73*100,0)</f>
        <v>87.863262967118601</v>
      </c>
      <c r="H73" s="856">
        <f t="shared" ref="H73:AE73" si="49">H75+H76+H74+H77</f>
        <v>3025.8713499999999</v>
      </c>
      <c r="I73" s="856">
        <f t="shared" si="49"/>
        <v>0</v>
      </c>
      <c r="J73" s="856">
        <f t="shared" si="49"/>
        <v>5375.11</v>
      </c>
      <c r="K73" s="856">
        <f t="shared" si="49"/>
        <v>4637.8999999999996</v>
      </c>
      <c r="L73" s="856">
        <f t="shared" si="49"/>
        <v>6419.48</v>
      </c>
      <c r="M73" s="856">
        <f>M75+M76+M74+M77</f>
        <v>5558.02</v>
      </c>
      <c r="N73" s="856">
        <f t="shared" si="49"/>
        <v>3248.6035400000001</v>
      </c>
      <c r="O73" s="856">
        <f t="shared" si="49"/>
        <v>5680.15</v>
      </c>
      <c r="P73" s="856">
        <f t="shared" si="49"/>
        <v>5187.1805899999999</v>
      </c>
      <c r="Q73" s="856">
        <f t="shared" si="49"/>
        <v>0</v>
      </c>
      <c r="R73" s="856">
        <f t="shared" si="49"/>
        <v>59.162889999999997</v>
      </c>
      <c r="S73" s="856">
        <f t="shared" si="49"/>
        <v>0</v>
      </c>
      <c r="T73" s="856">
        <f t="shared" si="49"/>
        <v>59.16</v>
      </c>
      <c r="U73" s="856">
        <f t="shared" si="49"/>
        <v>0</v>
      </c>
      <c r="V73" s="639">
        <f t="shared" si="49"/>
        <v>52.389890000000001</v>
      </c>
      <c r="W73" s="639">
        <f t="shared" si="49"/>
        <v>0</v>
      </c>
      <c r="X73" s="639">
        <f t="shared" si="49"/>
        <v>3005.8216499999999</v>
      </c>
      <c r="Y73" s="639">
        <f t="shared" si="49"/>
        <v>0</v>
      </c>
      <c r="Z73" s="639">
        <f t="shared" si="49"/>
        <v>2878.0406400000002</v>
      </c>
      <c r="AA73" s="639">
        <f t="shared" si="49"/>
        <v>0</v>
      </c>
      <c r="AB73" s="639">
        <f t="shared" si="49"/>
        <v>2921.23999</v>
      </c>
      <c r="AC73" s="639">
        <f t="shared" si="49"/>
        <v>0</v>
      </c>
      <c r="AD73" s="645">
        <f t="shared" si="49"/>
        <v>23855.239579999998</v>
      </c>
      <c r="AE73" s="639">
        <f t="shared" si="49"/>
        <v>0</v>
      </c>
      <c r="AF73" s="635"/>
      <c r="AG73" s="636">
        <f t="shared" si="3"/>
        <v>0</v>
      </c>
    </row>
    <row r="74" spans="1:33" s="637" customFormat="1" x14ac:dyDescent="0.3">
      <c r="A74" s="641" t="s">
        <v>169</v>
      </c>
      <c r="B74" s="642">
        <f t="shared" ref="B74:B75" si="50">J74+L74+N74+P74+R74+T74+V74+X74+Z74+AB74+AD74+H74</f>
        <v>0</v>
      </c>
      <c r="C74" s="849">
        <f>SUM(H74)</f>
        <v>0</v>
      </c>
      <c r="D74" s="853">
        <f>E74</f>
        <v>0</v>
      </c>
      <c r="E74" s="849">
        <f>SUM(I74,K74,M74,O74,Q74,S74,U74,W74,Y74,AA74,AC74,AE74)</f>
        <v>0</v>
      </c>
      <c r="F74" s="642"/>
      <c r="G74" s="642"/>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635"/>
      <c r="AG74" s="636">
        <f t="shared" si="3"/>
        <v>0</v>
      </c>
    </row>
    <row r="75" spans="1:33" s="637" customFormat="1" x14ac:dyDescent="0.3">
      <c r="A75" s="641" t="s">
        <v>32</v>
      </c>
      <c r="B75" s="642">
        <f t="shared" si="50"/>
        <v>0</v>
      </c>
      <c r="C75" s="849">
        <f>SUM(H75)</f>
        <v>0</v>
      </c>
      <c r="D75" s="853">
        <f>E75</f>
        <v>0</v>
      </c>
      <c r="E75" s="849">
        <f>SUM(I75,K75,M75,O75,Q75,S75,U75,W75,Y75,AA75,AC75,AE75)</f>
        <v>0</v>
      </c>
      <c r="F75" s="642"/>
      <c r="G75" s="642"/>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635"/>
      <c r="AG75" s="636">
        <f t="shared" si="3"/>
        <v>0</v>
      </c>
    </row>
    <row r="76" spans="1:33" s="637" customFormat="1" x14ac:dyDescent="0.3">
      <c r="A76" s="641" t="s">
        <v>33</v>
      </c>
      <c r="B76" s="642">
        <f>J76+L76+N76+P76+R76+T76+V76+X76+Z76+AB76+AD76+H76</f>
        <v>56087.30012</v>
      </c>
      <c r="C76" s="849">
        <f>H76+J76+L76+N76</f>
        <v>18069.064890000001</v>
      </c>
      <c r="D76" s="853">
        <f>E76</f>
        <v>15876.07</v>
      </c>
      <c r="E76" s="849">
        <f>SUM(I76,K76,M76,O76,Q76,S76,U76,W76,Y76,AA76,AC76,AE76)</f>
        <v>15876.07</v>
      </c>
      <c r="F76" s="642">
        <f>IFERROR(E76/B76*100,0)</f>
        <v>28.305997910458881</v>
      </c>
      <c r="G76" s="642">
        <f>IFERROR(E76/C76*100,0)</f>
        <v>87.863262967118601</v>
      </c>
      <c r="H76" s="529">
        <v>3025.8713499999999</v>
      </c>
      <c r="I76" s="529"/>
      <c r="J76" s="529">
        <v>5375.11</v>
      </c>
      <c r="K76" s="529">
        <v>4637.8999999999996</v>
      </c>
      <c r="L76" s="529">
        <v>6419.48</v>
      </c>
      <c r="M76" s="529">
        <v>5558.02</v>
      </c>
      <c r="N76" s="529">
        <v>3248.6035400000001</v>
      </c>
      <c r="O76" s="529">
        <v>5680.15</v>
      </c>
      <c r="P76" s="529">
        <v>5187.1805899999999</v>
      </c>
      <c r="Q76" s="529"/>
      <c r="R76" s="529">
        <f>59.16289</f>
        <v>59.162889999999997</v>
      </c>
      <c r="S76" s="529"/>
      <c r="T76" s="529">
        <v>59.16</v>
      </c>
      <c r="U76" s="529"/>
      <c r="V76" s="529">
        <v>52.389890000000001</v>
      </c>
      <c r="W76" s="529"/>
      <c r="X76" s="529">
        <v>3005.8216499999999</v>
      </c>
      <c r="Y76" s="529"/>
      <c r="Z76" s="529">
        <f>2880.85064-2.81</f>
        <v>2878.0406400000002</v>
      </c>
      <c r="AA76" s="529"/>
      <c r="AB76" s="529">
        <v>2921.23999</v>
      </c>
      <c r="AC76" s="529"/>
      <c r="AD76" s="529">
        <f>28747.43958-4892.2</f>
        <v>23855.239579999998</v>
      </c>
      <c r="AE76" s="529"/>
      <c r="AF76" s="635"/>
      <c r="AG76" s="636">
        <f t="shared" si="3"/>
        <v>0</v>
      </c>
    </row>
    <row r="77" spans="1:33" x14ac:dyDescent="0.3">
      <c r="A77" s="115" t="s">
        <v>170</v>
      </c>
      <c r="B77" s="116"/>
      <c r="C77" s="117"/>
      <c r="D77" s="118"/>
      <c r="E77" s="117"/>
      <c r="F77" s="116"/>
      <c r="G77" s="116"/>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29"/>
      <c r="AG77" s="102">
        <f t="shared" si="3"/>
        <v>0</v>
      </c>
    </row>
    <row r="78" spans="1:33" ht="93.75" x14ac:dyDescent="0.3">
      <c r="A78" s="125" t="s">
        <v>285</v>
      </c>
      <c r="B78" s="104"/>
      <c r="C78" s="865"/>
      <c r="D78" s="865"/>
      <c r="E78" s="865"/>
      <c r="F78" s="126"/>
      <c r="G78" s="126"/>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1"/>
      <c r="AG78" s="102">
        <f t="shared" si="3"/>
        <v>0</v>
      </c>
    </row>
    <row r="79" spans="1:33" x14ac:dyDescent="0.3">
      <c r="A79" s="129" t="s">
        <v>31</v>
      </c>
      <c r="B79" s="104">
        <f>B80+B81+B82+B83</f>
        <v>2618117.6998300003</v>
      </c>
      <c r="C79" s="865">
        <f>C80+C81+C82</f>
        <v>749889.91558000003</v>
      </c>
      <c r="D79" s="865">
        <f>D80+D81+D82</f>
        <v>765516.28</v>
      </c>
      <c r="E79" s="865">
        <f>E80+E81+E82</f>
        <v>765516.28</v>
      </c>
      <c r="F79" s="105">
        <f t="shared" ref="F79:F83" si="51">IFERROR(E79/B79*100,0)</f>
        <v>29.239185085136032</v>
      </c>
      <c r="G79" s="105">
        <f t="shared" ref="G79:G83" si="52">IFERROR(E79/C79*100,0)</f>
        <v>102.08382111765215</v>
      </c>
      <c r="H79" s="104">
        <f>H80+H81+H82+H83</f>
        <v>217120.75999999998</v>
      </c>
      <c r="I79" s="104">
        <f t="shared" ref="I79:AE79" si="53">I80+I81+I82+I83</f>
        <v>90192.700000000012</v>
      </c>
      <c r="J79" s="104">
        <f t="shared" si="53"/>
        <v>290118.50979000004</v>
      </c>
      <c r="K79" s="104">
        <f t="shared" si="53"/>
        <v>253612.65</v>
      </c>
      <c r="L79" s="104">
        <f t="shared" si="53"/>
        <v>245880.64578999998</v>
      </c>
      <c r="M79" s="104">
        <f t="shared" si="53"/>
        <v>204906.37</v>
      </c>
      <c r="N79" s="104">
        <f t="shared" si="53"/>
        <v>288526.17578999995</v>
      </c>
      <c r="O79" s="104">
        <f t="shared" si="53"/>
        <v>224145.56</v>
      </c>
      <c r="P79" s="104">
        <f t="shared" si="53"/>
        <v>435297.07377000002</v>
      </c>
      <c r="Q79" s="104">
        <f t="shared" si="53"/>
        <v>0</v>
      </c>
      <c r="R79" s="104">
        <f t="shared" si="53"/>
        <v>223679.88378</v>
      </c>
      <c r="S79" s="104">
        <f t="shared" si="53"/>
        <v>0</v>
      </c>
      <c r="T79" s="104">
        <f t="shared" si="53"/>
        <v>156608.37379000001</v>
      </c>
      <c r="U79" s="104">
        <f t="shared" si="53"/>
        <v>0</v>
      </c>
      <c r="V79" s="104">
        <f t="shared" si="53"/>
        <v>114770.29579</v>
      </c>
      <c r="W79" s="104">
        <f t="shared" si="53"/>
        <v>0</v>
      </c>
      <c r="X79" s="104">
        <f t="shared" si="53"/>
        <v>144872.65879000002</v>
      </c>
      <c r="Y79" s="104">
        <f t="shared" si="53"/>
        <v>0</v>
      </c>
      <c r="Z79" s="104">
        <f t="shared" si="53"/>
        <v>141446.10378999999</v>
      </c>
      <c r="AA79" s="104">
        <f t="shared" si="53"/>
        <v>0</v>
      </c>
      <c r="AB79" s="104">
        <f t="shared" si="53"/>
        <v>130118.24378999999</v>
      </c>
      <c r="AC79" s="104">
        <f t="shared" si="53"/>
        <v>0</v>
      </c>
      <c r="AD79" s="104">
        <f t="shared" si="53"/>
        <v>229678.97495999999</v>
      </c>
      <c r="AE79" s="104">
        <f t="shared" si="53"/>
        <v>0</v>
      </c>
      <c r="AF79" s="101"/>
      <c r="AG79" s="102">
        <f t="shared" si="3"/>
        <v>6.1118043959140778E-10</v>
      </c>
    </row>
    <row r="80" spans="1:33" x14ac:dyDescent="0.3">
      <c r="A80" s="130" t="s">
        <v>169</v>
      </c>
      <c r="B80" s="107">
        <f t="shared" ref="B80:B83" si="54">J80+L80+N80+P80+R80+T80+V80+X80+Z80+AB80+AD80+H80</f>
        <v>49371.799999999996</v>
      </c>
      <c r="C80" s="866">
        <f>SUM(H80+J80+L80)</f>
        <v>12338.35</v>
      </c>
      <c r="D80" s="866">
        <f t="shared" ref="D80:D83" si="55">E80</f>
        <v>24198</v>
      </c>
      <c r="E80" s="866">
        <f t="shared" ref="E80:E83" si="56">SUM(I80,K80,M80,O80,Q80,S80,U80,W80,Y80,AA80,AC80,AE80)</f>
        <v>24198</v>
      </c>
      <c r="F80" s="107">
        <f t="shared" si="51"/>
        <v>49.011784054865331</v>
      </c>
      <c r="G80" s="107">
        <f t="shared" si="52"/>
        <v>196.12022677262354</v>
      </c>
      <c r="H80" s="107">
        <f>H86+H116+H122</f>
        <v>4082.28</v>
      </c>
      <c r="I80" s="107">
        <f t="shared" ref="I80:AE83" si="57">I86+I116+I122</f>
        <v>4012.3</v>
      </c>
      <c r="J80" s="107">
        <f t="shared" si="57"/>
        <v>4046.15</v>
      </c>
      <c r="K80" s="107">
        <f t="shared" si="57"/>
        <v>3924.3</v>
      </c>
      <c r="L80" s="107">
        <f t="shared" si="57"/>
        <v>4209.92</v>
      </c>
      <c r="M80" s="107">
        <f t="shared" si="57"/>
        <v>4194.3999999999996</v>
      </c>
      <c r="N80" s="107">
        <f t="shared" si="57"/>
        <v>12539.08</v>
      </c>
      <c r="O80" s="107">
        <f t="shared" si="57"/>
        <v>12067</v>
      </c>
      <c r="P80" s="107">
        <f t="shared" si="57"/>
        <v>10239.700000000001</v>
      </c>
      <c r="Q80" s="107">
        <f t="shared" si="57"/>
        <v>0</v>
      </c>
      <c r="R80" s="107">
        <f t="shared" si="57"/>
        <v>9174.73</v>
      </c>
      <c r="S80" s="107">
        <f t="shared" si="57"/>
        <v>0</v>
      </c>
      <c r="T80" s="107">
        <f t="shared" si="57"/>
        <v>212.82</v>
      </c>
      <c r="U80" s="107">
        <f t="shared" si="57"/>
        <v>0</v>
      </c>
      <c r="V80" s="107">
        <f t="shared" si="57"/>
        <v>1067.49</v>
      </c>
      <c r="W80" s="107">
        <f t="shared" si="57"/>
        <v>0</v>
      </c>
      <c r="X80" s="107">
        <f t="shared" si="57"/>
        <v>1705.64</v>
      </c>
      <c r="Y80" s="107">
        <f t="shared" si="57"/>
        <v>0</v>
      </c>
      <c r="Z80" s="107">
        <f t="shared" si="57"/>
        <v>1688.45</v>
      </c>
      <c r="AA80" s="107">
        <f t="shared" si="57"/>
        <v>0</v>
      </c>
      <c r="AB80" s="107">
        <f t="shared" si="57"/>
        <v>392.54</v>
      </c>
      <c r="AC80" s="107">
        <f t="shared" si="57"/>
        <v>0</v>
      </c>
      <c r="AD80" s="107">
        <f t="shared" si="57"/>
        <v>13</v>
      </c>
      <c r="AE80" s="107">
        <f t="shared" si="57"/>
        <v>0</v>
      </c>
      <c r="AF80" s="101"/>
      <c r="AG80" s="102">
        <f t="shared" si="3"/>
        <v>-4.8316906031686813E-12</v>
      </c>
    </row>
    <row r="81" spans="1:33" x14ac:dyDescent="0.3">
      <c r="A81" s="130" t="s">
        <v>32</v>
      </c>
      <c r="B81" s="107">
        <f>J81+L81+N81+P81+R81+T81+V81+X81+Z81+AB81+AD81+H81</f>
        <v>2147450.1998300003</v>
      </c>
      <c r="C81" s="866">
        <f t="shared" ref="C81:C82" si="58">SUM(H81+J81+L81)</f>
        <v>573701.48557999998</v>
      </c>
      <c r="D81" s="866">
        <f t="shared" si="55"/>
        <v>540077.11</v>
      </c>
      <c r="E81" s="866">
        <f t="shared" si="56"/>
        <v>540077.11</v>
      </c>
      <c r="F81" s="107">
        <f t="shared" si="51"/>
        <v>25.149691948281472</v>
      </c>
      <c r="G81" s="107">
        <f t="shared" si="52"/>
        <v>94.139046799572697</v>
      </c>
      <c r="H81" s="107">
        <f>H87+H117+H123</f>
        <v>160097.37999999998</v>
      </c>
      <c r="I81" s="107">
        <f t="shared" ref="H81:W83" si="59">I87+I117+I123</f>
        <v>33973.1</v>
      </c>
      <c r="J81" s="107">
        <f t="shared" si="59"/>
        <v>218612.98979000002</v>
      </c>
      <c r="K81" s="107">
        <f t="shared" si="59"/>
        <v>181495.2</v>
      </c>
      <c r="L81" s="107">
        <f t="shared" si="59"/>
        <v>194991.11578999998</v>
      </c>
      <c r="M81" s="107">
        <f t="shared" si="59"/>
        <v>154056.82</v>
      </c>
      <c r="N81" s="107">
        <f t="shared" si="59"/>
        <v>234100.05578999998</v>
      </c>
      <c r="O81" s="107">
        <f t="shared" si="59"/>
        <v>170551.99</v>
      </c>
      <c r="P81" s="107">
        <f t="shared" si="59"/>
        <v>385801.36377</v>
      </c>
      <c r="Q81" s="107">
        <f t="shared" si="59"/>
        <v>0</v>
      </c>
      <c r="R81" s="107">
        <f t="shared" si="59"/>
        <v>178566.72378</v>
      </c>
      <c r="S81" s="107">
        <f t="shared" si="59"/>
        <v>0</v>
      </c>
      <c r="T81" s="107">
        <f t="shared" si="59"/>
        <v>127819.16379000001</v>
      </c>
      <c r="U81" s="107">
        <f t="shared" si="59"/>
        <v>0</v>
      </c>
      <c r="V81" s="107">
        <f t="shared" si="59"/>
        <v>92210.165789999999</v>
      </c>
      <c r="W81" s="107">
        <f t="shared" si="59"/>
        <v>0</v>
      </c>
      <c r="X81" s="107">
        <f t="shared" si="57"/>
        <v>120484.50879000001</v>
      </c>
      <c r="Y81" s="107">
        <f t="shared" si="57"/>
        <v>0</v>
      </c>
      <c r="Z81" s="107">
        <f t="shared" si="57"/>
        <v>114695.95379</v>
      </c>
      <c r="AA81" s="107">
        <f t="shared" si="57"/>
        <v>0</v>
      </c>
      <c r="AB81" s="107">
        <f t="shared" si="57"/>
        <v>107459.51379</v>
      </c>
      <c r="AC81" s="107">
        <f t="shared" si="57"/>
        <v>0</v>
      </c>
      <c r="AD81" s="107">
        <f t="shared" si="57"/>
        <v>212611.26496</v>
      </c>
      <c r="AE81" s="107">
        <f t="shared" si="57"/>
        <v>0</v>
      </c>
      <c r="AF81" s="101"/>
      <c r="AG81" s="102">
        <f t="shared" si="3"/>
        <v>5.8207660913467407E-10</v>
      </c>
    </row>
    <row r="82" spans="1:33" x14ac:dyDescent="0.3">
      <c r="A82" s="130" t="s">
        <v>33</v>
      </c>
      <c r="B82" s="107">
        <f t="shared" si="54"/>
        <v>411116.7</v>
      </c>
      <c r="C82" s="866">
        <f t="shared" si="58"/>
        <v>163850.08000000002</v>
      </c>
      <c r="D82" s="866">
        <f t="shared" si="55"/>
        <v>201241.17</v>
      </c>
      <c r="E82" s="866">
        <f t="shared" si="56"/>
        <v>201241.17</v>
      </c>
      <c r="F82" s="107">
        <f t="shared" si="51"/>
        <v>48.949889410962875</v>
      </c>
      <c r="G82" s="107">
        <f t="shared" si="52"/>
        <v>122.82030622139457</v>
      </c>
      <c r="H82" s="107">
        <f t="shared" si="59"/>
        <v>52941.1</v>
      </c>
      <c r="I82" s="107">
        <f t="shared" si="57"/>
        <v>52207.3</v>
      </c>
      <c r="J82" s="107">
        <f t="shared" si="57"/>
        <v>67459.37</v>
      </c>
      <c r="K82" s="107">
        <f t="shared" si="57"/>
        <v>68193.149999999994</v>
      </c>
      <c r="L82" s="107">
        <f t="shared" si="57"/>
        <v>43449.61</v>
      </c>
      <c r="M82" s="107">
        <f t="shared" si="57"/>
        <v>43425.15</v>
      </c>
      <c r="N82" s="107">
        <f t="shared" si="57"/>
        <v>37415.54</v>
      </c>
      <c r="O82" s="107">
        <f t="shared" si="57"/>
        <v>37415.57</v>
      </c>
      <c r="P82" s="107">
        <f t="shared" si="57"/>
        <v>39256.01</v>
      </c>
      <c r="Q82" s="107">
        <f t="shared" si="57"/>
        <v>0</v>
      </c>
      <c r="R82" s="107">
        <f t="shared" si="57"/>
        <v>35938.43</v>
      </c>
      <c r="S82" s="107">
        <f t="shared" si="57"/>
        <v>0</v>
      </c>
      <c r="T82" s="107">
        <f t="shared" si="57"/>
        <v>28576.39</v>
      </c>
      <c r="U82" s="107">
        <f t="shared" si="57"/>
        <v>0</v>
      </c>
      <c r="V82" s="107">
        <f t="shared" si="57"/>
        <v>21492.639999999999</v>
      </c>
      <c r="W82" s="107">
        <f t="shared" si="57"/>
        <v>0</v>
      </c>
      <c r="X82" s="107">
        <f t="shared" si="57"/>
        <v>22682.51</v>
      </c>
      <c r="Y82" s="107">
        <f t="shared" si="57"/>
        <v>0</v>
      </c>
      <c r="Z82" s="107">
        <f t="shared" si="57"/>
        <v>25061.7</v>
      </c>
      <c r="AA82" s="107">
        <f t="shared" si="57"/>
        <v>0</v>
      </c>
      <c r="AB82" s="107">
        <f t="shared" si="57"/>
        <v>22266.19</v>
      </c>
      <c r="AC82" s="107">
        <f t="shared" si="57"/>
        <v>0</v>
      </c>
      <c r="AD82" s="107">
        <f t="shared" si="57"/>
        <v>14577.21</v>
      </c>
      <c r="AE82" s="107">
        <f t="shared" si="57"/>
        <v>0</v>
      </c>
      <c r="AF82" s="101"/>
      <c r="AG82" s="102">
        <f t="shared" si="3"/>
        <v>5.4569682106375694E-11</v>
      </c>
    </row>
    <row r="83" spans="1:33" x14ac:dyDescent="0.3">
      <c r="A83" s="130" t="s">
        <v>170</v>
      </c>
      <c r="B83" s="107">
        <f t="shared" si="54"/>
        <v>10179</v>
      </c>
      <c r="C83" s="866">
        <f t="shared" ref="C83" si="60">SUM(H83)</f>
        <v>0</v>
      </c>
      <c r="D83" s="866">
        <f t="shared" si="55"/>
        <v>7341</v>
      </c>
      <c r="E83" s="866">
        <f t="shared" si="56"/>
        <v>7341</v>
      </c>
      <c r="F83" s="107">
        <f t="shared" si="51"/>
        <v>72.119068670792814</v>
      </c>
      <c r="G83" s="107">
        <f t="shared" si="52"/>
        <v>0</v>
      </c>
      <c r="H83" s="107">
        <f t="shared" si="59"/>
        <v>0</v>
      </c>
      <c r="I83" s="107">
        <f t="shared" si="57"/>
        <v>0</v>
      </c>
      <c r="J83" s="107">
        <f t="shared" si="57"/>
        <v>0</v>
      </c>
      <c r="K83" s="107">
        <f t="shared" si="57"/>
        <v>0</v>
      </c>
      <c r="L83" s="107">
        <f t="shared" si="57"/>
        <v>3230</v>
      </c>
      <c r="M83" s="107">
        <f t="shared" si="57"/>
        <v>3230</v>
      </c>
      <c r="N83" s="107">
        <f t="shared" si="57"/>
        <v>4471.5</v>
      </c>
      <c r="O83" s="107">
        <f t="shared" si="57"/>
        <v>4111</v>
      </c>
      <c r="P83" s="107">
        <f t="shared" si="57"/>
        <v>0</v>
      </c>
      <c r="Q83" s="107">
        <f t="shared" si="57"/>
        <v>0</v>
      </c>
      <c r="R83" s="107">
        <f t="shared" si="57"/>
        <v>0</v>
      </c>
      <c r="S83" s="107">
        <f t="shared" si="57"/>
        <v>0</v>
      </c>
      <c r="T83" s="107">
        <f t="shared" si="57"/>
        <v>0</v>
      </c>
      <c r="U83" s="107">
        <f t="shared" si="57"/>
        <v>0</v>
      </c>
      <c r="V83" s="107">
        <f t="shared" si="57"/>
        <v>0</v>
      </c>
      <c r="W83" s="107">
        <f t="shared" si="57"/>
        <v>0</v>
      </c>
      <c r="X83" s="107">
        <f t="shared" si="57"/>
        <v>0</v>
      </c>
      <c r="Y83" s="107">
        <f t="shared" si="57"/>
        <v>0</v>
      </c>
      <c r="Z83" s="107">
        <f t="shared" si="57"/>
        <v>0</v>
      </c>
      <c r="AA83" s="107">
        <f t="shared" si="57"/>
        <v>0</v>
      </c>
      <c r="AB83" s="107">
        <f t="shared" si="57"/>
        <v>0</v>
      </c>
      <c r="AC83" s="107">
        <f t="shared" si="57"/>
        <v>0</v>
      </c>
      <c r="AD83" s="107">
        <f t="shared" si="57"/>
        <v>2477.5</v>
      </c>
      <c r="AE83" s="107">
        <f t="shared" si="57"/>
        <v>0</v>
      </c>
      <c r="AF83" s="101"/>
      <c r="AG83" s="102">
        <f t="shared" si="3"/>
        <v>0</v>
      </c>
    </row>
    <row r="84" spans="1:33" s="97" customFormat="1" ht="97.5" customHeight="1" x14ac:dyDescent="0.3">
      <c r="A84" s="213" t="s">
        <v>612</v>
      </c>
      <c r="B84" s="131"/>
      <c r="C84" s="132"/>
      <c r="D84" s="132"/>
      <c r="E84" s="132"/>
      <c r="F84" s="132"/>
      <c r="G84" s="132"/>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5"/>
      <c r="AG84" s="216">
        <f t="shared" si="3"/>
        <v>0</v>
      </c>
    </row>
    <row r="85" spans="1:33" s="97" customFormat="1" x14ac:dyDescent="0.3">
      <c r="A85" s="127" t="s">
        <v>31</v>
      </c>
      <c r="B85" s="113">
        <f>B87+B88+B86+B89</f>
        <v>2618117.6998299998</v>
      </c>
      <c r="C85" s="113">
        <f>C87+C88+C86+C89</f>
        <v>1028613.29137</v>
      </c>
      <c r="D85" s="113">
        <f>D87+D88+D86+D89</f>
        <v>761720.97000000009</v>
      </c>
      <c r="E85" s="113">
        <f>E87+E88+E86+E89</f>
        <v>761720.97000000009</v>
      </c>
      <c r="F85" s="113">
        <f>IFERROR(E85/B85*100,0)</f>
        <v>29.094221778091196</v>
      </c>
      <c r="G85" s="113">
        <f>IFERROR(E85/C85*100,0)</f>
        <v>74.053191455991325</v>
      </c>
      <c r="H85" s="113">
        <f t="shared" ref="H85:AE85" si="61">H87+H88+H86+H89</f>
        <v>216140.75999999998</v>
      </c>
      <c r="I85" s="113">
        <f t="shared" si="61"/>
        <v>90192.7</v>
      </c>
      <c r="J85" s="113">
        <f t="shared" si="61"/>
        <v>286163.90979000006</v>
      </c>
      <c r="K85" s="113">
        <f t="shared" si="61"/>
        <v>249918.55</v>
      </c>
      <c r="L85" s="113">
        <f t="shared" si="61"/>
        <v>241752.24578999999</v>
      </c>
      <c r="M85" s="113">
        <f t="shared" si="61"/>
        <v>201105.97</v>
      </c>
      <c r="N85" s="113">
        <f t="shared" si="61"/>
        <v>284556.37579000002</v>
      </c>
      <c r="O85" s="113">
        <f t="shared" si="61"/>
        <v>220503.75</v>
      </c>
      <c r="P85" s="113">
        <f t="shared" si="61"/>
        <v>434317.07377000002</v>
      </c>
      <c r="Q85" s="113">
        <f t="shared" si="61"/>
        <v>0</v>
      </c>
      <c r="R85" s="113">
        <f t="shared" si="61"/>
        <v>222699.88378</v>
      </c>
      <c r="S85" s="113">
        <f t="shared" si="61"/>
        <v>0</v>
      </c>
      <c r="T85" s="113">
        <f t="shared" si="61"/>
        <v>155628.37379000001</v>
      </c>
      <c r="U85" s="113">
        <f t="shared" si="61"/>
        <v>0</v>
      </c>
      <c r="V85" s="113">
        <f t="shared" si="61"/>
        <v>113790.29579</v>
      </c>
      <c r="W85" s="113">
        <f t="shared" si="61"/>
        <v>0</v>
      </c>
      <c r="X85" s="113">
        <f t="shared" si="61"/>
        <v>143892.65879000002</v>
      </c>
      <c r="Y85" s="113">
        <f t="shared" si="61"/>
        <v>0</v>
      </c>
      <c r="Z85" s="113">
        <f t="shared" si="61"/>
        <v>140466.10379000002</v>
      </c>
      <c r="AA85" s="113">
        <f t="shared" si="61"/>
        <v>0</v>
      </c>
      <c r="AB85" s="113">
        <f t="shared" si="61"/>
        <v>129138.24378999999</v>
      </c>
      <c r="AC85" s="113">
        <f t="shared" si="61"/>
        <v>0</v>
      </c>
      <c r="AD85" s="113">
        <f t="shared" si="61"/>
        <v>176917.17496</v>
      </c>
      <c r="AE85" s="113">
        <f t="shared" si="61"/>
        <v>0</v>
      </c>
      <c r="AF85" s="215"/>
      <c r="AG85" s="216">
        <f t="shared" si="3"/>
        <v>72654.599999999889</v>
      </c>
    </row>
    <row r="86" spans="1:33" s="97" customFormat="1" x14ac:dyDescent="0.3">
      <c r="A86" s="127" t="s">
        <v>169</v>
      </c>
      <c r="B86" s="113">
        <f>B92+B98+B104+B110</f>
        <v>49371.799999999996</v>
      </c>
      <c r="C86" s="113">
        <f>C92+C98+C104+C110</f>
        <v>24877.43</v>
      </c>
      <c r="D86" s="113">
        <f t="shared" ref="D86:E86" si="62">D92+D98+D104+D110</f>
        <v>24198</v>
      </c>
      <c r="E86" s="113">
        <f t="shared" si="62"/>
        <v>24198</v>
      </c>
      <c r="F86" s="113">
        <f t="shared" ref="F86:F87" si="63">IFERROR(E86/B86*100,0)</f>
        <v>49.011784054865331</v>
      </c>
      <c r="G86" s="113">
        <f t="shared" ref="G86:G87" si="64">IFERROR(E86/C86*100,0)</f>
        <v>97.268889913467746</v>
      </c>
      <c r="H86" s="113">
        <f t="shared" ref="H86:AE89" si="65">H92+H98+H104+H110</f>
        <v>4082.28</v>
      </c>
      <c r="I86" s="113">
        <f t="shared" si="65"/>
        <v>4012.3</v>
      </c>
      <c r="J86" s="113">
        <f t="shared" si="65"/>
        <v>4046.15</v>
      </c>
      <c r="K86" s="113">
        <f t="shared" si="65"/>
        <v>3924.3</v>
      </c>
      <c r="L86" s="113">
        <f t="shared" si="65"/>
        <v>4209.92</v>
      </c>
      <c r="M86" s="113">
        <f t="shared" si="65"/>
        <v>4194.3999999999996</v>
      </c>
      <c r="N86" s="113">
        <f t="shared" si="65"/>
        <v>12539.08</v>
      </c>
      <c r="O86" s="113">
        <f t="shared" si="65"/>
        <v>12067</v>
      </c>
      <c r="P86" s="113">
        <f t="shared" si="65"/>
        <v>10239.700000000001</v>
      </c>
      <c r="Q86" s="113">
        <f t="shared" si="65"/>
        <v>0</v>
      </c>
      <c r="R86" s="113">
        <f t="shared" si="65"/>
        <v>9174.73</v>
      </c>
      <c r="S86" s="113">
        <f t="shared" si="65"/>
        <v>0</v>
      </c>
      <c r="T86" s="113">
        <f t="shared" si="65"/>
        <v>212.82</v>
      </c>
      <c r="U86" s="113">
        <f t="shared" si="65"/>
        <v>0</v>
      </c>
      <c r="V86" s="113">
        <f t="shared" si="65"/>
        <v>1067.49</v>
      </c>
      <c r="W86" s="113">
        <f t="shared" si="65"/>
        <v>0</v>
      </c>
      <c r="X86" s="113">
        <f t="shared" si="65"/>
        <v>1705.64</v>
      </c>
      <c r="Y86" s="113">
        <f t="shared" si="65"/>
        <v>0</v>
      </c>
      <c r="Z86" s="113">
        <f t="shared" si="65"/>
        <v>1688.45</v>
      </c>
      <c r="AA86" s="113">
        <f t="shared" si="65"/>
        <v>0</v>
      </c>
      <c r="AB86" s="113">
        <f t="shared" si="65"/>
        <v>392.54</v>
      </c>
      <c r="AC86" s="113">
        <f t="shared" si="65"/>
        <v>0</v>
      </c>
      <c r="AD86" s="113">
        <f t="shared" si="65"/>
        <v>13</v>
      </c>
      <c r="AE86" s="113">
        <f t="shared" si="65"/>
        <v>0</v>
      </c>
      <c r="AF86" s="215"/>
      <c r="AG86" s="216">
        <f t="shared" si="3"/>
        <v>-4.8316906031686813E-12</v>
      </c>
    </row>
    <row r="87" spans="1:33" s="97" customFormat="1" x14ac:dyDescent="0.3">
      <c r="A87" s="127" t="s">
        <v>32</v>
      </c>
      <c r="B87" s="113">
        <f>B93+B99+B105+B111+B117+B123</f>
        <v>2147450.1998299998</v>
      </c>
      <c r="C87" s="113">
        <f t="shared" ref="B87:E89" si="66">C93+C99+C105+C111</f>
        <v>794768.74136999995</v>
      </c>
      <c r="D87" s="113">
        <f t="shared" si="66"/>
        <v>528940.80000000005</v>
      </c>
      <c r="E87" s="113">
        <f t="shared" si="66"/>
        <v>528940.80000000005</v>
      </c>
      <c r="F87" s="113">
        <f t="shared" si="63"/>
        <v>24.631109026038089</v>
      </c>
      <c r="G87" s="113">
        <f t="shared" si="64"/>
        <v>66.552793594804299</v>
      </c>
      <c r="H87" s="113">
        <f>H93+H99+H105+H111</f>
        <v>159117.37999999998</v>
      </c>
      <c r="I87" s="113">
        <f t="shared" si="65"/>
        <v>33973.1</v>
      </c>
      <c r="J87" s="113">
        <f t="shared" si="65"/>
        <v>214658.38979000002</v>
      </c>
      <c r="K87" s="113">
        <f t="shared" si="65"/>
        <v>177801.1</v>
      </c>
      <c r="L87" s="113">
        <f t="shared" si="65"/>
        <v>190862.71578999999</v>
      </c>
      <c r="M87" s="113">
        <f t="shared" si="65"/>
        <v>150256.42000000001</v>
      </c>
      <c r="N87" s="113">
        <f t="shared" si="65"/>
        <v>230130.25579</v>
      </c>
      <c r="O87" s="113">
        <f t="shared" si="65"/>
        <v>166910.18</v>
      </c>
      <c r="P87" s="113">
        <f t="shared" si="65"/>
        <v>384821.36377</v>
      </c>
      <c r="Q87" s="113">
        <f t="shared" si="65"/>
        <v>0</v>
      </c>
      <c r="R87" s="113">
        <f t="shared" si="65"/>
        <v>177586.72378</v>
      </c>
      <c r="S87" s="113">
        <f t="shared" si="65"/>
        <v>0</v>
      </c>
      <c r="T87" s="113">
        <f t="shared" si="65"/>
        <v>126839.16379000001</v>
      </c>
      <c r="U87" s="113">
        <f t="shared" si="65"/>
        <v>0</v>
      </c>
      <c r="V87" s="113">
        <f t="shared" si="65"/>
        <v>91230.165789999999</v>
      </c>
      <c r="W87" s="113">
        <f t="shared" si="65"/>
        <v>0</v>
      </c>
      <c r="X87" s="113">
        <f t="shared" si="65"/>
        <v>119504.50879000001</v>
      </c>
      <c r="Y87" s="113">
        <f t="shared" si="65"/>
        <v>0</v>
      </c>
      <c r="Z87" s="113">
        <f t="shared" si="65"/>
        <v>113715.95379</v>
      </c>
      <c r="AA87" s="113">
        <f t="shared" si="65"/>
        <v>0</v>
      </c>
      <c r="AB87" s="113">
        <f t="shared" si="65"/>
        <v>106479.51379</v>
      </c>
      <c r="AC87" s="113">
        <f t="shared" si="65"/>
        <v>0</v>
      </c>
      <c r="AD87" s="113">
        <f t="shared" si="65"/>
        <v>159849.46496000001</v>
      </c>
      <c r="AE87" s="113">
        <f t="shared" si="65"/>
        <v>0</v>
      </c>
      <c r="AF87" s="215"/>
      <c r="AG87" s="216">
        <f t="shared" si="3"/>
        <v>72654.599999999919</v>
      </c>
    </row>
    <row r="88" spans="1:33" s="97" customFormat="1" x14ac:dyDescent="0.3">
      <c r="A88" s="112" t="s">
        <v>33</v>
      </c>
      <c r="B88" s="113">
        <f t="shared" si="66"/>
        <v>411116.7</v>
      </c>
      <c r="C88" s="113">
        <f t="shared" si="66"/>
        <v>201265.62000000002</v>
      </c>
      <c r="D88" s="113">
        <f t="shared" si="66"/>
        <v>201241.17</v>
      </c>
      <c r="E88" s="113">
        <f t="shared" si="66"/>
        <v>201241.17</v>
      </c>
      <c r="F88" s="113">
        <f>IFERROR(E88/B88*100,0)</f>
        <v>48.949889410962875</v>
      </c>
      <c r="G88" s="113">
        <f>IFERROR(E88/C88*100,0)</f>
        <v>99.987851874552632</v>
      </c>
      <c r="H88" s="113">
        <f t="shared" si="65"/>
        <v>52941.1</v>
      </c>
      <c r="I88" s="113">
        <f t="shared" si="65"/>
        <v>52207.3</v>
      </c>
      <c r="J88" s="113">
        <f t="shared" si="65"/>
        <v>67459.37</v>
      </c>
      <c r="K88" s="113">
        <f t="shared" si="65"/>
        <v>68193.149999999994</v>
      </c>
      <c r="L88" s="113">
        <f t="shared" si="65"/>
        <v>43449.61</v>
      </c>
      <c r="M88" s="113">
        <f t="shared" si="65"/>
        <v>43425.15</v>
      </c>
      <c r="N88" s="113">
        <f t="shared" si="65"/>
        <v>37415.54</v>
      </c>
      <c r="O88" s="113">
        <f t="shared" si="65"/>
        <v>37415.57</v>
      </c>
      <c r="P88" s="113">
        <f t="shared" si="65"/>
        <v>39256.01</v>
      </c>
      <c r="Q88" s="113">
        <f t="shared" si="65"/>
        <v>0</v>
      </c>
      <c r="R88" s="113">
        <f t="shared" si="65"/>
        <v>35938.43</v>
      </c>
      <c r="S88" s="113">
        <f t="shared" si="65"/>
        <v>0</v>
      </c>
      <c r="T88" s="113">
        <f t="shared" si="65"/>
        <v>28576.39</v>
      </c>
      <c r="U88" s="113">
        <f t="shared" si="65"/>
        <v>0</v>
      </c>
      <c r="V88" s="113">
        <f t="shared" si="65"/>
        <v>21492.639999999999</v>
      </c>
      <c r="W88" s="113">
        <f t="shared" si="65"/>
        <v>0</v>
      </c>
      <c r="X88" s="113">
        <f t="shared" si="65"/>
        <v>22682.51</v>
      </c>
      <c r="Y88" s="113">
        <f t="shared" si="65"/>
        <v>0</v>
      </c>
      <c r="Z88" s="113">
        <f t="shared" si="65"/>
        <v>25061.7</v>
      </c>
      <c r="AA88" s="113">
        <f t="shared" si="65"/>
        <v>0</v>
      </c>
      <c r="AB88" s="113">
        <f t="shared" si="65"/>
        <v>22266.19</v>
      </c>
      <c r="AC88" s="113">
        <f t="shared" si="65"/>
        <v>0</v>
      </c>
      <c r="AD88" s="113">
        <f t="shared" si="65"/>
        <v>14577.21</v>
      </c>
      <c r="AE88" s="113">
        <f t="shared" si="65"/>
        <v>0</v>
      </c>
      <c r="AF88" s="215"/>
      <c r="AG88" s="216">
        <f t="shared" si="3"/>
        <v>5.4569682106375694E-11</v>
      </c>
    </row>
    <row r="89" spans="1:33" s="97" customFormat="1" x14ac:dyDescent="0.3">
      <c r="A89" s="112" t="s">
        <v>170</v>
      </c>
      <c r="B89" s="113">
        <f t="shared" si="66"/>
        <v>10179</v>
      </c>
      <c r="C89" s="113">
        <f>C95+C101+C107+C113</f>
        <v>7701.5</v>
      </c>
      <c r="D89" s="113">
        <f t="shared" si="66"/>
        <v>7341</v>
      </c>
      <c r="E89" s="113">
        <f t="shared" si="66"/>
        <v>7341</v>
      </c>
      <c r="F89" s="113">
        <f t="shared" ref="F89" si="67">IFERROR(E89/B89*100,0)</f>
        <v>72.119068670792814</v>
      </c>
      <c r="G89" s="113">
        <f t="shared" ref="G89" si="68">IFERROR(E89/C89*100,0)</f>
        <v>95.319093683048763</v>
      </c>
      <c r="H89" s="113">
        <f t="shared" si="65"/>
        <v>0</v>
      </c>
      <c r="I89" s="113">
        <f t="shared" si="65"/>
        <v>0</v>
      </c>
      <c r="J89" s="113">
        <f t="shared" si="65"/>
        <v>0</v>
      </c>
      <c r="K89" s="113">
        <f t="shared" si="65"/>
        <v>0</v>
      </c>
      <c r="L89" s="113">
        <f t="shared" si="65"/>
        <v>3230</v>
      </c>
      <c r="M89" s="113">
        <f t="shared" si="65"/>
        <v>3230</v>
      </c>
      <c r="N89" s="113">
        <f t="shared" si="65"/>
        <v>4471.5</v>
      </c>
      <c r="O89" s="113">
        <f t="shared" si="65"/>
        <v>4111</v>
      </c>
      <c r="P89" s="113">
        <f t="shared" si="65"/>
        <v>0</v>
      </c>
      <c r="Q89" s="113">
        <f t="shared" si="65"/>
        <v>0</v>
      </c>
      <c r="R89" s="113">
        <f t="shared" si="65"/>
        <v>0</v>
      </c>
      <c r="S89" s="113">
        <f t="shared" si="65"/>
        <v>0</v>
      </c>
      <c r="T89" s="113">
        <f t="shared" si="65"/>
        <v>0</v>
      </c>
      <c r="U89" s="113">
        <f t="shared" si="65"/>
        <v>0</v>
      </c>
      <c r="V89" s="113">
        <f t="shared" si="65"/>
        <v>0</v>
      </c>
      <c r="W89" s="113">
        <f t="shared" si="65"/>
        <v>0</v>
      </c>
      <c r="X89" s="113">
        <f t="shared" si="65"/>
        <v>0</v>
      </c>
      <c r="Y89" s="113">
        <f t="shared" si="65"/>
        <v>0</v>
      </c>
      <c r="Z89" s="113">
        <f t="shared" si="65"/>
        <v>0</v>
      </c>
      <c r="AA89" s="113">
        <f t="shared" si="65"/>
        <v>0</v>
      </c>
      <c r="AB89" s="113">
        <f t="shared" si="65"/>
        <v>0</v>
      </c>
      <c r="AC89" s="113">
        <f t="shared" si="65"/>
        <v>0</v>
      </c>
      <c r="AD89" s="113">
        <f t="shared" si="65"/>
        <v>2477.5</v>
      </c>
      <c r="AE89" s="113">
        <f t="shared" si="65"/>
        <v>0</v>
      </c>
      <c r="AF89" s="215"/>
      <c r="AG89" s="216">
        <f t="shared" si="3"/>
        <v>0</v>
      </c>
    </row>
    <row r="90" spans="1:33" ht="197.25" customHeight="1" x14ac:dyDescent="0.3">
      <c r="A90" s="864" t="s">
        <v>610</v>
      </c>
      <c r="B90" s="642"/>
      <c r="C90" s="110"/>
      <c r="D90" s="110"/>
      <c r="E90" s="110"/>
      <c r="F90" s="110"/>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29"/>
      <c r="AG90" s="102">
        <f t="shared" si="3"/>
        <v>0</v>
      </c>
    </row>
    <row r="91" spans="1:33" s="637" customFormat="1" x14ac:dyDescent="0.3">
      <c r="A91" s="863" t="s">
        <v>31</v>
      </c>
      <c r="B91" s="856">
        <f>B93+B94+B92+B95</f>
        <v>49371.799999999996</v>
      </c>
      <c r="C91" s="856">
        <f>C93+C94+C92+C95</f>
        <v>24877.43</v>
      </c>
      <c r="D91" s="856">
        <f>D93+D94+D92+D95</f>
        <v>24198</v>
      </c>
      <c r="E91" s="856">
        <f>E93+E94+E92+E95</f>
        <v>24198</v>
      </c>
      <c r="F91" s="856">
        <f>IFERROR(E91/B91*100,0)</f>
        <v>49.011784054865331</v>
      </c>
      <c r="G91" s="856">
        <f>IFERROR(E91/C91*100,0)</f>
        <v>97.268889913467746</v>
      </c>
      <c r="H91" s="856">
        <f t="shared" ref="H91:AE91" si="69">H93+H94+H92+H95</f>
        <v>4082.28</v>
      </c>
      <c r="I91" s="856">
        <f t="shared" si="69"/>
        <v>4012.3</v>
      </c>
      <c r="J91" s="856">
        <f t="shared" si="69"/>
        <v>4046.15</v>
      </c>
      <c r="K91" s="856">
        <f t="shared" si="69"/>
        <v>3924.3</v>
      </c>
      <c r="L91" s="856">
        <f t="shared" si="69"/>
        <v>4209.92</v>
      </c>
      <c r="M91" s="856">
        <f t="shared" si="69"/>
        <v>4194.3999999999996</v>
      </c>
      <c r="N91" s="856">
        <f t="shared" si="69"/>
        <v>12539.08</v>
      </c>
      <c r="O91" s="856">
        <f t="shared" si="69"/>
        <v>12067</v>
      </c>
      <c r="P91" s="856">
        <f t="shared" si="69"/>
        <v>10239.700000000001</v>
      </c>
      <c r="Q91" s="856">
        <f t="shared" si="69"/>
        <v>0</v>
      </c>
      <c r="R91" s="856">
        <f t="shared" si="69"/>
        <v>9174.73</v>
      </c>
      <c r="S91" s="856">
        <f t="shared" si="69"/>
        <v>0</v>
      </c>
      <c r="T91" s="856">
        <f t="shared" si="69"/>
        <v>212.82</v>
      </c>
      <c r="U91" s="856">
        <f t="shared" si="69"/>
        <v>0</v>
      </c>
      <c r="V91" s="856">
        <f t="shared" si="69"/>
        <v>1067.49</v>
      </c>
      <c r="W91" s="856">
        <f t="shared" si="69"/>
        <v>0</v>
      </c>
      <c r="X91" s="856">
        <f t="shared" si="69"/>
        <v>1705.64</v>
      </c>
      <c r="Y91" s="856">
        <f t="shared" si="69"/>
        <v>0</v>
      </c>
      <c r="Z91" s="856">
        <f t="shared" si="69"/>
        <v>1688.45</v>
      </c>
      <c r="AA91" s="856">
        <f t="shared" si="69"/>
        <v>0</v>
      </c>
      <c r="AB91" s="856">
        <f t="shared" si="69"/>
        <v>392.54</v>
      </c>
      <c r="AC91" s="856">
        <f t="shared" si="69"/>
        <v>0</v>
      </c>
      <c r="AD91" s="856">
        <f t="shared" si="69"/>
        <v>13</v>
      </c>
      <c r="AE91" s="856">
        <f t="shared" si="69"/>
        <v>0</v>
      </c>
      <c r="AF91" s="635"/>
      <c r="AG91" s="636">
        <f t="shared" si="3"/>
        <v>-4.8316906031686813E-12</v>
      </c>
    </row>
    <row r="92" spans="1:33" x14ac:dyDescent="0.3">
      <c r="A92" s="641" t="s">
        <v>169</v>
      </c>
      <c r="B92" s="642">
        <f>J92+L92+N92+P92+R92+T92+V92+X92+Z92+AB92+AD92+H92</f>
        <v>49371.799999999996</v>
      </c>
      <c r="C92" s="117">
        <f>H92+J92+L92+N92</f>
        <v>24877.43</v>
      </c>
      <c r="D92" s="853">
        <f>E92</f>
        <v>24198</v>
      </c>
      <c r="E92" s="117">
        <f>SUM(I92,K92,M92,O92,Q92,S92,U92,W92,Y92,AA92,AC92,AE92)</f>
        <v>24198</v>
      </c>
      <c r="F92" s="116">
        <f>IFERROR(E92/B92*100,0)</f>
        <v>49.011784054865331</v>
      </c>
      <c r="G92" s="116">
        <f>IFERROR(E92/C92*100,0)</f>
        <v>97.268889913467746</v>
      </c>
      <c r="H92" s="111">
        <v>4082.28</v>
      </c>
      <c r="I92" s="111">
        <v>4012.3</v>
      </c>
      <c r="J92" s="111">
        <v>4046.15</v>
      </c>
      <c r="K92" s="111">
        <v>3924.3</v>
      </c>
      <c r="L92" s="111">
        <v>4209.92</v>
      </c>
      <c r="M92" s="111">
        <v>4194.3999999999996</v>
      </c>
      <c r="N92" s="111">
        <v>12539.08</v>
      </c>
      <c r="O92" s="111">
        <v>12067</v>
      </c>
      <c r="P92" s="111">
        <v>10239.700000000001</v>
      </c>
      <c r="Q92" s="111"/>
      <c r="R92" s="111">
        <v>9174.73</v>
      </c>
      <c r="S92" s="111"/>
      <c r="T92" s="111">
        <v>212.82</v>
      </c>
      <c r="U92" s="111"/>
      <c r="V92" s="111">
        <v>1067.49</v>
      </c>
      <c r="W92" s="111"/>
      <c r="X92" s="111">
        <v>1705.64</v>
      </c>
      <c r="Y92" s="111"/>
      <c r="Z92" s="111">
        <v>1688.45</v>
      </c>
      <c r="AA92" s="111"/>
      <c r="AB92" s="111">
        <v>392.54</v>
      </c>
      <c r="AC92" s="111"/>
      <c r="AD92" s="111">
        <v>13</v>
      </c>
      <c r="AE92" s="111"/>
      <c r="AF92" s="29"/>
      <c r="AG92" s="102">
        <f t="shared" si="3"/>
        <v>-4.8316906031686813E-12</v>
      </c>
    </row>
    <row r="93" spans="1:33" x14ac:dyDescent="0.3">
      <c r="A93" s="641" t="s">
        <v>32</v>
      </c>
      <c r="B93" s="642"/>
      <c r="C93" s="117"/>
      <c r="D93" s="118"/>
      <c r="E93" s="117"/>
      <c r="F93" s="116"/>
      <c r="G93" s="116"/>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29"/>
      <c r="AG93" s="102">
        <f t="shared" si="3"/>
        <v>0</v>
      </c>
    </row>
    <row r="94" spans="1:33" x14ac:dyDescent="0.3">
      <c r="A94" s="641" t="s">
        <v>33</v>
      </c>
      <c r="B94" s="642">
        <f>J94+L94+N94+P94+R94+T94+V94+X94+Z94+AB94+AD94+H94</f>
        <v>0</v>
      </c>
      <c r="C94" s="117">
        <f>SUM(H94)</f>
        <v>0</v>
      </c>
      <c r="D94" s="118">
        <f>E94</f>
        <v>0</v>
      </c>
      <c r="E94" s="117">
        <f>SUM(I94,K94,M94,O94,Q94,S94,U94,W94,Y94,AA94,AC94,AE94)</f>
        <v>0</v>
      </c>
      <c r="F94" s="116">
        <f>IFERROR(E94/B94*100,0)</f>
        <v>0</v>
      </c>
      <c r="G94" s="116">
        <f>IFERROR(E94/C94*100,0)</f>
        <v>0</v>
      </c>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29"/>
      <c r="AG94" s="102">
        <f t="shared" si="3"/>
        <v>0</v>
      </c>
    </row>
    <row r="95" spans="1:33" x14ac:dyDescent="0.3">
      <c r="A95" s="641" t="s">
        <v>170</v>
      </c>
      <c r="B95" s="642"/>
      <c r="C95" s="117"/>
      <c r="D95" s="118"/>
      <c r="E95" s="117"/>
      <c r="F95" s="116"/>
      <c r="G95" s="116"/>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29"/>
      <c r="AG95" s="102">
        <f t="shared" si="3"/>
        <v>0</v>
      </c>
    </row>
    <row r="96" spans="1:33" ht="65.25" customHeight="1" x14ac:dyDescent="0.3">
      <c r="A96" s="851" t="s">
        <v>286</v>
      </c>
      <c r="B96" s="642"/>
      <c r="C96" s="110"/>
      <c r="D96" s="110"/>
      <c r="E96" s="110"/>
      <c r="F96" s="110"/>
      <c r="G96" s="110"/>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29"/>
      <c r="AG96" s="102">
        <f t="shared" si="3"/>
        <v>0</v>
      </c>
    </row>
    <row r="97" spans="1:33" s="637" customFormat="1" x14ac:dyDescent="0.3">
      <c r="A97" s="863" t="s">
        <v>31</v>
      </c>
      <c r="B97" s="856">
        <f>B99+B100+B98+B101</f>
        <v>421295.7</v>
      </c>
      <c r="C97" s="856">
        <f>C99+C100+C98+C101</f>
        <v>208967.12000000002</v>
      </c>
      <c r="D97" s="856">
        <f>D99+D100+D98+D101</f>
        <v>208582.17</v>
      </c>
      <c r="E97" s="856">
        <f>E99+E100+E98+E101</f>
        <v>208582.17</v>
      </c>
      <c r="F97" s="856">
        <f>IFERROR(E97/B97*100,0)</f>
        <v>49.509684053267101</v>
      </c>
      <c r="G97" s="856">
        <f>IFERROR(E97/C97*100,0)</f>
        <v>99.815784416227771</v>
      </c>
      <c r="H97" s="856">
        <f t="shared" ref="H97:AE97" si="70">H99+H100+H98+H101</f>
        <v>52941.1</v>
      </c>
      <c r="I97" s="856">
        <f t="shared" si="70"/>
        <v>52207.3</v>
      </c>
      <c r="J97" s="856">
        <f t="shared" si="70"/>
        <v>67459.37</v>
      </c>
      <c r="K97" s="856">
        <f t="shared" si="70"/>
        <v>68193.149999999994</v>
      </c>
      <c r="L97" s="856">
        <f t="shared" si="70"/>
        <v>46679.61</v>
      </c>
      <c r="M97" s="856">
        <f t="shared" si="70"/>
        <v>46655.15</v>
      </c>
      <c r="N97" s="856">
        <f t="shared" si="70"/>
        <v>41887.040000000001</v>
      </c>
      <c r="O97" s="856">
        <f t="shared" si="70"/>
        <v>41526.57</v>
      </c>
      <c r="P97" s="856">
        <f t="shared" si="70"/>
        <v>39256.01</v>
      </c>
      <c r="Q97" s="856">
        <f t="shared" si="70"/>
        <v>0</v>
      </c>
      <c r="R97" s="856">
        <f t="shared" si="70"/>
        <v>35938.43</v>
      </c>
      <c r="S97" s="856">
        <f t="shared" si="70"/>
        <v>0</v>
      </c>
      <c r="T97" s="856">
        <f t="shared" si="70"/>
        <v>28576.39</v>
      </c>
      <c r="U97" s="856">
        <f t="shared" si="70"/>
        <v>0</v>
      </c>
      <c r="V97" s="856">
        <f t="shared" si="70"/>
        <v>21492.639999999999</v>
      </c>
      <c r="W97" s="856">
        <f t="shared" si="70"/>
        <v>0</v>
      </c>
      <c r="X97" s="856">
        <f t="shared" si="70"/>
        <v>22682.51</v>
      </c>
      <c r="Y97" s="856">
        <f t="shared" si="70"/>
        <v>0</v>
      </c>
      <c r="Z97" s="856">
        <f t="shared" si="70"/>
        <v>25061.7</v>
      </c>
      <c r="AA97" s="856">
        <f t="shared" si="70"/>
        <v>0</v>
      </c>
      <c r="AB97" s="856">
        <f t="shared" si="70"/>
        <v>22266.19</v>
      </c>
      <c r="AC97" s="856">
        <f t="shared" si="70"/>
        <v>0</v>
      </c>
      <c r="AD97" s="856">
        <f t="shared" si="70"/>
        <v>17054.71</v>
      </c>
      <c r="AE97" s="856">
        <f t="shared" si="70"/>
        <v>0</v>
      </c>
      <c r="AF97" s="635"/>
      <c r="AG97" s="636">
        <f t="shared" si="3"/>
        <v>5.4569682106375694E-11</v>
      </c>
    </row>
    <row r="98" spans="1:33" x14ac:dyDescent="0.3">
      <c r="A98" s="641" t="s">
        <v>169</v>
      </c>
      <c r="B98" s="642"/>
      <c r="C98" s="117"/>
      <c r="D98" s="118"/>
      <c r="E98" s="117"/>
      <c r="F98" s="116"/>
      <c r="G98" s="116"/>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29"/>
      <c r="AG98" s="102">
        <f t="shared" si="3"/>
        <v>0</v>
      </c>
    </row>
    <row r="99" spans="1:33" x14ac:dyDescent="0.3">
      <c r="A99" s="641" t="s">
        <v>32</v>
      </c>
      <c r="B99" s="642"/>
      <c r="C99" s="849"/>
      <c r="D99" s="853"/>
      <c r="E99" s="117"/>
      <c r="F99" s="116"/>
      <c r="G99" s="116"/>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29"/>
      <c r="AG99" s="102">
        <f t="shared" si="3"/>
        <v>0</v>
      </c>
    </row>
    <row r="100" spans="1:33" x14ac:dyDescent="0.3">
      <c r="A100" s="641" t="s">
        <v>33</v>
      </c>
      <c r="B100" s="642">
        <f>J100+L100+N100+P100+R100+T100+V100+X100+Z100+AB100+AD100+H100</f>
        <v>411116.7</v>
      </c>
      <c r="C100" s="858">
        <f>SUM(H100+J100+L100+N100)</f>
        <v>201265.62000000002</v>
      </c>
      <c r="D100" s="859">
        <f>E100</f>
        <v>201241.17</v>
      </c>
      <c r="E100" s="858">
        <f>SUM(I100,K100,M100,O100,Q100,S100,U100,W100,Y100,AA100,AC100,AE100)</f>
        <v>201241.17</v>
      </c>
      <c r="F100" s="857">
        <f>IFERROR(E100/B100*100,0)</f>
        <v>48.949889410962875</v>
      </c>
      <c r="G100" s="857">
        <f>IFERROR(E100/C100*100,0)</f>
        <v>99.987851874552632</v>
      </c>
      <c r="H100" s="529">
        <f>52941.1</f>
        <v>52941.1</v>
      </c>
      <c r="I100" s="529">
        <v>52207.3</v>
      </c>
      <c r="J100" s="529">
        <f>67459.37</f>
        <v>67459.37</v>
      </c>
      <c r="K100" s="529">
        <v>68193.149999999994</v>
      </c>
      <c r="L100" s="529">
        <v>43449.61</v>
      </c>
      <c r="M100" s="529">
        <v>43425.15</v>
      </c>
      <c r="N100" s="529">
        <v>37415.54</v>
      </c>
      <c r="O100" s="529">
        <v>37415.57</v>
      </c>
      <c r="P100" s="529">
        <v>39256.01</v>
      </c>
      <c r="Q100" s="529"/>
      <c r="R100" s="529">
        <v>35938.43</v>
      </c>
      <c r="S100" s="529"/>
      <c r="T100" s="529">
        <v>28576.39</v>
      </c>
      <c r="U100" s="529"/>
      <c r="V100" s="529">
        <v>21492.639999999999</v>
      </c>
      <c r="W100" s="529"/>
      <c r="X100" s="529">
        <v>22682.51</v>
      </c>
      <c r="Y100" s="529"/>
      <c r="Z100" s="529">
        <v>25061.7</v>
      </c>
      <c r="AA100" s="529"/>
      <c r="AB100" s="529">
        <v>22266.19</v>
      </c>
      <c r="AC100" s="529"/>
      <c r="AD100" s="529">
        <f>18867.51-4290.3</f>
        <v>14577.21</v>
      </c>
      <c r="AE100" s="111"/>
      <c r="AF100" s="29"/>
      <c r="AG100" s="102">
        <f t="shared" si="3"/>
        <v>5.4569682106375694E-11</v>
      </c>
    </row>
    <row r="101" spans="1:33" x14ac:dyDescent="0.3">
      <c r="A101" s="641" t="s">
        <v>170</v>
      </c>
      <c r="B101" s="642">
        <f>J101+L101+N101+P101+R101+T101+V101+X101+Z101+AB101+AD101+H101</f>
        <v>10179</v>
      </c>
      <c r="C101" s="858">
        <f>L101+N101</f>
        <v>7701.5</v>
      </c>
      <c r="D101" s="859">
        <f>E101</f>
        <v>7341</v>
      </c>
      <c r="E101" s="858">
        <f>SUM(I101,K101,M101,O101,Q101,S101,U101,W101,Y101,AA101,AC101,AE101)</f>
        <v>7341</v>
      </c>
      <c r="F101" s="857">
        <f>IFERROR(E101/B101*100,0)</f>
        <v>72.119068670792814</v>
      </c>
      <c r="G101" s="857">
        <f>IFERROR(E101/C101*100,0)</f>
        <v>95.319093683048763</v>
      </c>
      <c r="H101" s="529">
        <v>0</v>
      </c>
      <c r="I101" s="529">
        <v>0</v>
      </c>
      <c r="J101" s="529">
        <v>0</v>
      </c>
      <c r="K101" s="529"/>
      <c r="L101" s="529">
        <v>3230</v>
      </c>
      <c r="M101" s="529">
        <v>3230</v>
      </c>
      <c r="N101" s="529">
        <v>4471.5</v>
      </c>
      <c r="O101" s="529">
        <v>4111</v>
      </c>
      <c r="P101" s="529">
        <v>0</v>
      </c>
      <c r="Q101" s="529"/>
      <c r="R101" s="529">
        <v>0</v>
      </c>
      <c r="S101" s="529"/>
      <c r="T101" s="529">
        <v>0</v>
      </c>
      <c r="U101" s="529"/>
      <c r="V101" s="529"/>
      <c r="W101" s="529"/>
      <c r="X101" s="529">
        <v>0</v>
      </c>
      <c r="Y101" s="529"/>
      <c r="Z101" s="529">
        <v>0</v>
      </c>
      <c r="AA101" s="529"/>
      <c r="AB101" s="529">
        <v>0</v>
      </c>
      <c r="AC101" s="529"/>
      <c r="AD101" s="529">
        <f>2477.5</f>
        <v>2477.5</v>
      </c>
      <c r="AE101" s="111"/>
      <c r="AF101" s="29"/>
      <c r="AG101" s="102">
        <f t="shared" si="3"/>
        <v>0</v>
      </c>
    </row>
    <row r="102" spans="1:33" ht="287.25" customHeight="1" x14ac:dyDescent="0.3">
      <c r="A102" s="864" t="s">
        <v>611</v>
      </c>
      <c r="B102" s="642"/>
      <c r="C102" s="110"/>
      <c r="D102" s="110"/>
      <c r="E102" s="110"/>
      <c r="F102" s="110"/>
      <c r="G102" s="110"/>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715" t="s">
        <v>543</v>
      </c>
      <c r="AG102" s="102">
        <f t="shared" si="3"/>
        <v>0</v>
      </c>
    </row>
    <row r="103" spans="1:33" x14ac:dyDescent="0.3">
      <c r="A103" s="127" t="s">
        <v>31</v>
      </c>
      <c r="B103" s="639">
        <f>B105+B106+B104+B107</f>
        <v>2032809.6001999998</v>
      </c>
      <c r="C103" s="639">
        <f>C105+C106+C104+C107</f>
        <v>775044.37599999993</v>
      </c>
      <c r="D103" s="639">
        <f>D105+D106+D104+D107</f>
        <v>515548.03</v>
      </c>
      <c r="E103" s="113">
        <f>E105+E106+E104+E107</f>
        <v>515548.03</v>
      </c>
      <c r="F103" s="113">
        <f>IFERROR(E103/B103*100,0)</f>
        <v>25.361353564508814</v>
      </c>
      <c r="G103" s="113">
        <f>IFERROR(E103/C103*100,0)</f>
        <v>66.518517644207776</v>
      </c>
      <c r="H103" s="113">
        <f t="shared" ref="H103:AE103" si="71">H105+H106+H104+H107</f>
        <v>154921.35999999999</v>
      </c>
      <c r="I103" s="113">
        <f t="shared" si="71"/>
        <v>32726.3</v>
      </c>
      <c r="J103" s="113">
        <f t="shared" si="71"/>
        <v>209296.92600000001</v>
      </c>
      <c r="K103" s="113">
        <f t="shared" si="71"/>
        <v>174495.7</v>
      </c>
      <c r="L103" s="113">
        <f t="shared" si="71"/>
        <v>185523.4</v>
      </c>
      <c r="M103" s="113">
        <f t="shared" si="71"/>
        <v>145599.5</v>
      </c>
      <c r="N103" s="113">
        <f t="shared" si="71"/>
        <v>225302.69</v>
      </c>
      <c r="O103" s="113">
        <f t="shared" si="71"/>
        <v>162726.53</v>
      </c>
      <c r="P103" s="113">
        <f t="shared" si="71"/>
        <v>380330.2</v>
      </c>
      <c r="Q103" s="113">
        <f t="shared" si="71"/>
        <v>0</v>
      </c>
      <c r="R103" s="113">
        <f t="shared" si="71"/>
        <v>174083.41</v>
      </c>
      <c r="S103" s="113">
        <f t="shared" si="71"/>
        <v>0</v>
      </c>
      <c r="T103" s="113">
        <f t="shared" si="71"/>
        <v>124068</v>
      </c>
      <c r="U103" s="113">
        <f t="shared" si="71"/>
        <v>0</v>
      </c>
      <c r="V103" s="113">
        <f t="shared" si="71"/>
        <v>88859</v>
      </c>
      <c r="W103" s="113">
        <f t="shared" si="71"/>
        <v>0</v>
      </c>
      <c r="X103" s="113">
        <f t="shared" si="71"/>
        <v>116638.19500000001</v>
      </c>
      <c r="Y103" s="113">
        <f t="shared" si="71"/>
        <v>0</v>
      </c>
      <c r="Z103" s="113">
        <f t="shared" si="71"/>
        <v>111314.9</v>
      </c>
      <c r="AA103" s="113">
        <f t="shared" si="71"/>
        <v>0</v>
      </c>
      <c r="AB103" s="113">
        <f t="shared" si="71"/>
        <v>104424.5</v>
      </c>
      <c r="AC103" s="113">
        <f t="shared" si="71"/>
        <v>0</v>
      </c>
      <c r="AD103" s="113">
        <f t="shared" si="71"/>
        <v>158047.01920000001</v>
      </c>
      <c r="AE103" s="113">
        <f t="shared" si="71"/>
        <v>0</v>
      </c>
      <c r="AF103" s="29"/>
      <c r="AG103" s="102">
        <f t="shared" si="3"/>
        <v>0</v>
      </c>
    </row>
    <row r="104" spans="1:33" x14ac:dyDescent="0.3">
      <c r="A104" s="128" t="s">
        <v>169</v>
      </c>
      <c r="B104" s="116"/>
      <c r="C104" s="117"/>
      <c r="D104" s="118"/>
      <c r="E104" s="117"/>
      <c r="F104" s="116"/>
      <c r="G104" s="116"/>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29"/>
      <c r="AG104" s="102">
        <f t="shared" si="3"/>
        <v>0</v>
      </c>
    </row>
    <row r="105" spans="1:33" s="160" customFormat="1" x14ac:dyDescent="0.3">
      <c r="A105" s="128" t="s">
        <v>32</v>
      </c>
      <c r="B105" s="116">
        <f>J105+L105+N105+P105+R105+T105+V105+X105+Z105+AB105+AD105+H105</f>
        <v>2032809.6001999998</v>
      </c>
      <c r="C105" s="117">
        <f>H105+J105+L105+N105</f>
        <v>775044.37599999993</v>
      </c>
      <c r="D105" s="118">
        <f>E105</f>
        <v>515548.03</v>
      </c>
      <c r="E105" s="117">
        <f>SUM(I105,K105,M105,O105,Q105,S105,U105,W105,Y105,AA105,AC105,AE105)</f>
        <v>515548.03</v>
      </c>
      <c r="F105" s="116">
        <f>IFERROR(E105/B105*100,0)</f>
        <v>25.361353564508814</v>
      </c>
      <c r="G105" s="116">
        <f>IFERROR(E105/C105*100,0)</f>
        <v>66.518517644207776</v>
      </c>
      <c r="H105" s="138">
        <v>154921.35999999999</v>
      </c>
      <c r="I105" s="138">
        <v>32726.3</v>
      </c>
      <c r="J105" s="138">
        <v>209296.92600000001</v>
      </c>
      <c r="K105" s="138">
        <v>174495.7</v>
      </c>
      <c r="L105" s="138">
        <v>185523.4</v>
      </c>
      <c r="M105" s="138">
        <v>145599.5</v>
      </c>
      <c r="N105" s="138">
        <f>59.99+225242.7</f>
        <v>225302.69</v>
      </c>
      <c r="O105" s="138">
        <v>162726.53</v>
      </c>
      <c r="P105" s="138">
        <v>380330.2</v>
      </c>
      <c r="Q105" s="138"/>
      <c r="R105" s="138">
        <f>174143.4-59.99</f>
        <v>174083.41</v>
      </c>
      <c r="S105" s="138"/>
      <c r="T105" s="138">
        <v>124068</v>
      </c>
      <c r="U105" s="138"/>
      <c r="V105" s="138">
        <v>88859</v>
      </c>
      <c r="W105" s="138"/>
      <c r="X105" s="138">
        <v>116638.19500000001</v>
      </c>
      <c r="Y105" s="138"/>
      <c r="Z105" s="138">
        <v>111314.9</v>
      </c>
      <c r="AA105" s="138"/>
      <c r="AB105" s="138">
        <v>104424.5</v>
      </c>
      <c r="AC105" s="138"/>
      <c r="AD105" s="138">
        <v>158047.01920000001</v>
      </c>
      <c r="AE105" s="138"/>
      <c r="AF105" s="90"/>
      <c r="AG105" s="867">
        <f t="shared" si="3"/>
        <v>0</v>
      </c>
    </row>
    <row r="106" spans="1:33" x14ac:dyDescent="0.3">
      <c r="A106" s="115" t="s">
        <v>33</v>
      </c>
      <c r="B106" s="116">
        <f>J106+L106+N106+P106+R106+T106+V106+X106+Z106+AB106+AD106+H106</f>
        <v>0</v>
      </c>
      <c r="C106" s="117">
        <f>SUM(H106)</f>
        <v>0</v>
      </c>
      <c r="D106" s="118">
        <f>E106</f>
        <v>0</v>
      </c>
      <c r="E106" s="117">
        <f>SUM(I106,K106,M106,O106,Q106,S106,U106,W106,Y106,AA106,AC106,AE106)</f>
        <v>0</v>
      </c>
      <c r="F106" s="116">
        <f>IFERROR(E106/B106*100,0)</f>
        <v>0</v>
      </c>
      <c r="G106" s="116">
        <f>IFERROR(E106/C106*100,0)</f>
        <v>0</v>
      </c>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29"/>
      <c r="AG106" s="102">
        <f t="shared" si="3"/>
        <v>0</v>
      </c>
    </row>
    <row r="107" spans="1:33" x14ac:dyDescent="0.3">
      <c r="A107" s="115" t="s">
        <v>170</v>
      </c>
      <c r="B107" s="116"/>
      <c r="C107" s="117"/>
      <c r="D107" s="118"/>
      <c r="E107" s="117"/>
      <c r="F107" s="116"/>
      <c r="G107" s="116"/>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29"/>
      <c r="AG107" s="102">
        <f t="shared" si="3"/>
        <v>0</v>
      </c>
    </row>
    <row r="108" spans="1:33" ht="175.5" customHeight="1" x14ac:dyDescent="0.3">
      <c r="A108" s="864" t="s">
        <v>609</v>
      </c>
      <c r="B108" s="642"/>
      <c r="C108" s="110"/>
      <c r="D108" s="110"/>
      <c r="E108" s="110"/>
      <c r="F108" s="110"/>
      <c r="G108" s="110"/>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29"/>
      <c r="AG108" s="102">
        <f t="shared" si="3"/>
        <v>0</v>
      </c>
    </row>
    <row r="109" spans="1:33" x14ac:dyDescent="0.3">
      <c r="A109" s="638" t="s">
        <v>31</v>
      </c>
      <c r="B109" s="639">
        <f>B111+B112+B110+B113</f>
        <v>41985.999629999991</v>
      </c>
      <c r="C109" s="113">
        <f>C111+C112+C110+C113</f>
        <v>19724.36537</v>
      </c>
      <c r="D109" s="113">
        <f>D111+D112+D110+D113</f>
        <v>13392.769999999999</v>
      </c>
      <c r="E109" s="113">
        <f>E111+E112+E110+E113</f>
        <v>13392.769999999999</v>
      </c>
      <c r="F109" s="113">
        <f>IFERROR(E109/B109*100,0)</f>
        <v>31.898180626931051</v>
      </c>
      <c r="G109" s="113">
        <f>IFERROR(E109/C109*100,0)</f>
        <v>67.89962439232589</v>
      </c>
      <c r="H109" s="113">
        <f t="shared" ref="H109:AE109" si="72">H111+H112+H110+H113</f>
        <v>4196.0200000000004</v>
      </c>
      <c r="I109" s="113">
        <f t="shared" si="72"/>
        <v>1246.8</v>
      </c>
      <c r="J109" s="113">
        <f t="shared" si="72"/>
        <v>5361.4637899999998</v>
      </c>
      <c r="K109" s="113">
        <f t="shared" si="72"/>
        <v>3305.4</v>
      </c>
      <c r="L109" s="113">
        <f t="shared" si="72"/>
        <v>5339.3157899999997</v>
      </c>
      <c r="M109" s="113">
        <f t="shared" si="72"/>
        <v>4656.92</v>
      </c>
      <c r="N109" s="113">
        <f t="shared" si="72"/>
        <v>4827.5657899999997</v>
      </c>
      <c r="O109" s="113">
        <f t="shared" si="72"/>
        <v>4183.6499999999996</v>
      </c>
      <c r="P109" s="113">
        <f t="shared" si="72"/>
        <v>4491.1637700000001</v>
      </c>
      <c r="Q109" s="113">
        <f t="shared" si="72"/>
        <v>0</v>
      </c>
      <c r="R109" s="113">
        <f t="shared" si="72"/>
        <v>3503.31378</v>
      </c>
      <c r="S109" s="113">
        <f t="shared" si="72"/>
        <v>0</v>
      </c>
      <c r="T109" s="113">
        <f t="shared" si="72"/>
        <v>2771.1637900000001</v>
      </c>
      <c r="U109" s="113">
        <f t="shared" si="72"/>
        <v>0</v>
      </c>
      <c r="V109" s="113">
        <f t="shared" si="72"/>
        <v>2371.16579</v>
      </c>
      <c r="W109" s="113">
        <f t="shared" si="72"/>
        <v>0</v>
      </c>
      <c r="X109" s="113">
        <f t="shared" si="72"/>
        <v>2866.3137900000002</v>
      </c>
      <c r="Y109" s="113">
        <f t="shared" si="72"/>
        <v>0</v>
      </c>
      <c r="Z109" s="113">
        <f t="shared" si="72"/>
        <v>2401.0537899999999</v>
      </c>
      <c r="AA109" s="113">
        <f t="shared" si="72"/>
        <v>0</v>
      </c>
      <c r="AB109" s="113">
        <f t="shared" si="72"/>
        <v>2055.01379</v>
      </c>
      <c r="AC109" s="113">
        <f t="shared" si="72"/>
        <v>0</v>
      </c>
      <c r="AD109" s="113">
        <f t="shared" si="72"/>
        <v>1802.4457600000001</v>
      </c>
      <c r="AE109" s="113">
        <f t="shared" si="72"/>
        <v>0</v>
      </c>
      <c r="AF109" s="29"/>
      <c r="AG109" s="102">
        <f t="shared" si="3"/>
        <v>-1.6825651982799172E-11</v>
      </c>
    </row>
    <row r="110" spans="1:33" x14ac:dyDescent="0.3">
      <c r="A110" s="641" t="s">
        <v>169</v>
      </c>
      <c r="B110" s="642"/>
      <c r="C110" s="117"/>
      <c r="D110" s="118"/>
      <c r="E110" s="117"/>
      <c r="F110" s="116"/>
      <c r="G110" s="116"/>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29"/>
      <c r="AG110" s="102">
        <f t="shared" si="3"/>
        <v>0</v>
      </c>
    </row>
    <row r="111" spans="1:33" x14ac:dyDescent="0.3">
      <c r="A111" s="641" t="s">
        <v>32</v>
      </c>
      <c r="B111" s="642">
        <f>J111+L111+N111+P111+R111+T111+V111+X111+Z111+AB111+AD111+H111</f>
        <v>41985.999629999991</v>
      </c>
      <c r="C111" s="117">
        <f>H111+J111+L111+N111</f>
        <v>19724.36537</v>
      </c>
      <c r="D111" s="118">
        <f>E111</f>
        <v>13392.769999999999</v>
      </c>
      <c r="E111" s="117">
        <f>SUM(I111,K111,M111,O111,Q111,S111,U111,W111,Y111,AA111,AC111,AE111)</f>
        <v>13392.769999999999</v>
      </c>
      <c r="F111" s="116">
        <f>IFERROR(E111/B111*100,0)</f>
        <v>31.898180626931051</v>
      </c>
      <c r="G111" s="116">
        <f>IFERROR(E111/C111*100,0)</f>
        <v>67.89962439232589</v>
      </c>
      <c r="H111" s="138">
        <f>3940+256.02</f>
        <v>4196.0200000000004</v>
      </c>
      <c r="I111" s="138">
        <v>1246.8</v>
      </c>
      <c r="J111" s="111">
        <v>5361.4637899999998</v>
      </c>
      <c r="K111" s="111">
        <v>3305.4</v>
      </c>
      <c r="L111" s="111">
        <v>5339.3157899999997</v>
      </c>
      <c r="M111" s="111">
        <v>4656.92</v>
      </c>
      <c r="N111" s="111">
        <v>4827.5657899999997</v>
      </c>
      <c r="O111" s="111">
        <v>4183.6499999999996</v>
      </c>
      <c r="P111" s="111">
        <v>4491.1637700000001</v>
      </c>
      <c r="Q111" s="111"/>
      <c r="R111" s="111">
        <f>3503.31378</f>
        <v>3503.31378</v>
      </c>
      <c r="S111" s="111"/>
      <c r="T111" s="111">
        <v>2771.1637900000001</v>
      </c>
      <c r="U111" s="111"/>
      <c r="V111" s="111">
        <v>2371.16579</v>
      </c>
      <c r="W111" s="111"/>
      <c r="X111" s="111">
        <v>2866.3137900000002</v>
      </c>
      <c r="Y111" s="111"/>
      <c r="Z111" s="111">
        <f>2401.06379-0.01</f>
        <v>2401.0537899999999</v>
      </c>
      <c r="AA111" s="111"/>
      <c r="AB111" s="111">
        <v>2055.01379</v>
      </c>
      <c r="AC111" s="111"/>
      <c r="AD111" s="111">
        <v>1802.4457600000001</v>
      </c>
      <c r="AE111" s="111"/>
      <c r="AF111" s="29"/>
      <c r="AG111" s="102">
        <f t="shared" si="3"/>
        <v>-1.6825651982799172E-11</v>
      </c>
    </row>
    <row r="112" spans="1:33" x14ac:dyDescent="0.3">
      <c r="A112" s="115" t="s">
        <v>33</v>
      </c>
      <c r="B112" s="116">
        <f>J112+L112+N112+P112+R112+T112+V112+X112+Z112+AB112+AD112+H112</f>
        <v>0</v>
      </c>
      <c r="C112" s="117">
        <f>SUM(H112)</f>
        <v>0</v>
      </c>
      <c r="D112" s="118">
        <f>E112</f>
        <v>0</v>
      </c>
      <c r="E112" s="117">
        <f>SUM(I112,K112,M112,O112,Q112,S112,U112,W112,Y112,AA112,AC112,AE112)</f>
        <v>0</v>
      </c>
      <c r="F112" s="116">
        <f>IFERROR(E112/B112*100,0)</f>
        <v>0</v>
      </c>
      <c r="G112" s="116">
        <f>IFERROR(E112/C112*100,0)</f>
        <v>0</v>
      </c>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29"/>
      <c r="AG112" s="102">
        <f t="shared" si="3"/>
        <v>0</v>
      </c>
    </row>
    <row r="113" spans="1:34" x14ac:dyDescent="0.3">
      <c r="A113" s="115" t="s">
        <v>170</v>
      </c>
      <c r="B113" s="116"/>
      <c r="C113" s="117"/>
      <c r="D113" s="118"/>
      <c r="E113" s="117"/>
      <c r="F113" s="116"/>
      <c r="G113" s="116"/>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29"/>
      <c r="AG113" s="102">
        <f t="shared" si="3"/>
        <v>0</v>
      </c>
    </row>
    <row r="114" spans="1:34" ht="123" customHeight="1" x14ac:dyDescent="0.3">
      <c r="A114" s="864" t="s">
        <v>287</v>
      </c>
      <c r="B114" s="642"/>
      <c r="C114" s="650"/>
      <c r="D114" s="650"/>
      <c r="E114" s="650"/>
      <c r="F114" s="650"/>
      <c r="G114" s="650"/>
      <c r="H114" s="529"/>
      <c r="I114" s="529"/>
      <c r="J114" s="529"/>
      <c r="K114" s="529"/>
      <c r="L114" s="529"/>
      <c r="M114" s="529"/>
      <c r="N114" s="529"/>
      <c r="O114" s="529"/>
      <c r="P114" s="529"/>
      <c r="Q114" s="111"/>
      <c r="R114" s="111"/>
      <c r="S114" s="111"/>
      <c r="T114" s="111"/>
      <c r="U114" s="111"/>
      <c r="V114" s="111"/>
      <c r="W114" s="111"/>
      <c r="X114" s="111"/>
      <c r="Y114" s="111"/>
      <c r="Z114" s="111"/>
      <c r="AA114" s="111"/>
      <c r="AB114" s="111"/>
      <c r="AC114" s="111"/>
      <c r="AD114" s="111"/>
      <c r="AE114" s="111"/>
      <c r="AF114" s="728" t="s">
        <v>553</v>
      </c>
      <c r="AG114" s="102">
        <f t="shared" si="3"/>
        <v>0</v>
      </c>
    </row>
    <row r="115" spans="1:34" x14ac:dyDescent="0.3">
      <c r="A115" s="638" t="s">
        <v>31</v>
      </c>
      <c r="B115" s="639">
        <f>B117+B118+B116+B119</f>
        <v>11760</v>
      </c>
      <c r="C115" s="639">
        <f>C117+C118+C116+C119</f>
        <v>2940</v>
      </c>
      <c r="D115" s="639">
        <f>D117+D118+D116+D119</f>
        <v>2024</v>
      </c>
      <c r="E115" s="639">
        <f>E117+E118+E116+E119</f>
        <v>2024</v>
      </c>
      <c r="F115" s="639">
        <f>IFERROR(E115/B115*100,0)</f>
        <v>17.210884353741495</v>
      </c>
      <c r="G115" s="639">
        <f>IFERROR(E115/C115*100,0)</f>
        <v>68.843537414965979</v>
      </c>
      <c r="H115" s="639">
        <f t="shared" ref="H115:AE115" si="73">H117+H118+H116+H119</f>
        <v>980</v>
      </c>
      <c r="I115" s="639">
        <f t="shared" si="73"/>
        <v>0</v>
      </c>
      <c r="J115" s="639">
        <f t="shared" si="73"/>
        <v>980</v>
      </c>
      <c r="K115" s="639">
        <f t="shared" si="73"/>
        <v>720</v>
      </c>
      <c r="L115" s="639">
        <f t="shared" si="73"/>
        <v>980</v>
      </c>
      <c r="M115" s="639">
        <f t="shared" si="73"/>
        <v>652</v>
      </c>
      <c r="N115" s="639">
        <f t="shared" si="73"/>
        <v>980</v>
      </c>
      <c r="O115" s="639">
        <f t="shared" si="73"/>
        <v>652</v>
      </c>
      <c r="P115" s="639">
        <f t="shared" si="73"/>
        <v>980</v>
      </c>
      <c r="Q115" s="113">
        <f t="shared" si="73"/>
        <v>0</v>
      </c>
      <c r="R115" s="113">
        <f t="shared" si="73"/>
        <v>980</v>
      </c>
      <c r="S115" s="113">
        <f t="shared" si="73"/>
        <v>0</v>
      </c>
      <c r="T115" s="113">
        <f t="shared" si="73"/>
        <v>980</v>
      </c>
      <c r="U115" s="113">
        <f t="shared" si="73"/>
        <v>0</v>
      </c>
      <c r="V115" s="113">
        <f t="shared" si="73"/>
        <v>980</v>
      </c>
      <c r="W115" s="113">
        <f t="shared" si="73"/>
        <v>0</v>
      </c>
      <c r="X115" s="113">
        <f t="shared" si="73"/>
        <v>980</v>
      </c>
      <c r="Y115" s="113">
        <f t="shared" si="73"/>
        <v>0</v>
      </c>
      <c r="Z115" s="113">
        <f t="shared" si="73"/>
        <v>980</v>
      </c>
      <c r="AA115" s="113">
        <f t="shared" si="73"/>
        <v>0</v>
      </c>
      <c r="AB115" s="113">
        <f t="shared" si="73"/>
        <v>980</v>
      </c>
      <c r="AC115" s="113">
        <f t="shared" si="73"/>
        <v>0</v>
      </c>
      <c r="AD115" s="113">
        <f t="shared" si="73"/>
        <v>980</v>
      </c>
      <c r="AE115" s="113">
        <f t="shared" si="73"/>
        <v>0</v>
      </c>
      <c r="AF115" s="29"/>
      <c r="AG115" s="102">
        <f t="shared" si="3"/>
        <v>0</v>
      </c>
    </row>
    <row r="116" spans="1:34" x14ac:dyDescent="0.3">
      <c r="A116" s="641" t="s">
        <v>169</v>
      </c>
      <c r="B116" s="642"/>
      <c r="C116" s="849"/>
      <c r="D116" s="853"/>
      <c r="E116" s="849"/>
      <c r="F116" s="642"/>
      <c r="G116" s="642"/>
      <c r="H116" s="529"/>
      <c r="I116" s="529"/>
      <c r="J116" s="529"/>
      <c r="K116" s="529"/>
      <c r="L116" s="529"/>
      <c r="M116" s="529"/>
      <c r="N116" s="529"/>
      <c r="O116" s="529"/>
      <c r="P116" s="529"/>
      <c r="Q116" s="111"/>
      <c r="R116" s="111"/>
      <c r="S116" s="111"/>
      <c r="T116" s="111"/>
      <c r="U116" s="111"/>
      <c r="V116" s="111"/>
      <c r="W116" s="111"/>
      <c r="X116" s="111"/>
      <c r="Y116" s="111"/>
      <c r="Z116" s="111"/>
      <c r="AA116" s="111"/>
      <c r="AB116" s="111"/>
      <c r="AC116" s="111"/>
      <c r="AD116" s="111"/>
      <c r="AE116" s="111"/>
      <c r="AF116" s="29"/>
      <c r="AG116" s="102">
        <f t="shared" si="3"/>
        <v>0</v>
      </c>
    </row>
    <row r="117" spans="1:34" x14ac:dyDescent="0.3">
      <c r="A117" s="641" t="s">
        <v>32</v>
      </c>
      <c r="B117" s="642">
        <f>J117+L117+N117+P117+R117+T117+V117+X117+Z117+AB117+AD117+H117</f>
        <v>11760</v>
      </c>
      <c r="C117" s="849">
        <f>H117+J117+L117</f>
        <v>2940</v>
      </c>
      <c r="D117" s="853">
        <f>E117</f>
        <v>2024</v>
      </c>
      <c r="E117" s="849">
        <f>SUM(I117,K117,M117,O117,Q117,S117,U117,W117,Y117,AA117,AC117,AE117)</f>
        <v>2024</v>
      </c>
      <c r="F117" s="642">
        <f>IFERROR(E117/B117*100,0)</f>
        <v>17.210884353741495</v>
      </c>
      <c r="G117" s="642">
        <f>IFERROR(E117/C117*100,0)</f>
        <v>68.843537414965979</v>
      </c>
      <c r="H117" s="529">
        <v>980</v>
      </c>
      <c r="I117" s="529"/>
      <c r="J117" s="529">
        <v>980</v>
      </c>
      <c r="K117" s="529">
        <v>720</v>
      </c>
      <c r="L117" s="529">
        <v>980</v>
      </c>
      <c r="M117" s="529">
        <v>652</v>
      </c>
      <c r="N117" s="529">
        <v>980</v>
      </c>
      <c r="O117" s="529">
        <v>652</v>
      </c>
      <c r="P117" s="529">
        <v>980</v>
      </c>
      <c r="Q117" s="111"/>
      <c r="R117" s="111">
        <v>980</v>
      </c>
      <c r="S117" s="111"/>
      <c r="T117" s="111">
        <v>980</v>
      </c>
      <c r="U117" s="111"/>
      <c r="V117" s="111">
        <v>980</v>
      </c>
      <c r="W117" s="111"/>
      <c r="X117" s="111">
        <v>980</v>
      </c>
      <c r="Y117" s="111"/>
      <c r="Z117" s="111">
        <v>980</v>
      </c>
      <c r="AA117" s="111"/>
      <c r="AB117" s="111">
        <v>980</v>
      </c>
      <c r="AC117" s="111"/>
      <c r="AD117" s="111">
        <v>980</v>
      </c>
      <c r="AE117" s="111"/>
      <c r="AF117" s="29"/>
      <c r="AG117" s="102">
        <f t="shared" si="3"/>
        <v>0</v>
      </c>
      <c r="AH117" s="727">
        <f>C117-E117</f>
        <v>916</v>
      </c>
    </row>
    <row r="118" spans="1:34" x14ac:dyDescent="0.3">
      <c r="A118" s="641" t="s">
        <v>33</v>
      </c>
      <c r="B118" s="642">
        <f>J118+L118+N118+P118+R118+T118+V118+X118+Z118+AB118+AD118+H118</f>
        <v>0</v>
      </c>
      <c r="C118" s="849">
        <f>SUM(H118)</f>
        <v>0</v>
      </c>
      <c r="D118" s="853">
        <f>E118</f>
        <v>0</v>
      </c>
      <c r="E118" s="849">
        <f>SUM(I118,K118,M118,O118,Q118,S118,U118,W118,Y118,AA118,AC118,AE118)</f>
        <v>0</v>
      </c>
      <c r="F118" s="642">
        <f>IFERROR(E118/B118*100,0)</f>
        <v>0</v>
      </c>
      <c r="G118" s="642">
        <f>IFERROR(E118/C118*100,0)</f>
        <v>0</v>
      </c>
      <c r="H118" s="529"/>
      <c r="I118" s="529"/>
      <c r="J118" s="529"/>
      <c r="K118" s="529"/>
      <c r="L118" s="529"/>
      <c r="M118" s="529"/>
      <c r="N118" s="529"/>
      <c r="O118" s="529"/>
      <c r="P118" s="529"/>
      <c r="Q118" s="111"/>
      <c r="R118" s="111"/>
      <c r="S118" s="111"/>
      <c r="T118" s="111"/>
      <c r="U118" s="111"/>
      <c r="V118" s="111"/>
      <c r="W118" s="111"/>
      <c r="X118" s="111"/>
      <c r="Y118" s="111"/>
      <c r="Z118" s="111"/>
      <c r="AA118" s="111"/>
      <c r="AB118" s="111"/>
      <c r="AC118" s="111"/>
      <c r="AD118" s="111"/>
      <c r="AE118" s="111"/>
      <c r="AF118" s="29"/>
      <c r="AG118" s="102">
        <f t="shared" si="3"/>
        <v>0</v>
      </c>
    </row>
    <row r="119" spans="1:34" x14ac:dyDescent="0.3">
      <c r="A119" s="641" t="s">
        <v>170</v>
      </c>
      <c r="B119" s="642"/>
      <c r="C119" s="849"/>
      <c r="D119" s="853"/>
      <c r="E119" s="849"/>
      <c r="F119" s="642"/>
      <c r="G119" s="642"/>
      <c r="H119" s="529"/>
      <c r="I119" s="529"/>
      <c r="J119" s="529"/>
      <c r="K119" s="529"/>
      <c r="L119" s="529"/>
      <c r="M119" s="529"/>
      <c r="N119" s="529"/>
      <c r="O119" s="529"/>
      <c r="P119" s="529"/>
      <c r="Q119" s="111"/>
      <c r="R119" s="111"/>
      <c r="S119" s="111"/>
      <c r="T119" s="111"/>
      <c r="U119" s="111"/>
      <c r="V119" s="111"/>
      <c r="W119" s="111"/>
      <c r="X119" s="111"/>
      <c r="Y119" s="111"/>
      <c r="Z119" s="111"/>
      <c r="AA119" s="111"/>
      <c r="AB119" s="111"/>
      <c r="AC119" s="111"/>
      <c r="AD119" s="111"/>
      <c r="AE119" s="111"/>
      <c r="AF119" s="29"/>
      <c r="AG119" s="102">
        <f t="shared" si="3"/>
        <v>0</v>
      </c>
    </row>
    <row r="120" spans="1:34" ht="123" customHeight="1" x14ac:dyDescent="0.3">
      <c r="A120" s="864" t="s">
        <v>288</v>
      </c>
      <c r="B120" s="642"/>
      <c r="C120" s="650"/>
      <c r="D120" s="650"/>
      <c r="E120" s="650"/>
      <c r="F120" s="650"/>
      <c r="G120" s="650"/>
      <c r="H120" s="529"/>
      <c r="I120" s="529"/>
      <c r="J120" s="529"/>
      <c r="K120" s="529"/>
      <c r="L120" s="529"/>
      <c r="M120" s="529"/>
      <c r="N120" s="529"/>
      <c r="O120" s="529"/>
      <c r="P120" s="529"/>
      <c r="Q120" s="111"/>
      <c r="R120" s="111"/>
      <c r="S120" s="111"/>
      <c r="T120" s="111"/>
      <c r="U120" s="111"/>
      <c r="V120" s="111"/>
      <c r="W120" s="111"/>
      <c r="X120" s="111"/>
      <c r="Y120" s="111"/>
      <c r="Z120" s="111"/>
      <c r="AA120" s="111"/>
      <c r="AB120" s="111"/>
      <c r="AC120" s="111"/>
      <c r="AD120" s="111"/>
      <c r="AE120" s="111"/>
      <c r="AF120" s="29"/>
      <c r="AG120" s="102">
        <f t="shared" si="3"/>
        <v>0</v>
      </c>
    </row>
    <row r="121" spans="1:34" x14ac:dyDescent="0.3">
      <c r="A121" s="127" t="s">
        <v>31</v>
      </c>
      <c r="B121" s="113">
        <f>B123+B124+B122+B125</f>
        <v>60894.599999999991</v>
      </c>
      <c r="C121" s="113">
        <f>C123+C124+C122+C125</f>
        <v>9112.7999999999993</v>
      </c>
      <c r="D121" s="113">
        <f>D123+D124+D122+D125</f>
        <v>9112.31</v>
      </c>
      <c r="E121" s="113">
        <f>E123+E124+E122+E125</f>
        <v>9112.31</v>
      </c>
      <c r="F121" s="113">
        <f>IFERROR(E121/B121*100,0)</f>
        <v>14.964069063595131</v>
      </c>
      <c r="G121" s="113">
        <f>IFERROR(E121/C121*100,0)</f>
        <v>99.994622947941352</v>
      </c>
      <c r="H121" s="113">
        <f t="shared" ref="H121:AE121" si="74">H123+H124+H122+H125</f>
        <v>0</v>
      </c>
      <c r="I121" s="113">
        <f t="shared" si="74"/>
        <v>0</v>
      </c>
      <c r="J121" s="113">
        <f t="shared" si="74"/>
        <v>2974.6</v>
      </c>
      <c r="K121" s="113">
        <f t="shared" si="74"/>
        <v>2974.1</v>
      </c>
      <c r="L121" s="113">
        <f t="shared" si="74"/>
        <v>3148.4</v>
      </c>
      <c r="M121" s="113">
        <f t="shared" si="74"/>
        <v>3148.4</v>
      </c>
      <c r="N121" s="113">
        <f t="shared" si="74"/>
        <v>2989.8</v>
      </c>
      <c r="O121" s="113">
        <f t="shared" si="74"/>
        <v>2989.81</v>
      </c>
      <c r="P121" s="113">
        <f t="shared" si="74"/>
        <v>0</v>
      </c>
      <c r="Q121" s="113">
        <f t="shared" si="74"/>
        <v>0</v>
      </c>
      <c r="R121" s="113">
        <f t="shared" si="74"/>
        <v>0</v>
      </c>
      <c r="S121" s="113">
        <f t="shared" si="74"/>
        <v>0</v>
      </c>
      <c r="T121" s="113">
        <f t="shared" si="74"/>
        <v>0</v>
      </c>
      <c r="U121" s="113">
        <f t="shared" si="74"/>
        <v>0</v>
      </c>
      <c r="V121" s="113">
        <f t="shared" si="74"/>
        <v>0</v>
      </c>
      <c r="W121" s="113">
        <f t="shared" si="74"/>
        <v>0</v>
      </c>
      <c r="X121" s="113">
        <f t="shared" si="74"/>
        <v>0</v>
      </c>
      <c r="Y121" s="113">
        <f t="shared" si="74"/>
        <v>0</v>
      </c>
      <c r="Z121" s="113">
        <f t="shared" si="74"/>
        <v>0</v>
      </c>
      <c r="AA121" s="113">
        <f t="shared" si="74"/>
        <v>0</v>
      </c>
      <c r="AB121" s="113">
        <f t="shared" si="74"/>
        <v>0</v>
      </c>
      <c r="AC121" s="113">
        <f t="shared" si="74"/>
        <v>0</v>
      </c>
      <c r="AD121" s="113">
        <f t="shared" si="74"/>
        <v>51781.799999999996</v>
      </c>
      <c r="AE121" s="113">
        <f t="shared" si="74"/>
        <v>0</v>
      </c>
      <c r="AF121" s="29"/>
      <c r="AG121" s="102">
        <f t="shared" si="3"/>
        <v>0</v>
      </c>
    </row>
    <row r="122" spans="1:34" x14ac:dyDescent="0.3">
      <c r="A122" s="128" t="s">
        <v>169</v>
      </c>
      <c r="B122" s="116"/>
      <c r="C122" s="117"/>
      <c r="D122" s="118"/>
      <c r="E122" s="117"/>
      <c r="F122" s="116"/>
      <c r="G122" s="116"/>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29"/>
      <c r="AG122" s="102">
        <f t="shared" si="3"/>
        <v>0</v>
      </c>
    </row>
    <row r="123" spans="1:34" ht="93.75" x14ac:dyDescent="0.3">
      <c r="A123" s="128" t="s">
        <v>32</v>
      </c>
      <c r="B123" s="116">
        <f>J123+L123+N123+P123+R123+T123+V123+X123+Z123+AB123+AD123+H123</f>
        <v>60894.599999999991</v>
      </c>
      <c r="C123" s="117">
        <f>H123+J123+L123+N123</f>
        <v>9112.7999999999993</v>
      </c>
      <c r="D123" s="118">
        <f>E123</f>
        <v>9112.31</v>
      </c>
      <c r="E123" s="117">
        <f>SUM(I123,K123,M123,O123,Q123,S123,U123,W123,Y123,AA123,AC123,AE123)</f>
        <v>9112.31</v>
      </c>
      <c r="F123" s="116">
        <f>IFERROR(E123/B123*100,0)</f>
        <v>14.964069063595131</v>
      </c>
      <c r="G123" s="116">
        <f>IFERROR(E123/C123*100,0)</f>
        <v>99.994622947941352</v>
      </c>
      <c r="H123" s="111"/>
      <c r="I123" s="111"/>
      <c r="J123" s="111">
        <f>3300-325.4</f>
        <v>2974.6</v>
      </c>
      <c r="K123" s="111">
        <v>2974.1</v>
      </c>
      <c r="L123" s="111">
        <v>3148.4</v>
      </c>
      <c r="M123" s="111">
        <v>3148.4</v>
      </c>
      <c r="N123" s="111">
        <f>2664.4+325.4</f>
        <v>2989.8</v>
      </c>
      <c r="O123" s="111">
        <v>2989.81</v>
      </c>
      <c r="P123" s="111"/>
      <c r="Q123" s="111"/>
      <c r="R123" s="111"/>
      <c r="S123" s="111"/>
      <c r="T123" s="111"/>
      <c r="U123" s="111"/>
      <c r="V123" s="111"/>
      <c r="W123" s="111"/>
      <c r="X123" s="111"/>
      <c r="Y123" s="111"/>
      <c r="Z123" s="111"/>
      <c r="AA123" s="111"/>
      <c r="AB123" s="111"/>
      <c r="AC123" s="111"/>
      <c r="AD123" s="111">
        <f>60894.6-3300-3148.4-6224.4+3560</f>
        <v>51781.799999999996</v>
      </c>
      <c r="AE123" s="111"/>
      <c r="AF123" s="728" t="s">
        <v>553</v>
      </c>
      <c r="AG123" s="102">
        <f>B123-H123-J123-L123-N123-P123-R123-T123-V123-X123-Z123-AB123-AD123</f>
        <v>0</v>
      </c>
      <c r="AH123" s="727">
        <f>C123-E123</f>
        <v>0.48999999999978172</v>
      </c>
    </row>
    <row r="124" spans="1:34" x14ac:dyDescent="0.3">
      <c r="A124" s="115" t="s">
        <v>33</v>
      </c>
      <c r="B124" s="116">
        <f>J124+L124+N124+P124+R124+T124+V124+X124+Z124+AB124+AD124+H124</f>
        <v>0</v>
      </c>
      <c r="C124" s="117">
        <f>SUM(H124)</f>
        <v>0</v>
      </c>
      <c r="D124" s="118">
        <f>E124</f>
        <v>0</v>
      </c>
      <c r="E124" s="117">
        <f>SUM(I124,K124,M124,O124,Q124,S124,U124,W124,Y124,AA124,AC124,AE124)</f>
        <v>0</v>
      </c>
      <c r="F124" s="116">
        <f>IFERROR(E124/B124*100,0)</f>
        <v>0</v>
      </c>
      <c r="G124" s="116">
        <f t="shared" ref="G124" si="75">IFERROR(E124/C124*100,0)</f>
        <v>0</v>
      </c>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29"/>
      <c r="AG124" s="102">
        <f t="shared" si="3"/>
        <v>0</v>
      </c>
    </row>
    <row r="125" spans="1:34" x14ac:dyDescent="0.3">
      <c r="A125" s="115" t="s">
        <v>170</v>
      </c>
      <c r="B125" s="116"/>
      <c r="C125" s="117"/>
      <c r="D125" s="118"/>
      <c r="E125" s="117"/>
      <c r="F125" s="116"/>
      <c r="G125" s="116"/>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29"/>
      <c r="AG125" s="102">
        <f t="shared" si="3"/>
        <v>0</v>
      </c>
    </row>
    <row r="126" spans="1:34" ht="43.5" customHeight="1" x14ac:dyDescent="0.3">
      <c r="A126" s="125" t="s">
        <v>289</v>
      </c>
      <c r="B126" s="104"/>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01"/>
      <c r="AG126" s="102">
        <f t="shared" si="3"/>
        <v>0</v>
      </c>
    </row>
    <row r="127" spans="1:34" x14ac:dyDescent="0.3">
      <c r="A127" s="129" t="s">
        <v>31</v>
      </c>
      <c r="B127" s="104">
        <f>B128+B129+B130+B131</f>
        <v>58792.497319999995</v>
      </c>
      <c r="C127" s="104">
        <f>C128+C129+C130</f>
        <v>11322.5</v>
      </c>
      <c r="D127" s="104">
        <f>D128+D129+D130</f>
        <v>10016.5</v>
      </c>
      <c r="E127" s="104">
        <f>E128+E129+E130</f>
        <v>10016.5</v>
      </c>
      <c r="F127" s="104">
        <f t="shared" ref="F127:F129" si="76">IFERROR(E127/B127*100,0)</f>
        <v>17.037037813654145</v>
      </c>
      <c r="G127" s="104">
        <f t="shared" ref="G127:G129" si="77">IFERROR(E127/C127*100,0)</f>
        <v>88.465444910576281</v>
      </c>
      <c r="H127" s="104">
        <f>H128+H129+H130</f>
        <v>9700</v>
      </c>
      <c r="I127" s="104">
        <f t="shared" ref="I127:AE127" si="78">I128+I129+I130</f>
        <v>0</v>
      </c>
      <c r="J127" s="104">
        <f t="shared" si="78"/>
        <v>0</v>
      </c>
      <c r="K127" s="104">
        <f t="shared" si="78"/>
        <v>8394</v>
      </c>
      <c r="L127" s="104">
        <f t="shared" si="78"/>
        <v>1622.5</v>
      </c>
      <c r="M127" s="104">
        <f t="shared" si="78"/>
        <v>1622.5</v>
      </c>
      <c r="N127" s="104">
        <f t="shared" si="78"/>
        <v>7.79732</v>
      </c>
      <c r="O127" s="104">
        <f t="shared" si="78"/>
        <v>0</v>
      </c>
      <c r="P127" s="104">
        <f t="shared" si="78"/>
        <v>1589.5</v>
      </c>
      <c r="Q127" s="104">
        <f t="shared" si="78"/>
        <v>0</v>
      </c>
      <c r="R127" s="104">
        <f t="shared" si="78"/>
        <v>8045.9</v>
      </c>
      <c r="S127" s="104">
        <f t="shared" si="78"/>
        <v>0</v>
      </c>
      <c r="T127" s="104">
        <f t="shared" si="78"/>
        <v>4244.8999999999996</v>
      </c>
      <c r="U127" s="104">
        <f t="shared" si="78"/>
        <v>0</v>
      </c>
      <c r="V127" s="104">
        <f t="shared" si="78"/>
        <v>1218.5</v>
      </c>
      <c r="W127" s="104">
        <f t="shared" si="78"/>
        <v>0</v>
      </c>
      <c r="X127" s="104">
        <f t="shared" si="78"/>
        <v>194</v>
      </c>
      <c r="Y127" s="104">
        <f t="shared" si="78"/>
        <v>0</v>
      </c>
      <c r="Z127" s="104">
        <f t="shared" si="78"/>
        <v>0</v>
      </c>
      <c r="AA127" s="104">
        <f t="shared" si="78"/>
        <v>0</v>
      </c>
      <c r="AB127" s="104">
        <f t="shared" si="78"/>
        <v>0</v>
      </c>
      <c r="AC127" s="104">
        <f t="shared" si="78"/>
        <v>0</v>
      </c>
      <c r="AD127" s="104">
        <f t="shared" si="78"/>
        <v>26469.4</v>
      </c>
      <c r="AE127" s="104">
        <f t="shared" si="78"/>
        <v>0</v>
      </c>
      <c r="AF127" s="101"/>
      <c r="AG127" s="102">
        <f t="shared" si="3"/>
        <v>5699.9999999999927</v>
      </c>
    </row>
    <row r="128" spans="1:34" x14ac:dyDescent="0.3">
      <c r="A128" s="130" t="s">
        <v>169</v>
      </c>
      <c r="B128" s="107">
        <f>B134+B141</f>
        <v>0</v>
      </c>
      <c r="C128" s="107">
        <f t="shared" ref="C128:E128" si="79">C134+C141</f>
        <v>0</v>
      </c>
      <c r="D128" s="107">
        <f t="shared" si="79"/>
        <v>0</v>
      </c>
      <c r="E128" s="107">
        <f t="shared" si="79"/>
        <v>0</v>
      </c>
      <c r="F128" s="107">
        <f t="shared" si="76"/>
        <v>0</v>
      </c>
      <c r="G128" s="107">
        <f t="shared" si="77"/>
        <v>0</v>
      </c>
      <c r="H128" s="107">
        <f t="shared" ref="H128:AE128" si="80">H134+H141</f>
        <v>0</v>
      </c>
      <c r="I128" s="107">
        <f t="shared" si="80"/>
        <v>0</v>
      </c>
      <c r="J128" s="107">
        <f t="shared" si="80"/>
        <v>0</v>
      </c>
      <c r="K128" s="107">
        <f t="shared" si="80"/>
        <v>0</v>
      </c>
      <c r="L128" s="107">
        <f t="shared" si="80"/>
        <v>0</v>
      </c>
      <c r="M128" s="107">
        <f t="shared" si="80"/>
        <v>0</v>
      </c>
      <c r="N128" s="107">
        <f t="shared" si="80"/>
        <v>0</v>
      </c>
      <c r="O128" s="107">
        <f t="shared" si="80"/>
        <v>0</v>
      </c>
      <c r="P128" s="107">
        <f t="shared" si="80"/>
        <v>0</v>
      </c>
      <c r="Q128" s="107">
        <f t="shared" si="80"/>
        <v>0</v>
      </c>
      <c r="R128" s="107">
        <f t="shared" si="80"/>
        <v>0</v>
      </c>
      <c r="S128" s="107">
        <f t="shared" si="80"/>
        <v>0</v>
      </c>
      <c r="T128" s="107">
        <f t="shared" si="80"/>
        <v>0</v>
      </c>
      <c r="U128" s="107">
        <f t="shared" si="80"/>
        <v>0</v>
      </c>
      <c r="V128" s="107">
        <f t="shared" si="80"/>
        <v>0</v>
      </c>
      <c r="W128" s="107">
        <f t="shared" si="80"/>
        <v>0</v>
      </c>
      <c r="X128" s="107">
        <f t="shared" si="80"/>
        <v>0</v>
      </c>
      <c r="Y128" s="107">
        <f t="shared" si="80"/>
        <v>0</v>
      </c>
      <c r="Z128" s="107">
        <f t="shared" si="80"/>
        <v>0</v>
      </c>
      <c r="AA128" s="107">
        <f t="shared" si="80"/>
        <v>0</v>
      </c>
      <c r="AB128" s="107">
        <f t="shared" si="80"/>
        <v>0</v>
      </c>
      <c r="AC128" s="107">
        <f t="shared" si="80"/>
        <v>0</v>
      </c>
      <c r="AD128" s="107">
        <f t="shared" si="80"/>
        <v>0</v>
      </c>
      <c r="AE128" s="107">
        <f t="shared" si="80"/>
        <v>0</v>
      </c>
      <c r="AF128" s="101"/>
      <c r="AG128" s="102">
        <f t="shared" si="3"/>
        <v>0</v>
      </c>
    </row>
    <row r="129" spans="1:34" x14ac:dyDescent="0.3">
      <c r="A129" s="130" t="s">
        <v>32</v>
      </c>
      <c r="B129" s="107">
        <f>B135+B142</f>
        <v>30404.199999999997</v>
      </c>
      <c r="C129" s="107">
        <f t="shared" ref="C129:E130" si="81">C135+C142</f>
        <v>9700</v>
      </c>
      <c r="D129" s="107">
        <f t="shared" si="81"/>
        <v>8394</v>
      </c>
      <c r="E129" s="107">
        <f t="shared" si="81"/>
        <v>8394</v>
      </c>
      <c r="F129" s="107">
        <f t="shared" si="76"/>
        <v>27.60802783825919</v>
      </c>
      <c r="G129" s="107">
        <f t="shared" si="77"/>
        <v>86.536082474226802</v>
      </c>
      <c r="H129" s="107">
        <f t="shared" ref="H129:AE129" si="82">H135+H142</f>
        <v>9700</v>
      </c>
      <c r="I129" s="107">
        <f t="shared" si="82"/>
        <v>0</v>
      </c>
      <c r="J129" s="107">
        <f t="shared" si="82"/>
        <v>0</v>
      </c>
      <c r="K129" s="107">
        <f t="shared" si="82"/>
        <v>8394</v>
      </c>
      <c r="L129" s="107">
        <f t="shared" si="82"/>
        <v>0</v>
      </c>
      <c r="M129" s="107">
        <f t="shared" si="82"/>
        <v>0</v>
      </c>
      <c r="N129" s="107">
        <f t="shared" si="82"/>
        <v>0</v>
      </c>
      <c r="O129" s="107">
        <f t="shared" si="82"/>
        <v>0</v>
      </c>
      <c r="P129" s="107">
        <f t="shared" si="82"/>
        <v>0</v>
      </c>
      <c r="Q129" s="107">
        <f t="shared" si="82"/>
        <v>0</v>
      </c>
      <c r="R129" s="107">
        <f t="shared" si="82"/>
        <v>4450</v>
      </c>
      <c r="S129" s="107">
        <f t="shared" si="82"/>
        <v>0</v>
      </c>
      <c r="T129" s="107">
        <f t="shared" si="82"/>
        <v>3281.9</v>
      </c>
      <c r="U129" s="107">
        <f t="shared" si="82"/>
        <v>0</v>
      </c>
      <c r="V129" s="107">
        <f t="shared" si="82"/>
        <v>0</v>
      </c>
      <c r="W129" s="107">
        <f t="shared" si="82"/>
        <v>0</v>
      </c>
      <c r="X129" s="107">
        <f t="shared" si="82"/>
        <v>0</v>
      </c>
      <c r="Y129" s="107">
        <f t="shared" si="82"/>
        <v>0</v>
      </c>
      <c r="Z129" s="107">
        <f t="shared" si="82"/>
        <v>0</v>
      </c>
      <c r="AA129" s="107">
        <f t="shared" si="82"/>
        <v>0</v>
      </c>
      <c r="AB129" s="107">
        <f t="shared" si="82"/>
        <v>0</v>
      </c>
      <c r="AC129" s="107">
        <f t="shared" si="82"/>
        <v>0</v>
      </c>
      <c r="AD129" s="107">
        <f t="shared" si="82"/>
        <v>12972.3</v>
      </c>
      <c r="AE129" s="107">
        <f t="shared" si="82"/>
        <v>0</v>
      </c>
      <c r="AF129" s="101"/>
      <c r="AG129" s="102">
        <f t="shared" si="3"/>
        <v>0</v>
      </c>
    </row>
    <row r="130" spans="1:34" x14ac:dyDescent="0.3">
      <c r="A130" s="130" t="s">
        <v>33</v>
      </c>
      <c r="B130" s="107">
        <f>B136+B143</f>
        <v>22688.297320000001</v>
      </c>
      <c r="C130" s="107">
        <f t="shared" si="81"/>
        <v>1622.5</v>
      </c>
      <c r="D130" s="107">
        <f t="shared" si="81"/>
        <v>1622.5</v>
      </c>
      <c r="E130" s="107">
        <f t="shared" si="81"/>
        <v>1622.5</v>
      </c>
      <c r="F130" s="107">
        <f>IFERROR(E130/B130*100,0)</f>
        <v>7.1512638304935612</v>
      </c>
      <c r="G130" s="107">
        <f>IFERROR(E130/C130*100,0)</f>
        <v>100</v>
      </c>
      <c r="H130" s="107">
        <f t="shared" ref="H130:AE130" si="83">H136+H143</f>
        <v>0</v>
      </c>
      <c r="I130" s="107">
        <f t="shared" si="83"/>
        <v>0</v>
      </c>
      <c r="J130" s="107">
        <f t="shared" si="83"/>
        <v>0</v>
      </c>
      <c r="K130" s="107">
        <f t="shared" si="83"/>
        <v>0</v>
      </c>
      <c r="L130" s="107">
        <f t="shared" si="83"/>
        <v>1622.5</v>
      </c>
      <c r="M130" s="107">
        <f t="shared" si="83"/>
        <v>1622.5</v>
      </c>
      <c r="N130" s="107">
        <f t="shared" si="83"/>
        <v>7.79732</v>
      </c>
      <c r="O130" s="107">
        <f t="shared" si="83"/>
        <v>0</v>
      </c>
      <c r="P130" s="107">
        <f t="shared" si="83"/>
        <v>1589.5</v>
      </c>
      <c r="Q130" s="107">
        <f t="shared" si="83"/>
        <v>0</v>
      </c>
      <c r="R130" s="107">
        <f t="shared" si="83"/>
        <v>3595.9</v>
      </c>
      <c r="S130" s="107">
        <f t="shared" si="83"/>
        <v>0</v>
      </c>
      <c r="T130" s="107">
        <f t="shared" si="83"/>
        <v>963</v>
      </c>
      <c r="U130" s="107">
        <f t="shared" si="83"/>
        <v>0</v>
      </c>
      <c r="V130" s="107">
        <f t="shared" si="83"/>
        <v>1218.5</v>
      </c>
      <c r="W130" s="107">
        <f t="shared" si="83"/>
        <v>0</v>
      </c>
      <c r="X130" s="107">
        <f t="shared" si="83"/>
        <v>194</v>
      </c>
      <c r="Y130" s="107">
        <f t="shared" si="83"/>
        <v>0</v>
      </c>
      <c r="Z130" s="107">
        <f t="shared" si="83"/>
        <v>0</v>
      </c>
      <c r="AA130" s="107">
        <f t="shared" si="83"/>
        <v>0</v>
      </c>
      <c r="AB130" s="107">
        <f t="shared" si="83"/>
        <v>0</v>
      </c>
      <c r="AC130" s="107">
        <f t="shared" si="83"/>
        <v>0</v>
      </c>
      <c r="AD130" s="107">
        <f t="shared" si="83"/>
        <v>13497.1</v>
      </c>
      <c r="AE130" s="107">
        <f t="shared" si="83"/>
        <v>0</v>
      </c>
      <c r="AF130" s="101"/>
      <c r="AG130" s="102">
        <f t="shared" ref="AG130:AG358" si="84">B130-H130-J130-L130-N130-P130-R130-T130-V130-X130-Z130-AB130-AD130</f>
        <v>0</v>
      </c>
    </row>
    <row r="131" spans="1:34" x14ac:dyDescent="0.3">
      <c r="A131" s="130" t="s">
        <v>170</v>
      </c>
      <c r="B131" s="107">
        <f>B138+B144</f>
        <v>5700</v>
      </c>
      <c r="C131" s="107">
        <f>C138+C144</f>
        <v>0</v>
      </c>
      <c r="D131" s="107">
        <f>D138+D144</f>
        <v>0</v>
      </c>
      <c r="E131" s="107">
        <f>E138+E144</f>
        <v>0</v>
      </c>
      <c r="F131" s="107">
        <f t="shared" ref="F131" si="85">IFERROR(E131/B131*100,0)</f>
        <v>0</v>
      </c>
      <c r="G131" s="107">
        <f t="shared" ref="G131" si="86">IFERROR(E131/C131*100,0)</f>
        <v>0</v>
      </c>
      <c r="H131" s="107">
        <f t="shared" ref="H131:AE131" si="87">H138+H144</f>
        <v>0</v>
      </c>
      <c r="I131" s="107">
        <f t="shared" si="87"/>
        <v>0</v>
      </c>
      <c r="J131" s="107">
        <f t="shared" si="87"/>
        <v>0</v>
      </c>
      <c r="K131" s="107">
        <f t="shared" si="87"/>
        <v>0</v>
      </c>
      <c r="L131" s="107">
        <f t="shared" si="87"/>
        <v>0</v>
      </c>
      <c r="M131" s="107">
        <f t="shared" si="87"/>
        <v>0</v>
      </c>
      <c r="N131" s="107">
        <f t="shared" si="87"/>
        <v>0</v>
      </c>
      <c r="O131" s="107">
        <f t="shared" si="87"/>
        <v>0</v>
      </c>
      <c r="P131" s="107">
        <f t="shared" si="87"/>
        <v>5700</v>
      </c>
      <c r="Q131" s="107">
        <f t="shared" si="87"/>
        <v>0</v>
      </c>
      <c r="R131" s="107">
        <f t="shared" si="87"/>
        <v>0</v>
      </c>
      <c r="S131" s="107">
        <f t="shared" si="87"/>
        <v>0</v>
      </c>
      <c r="T131" s="107">
        <f t="shared" si="87"/>
        <v>0</v>
      </c>
      <c r="U131" s="107">
        <f t="shared" si="87"/>
        <v>0</v>
      </c>
      <c r="V131" s="107">
        <f t="shared" si="87"/>
        <v>0</v>
      </c>
      <c r="W131" s="107">
        <f t="shared" si="87"/>
        <v>0</v>
      </c>
      <c r="X131" s="107">
        <f t="shared" si="87"/>
        <v>0</v>
      </c>
      <c r="Y131" s="107">
        <f t="shared" si="87"/>
        <v>0</v>
      </c>
      <c r="Z131" s="107">
        <f t="shared" si="87"/>
        <v>0</v>
      </c>
      <c r="AA131" s="107">
        <f t="shared" si="87"/>
        <v>0</v>
      </c>
      <c r="AB131" s="107">
        <f t="shared" si="87"/>
        <v>0</v>
      </c>
      <c r="AC131" s="107">
        <f t="shared" si="87"/>
        <v>0</v>
      </c>
      <c r="AD131" s="107">
        <f t="shared" si="87"/>
        <v>0</v>
      </c>
      <c r="AE131" s="107">
        <f t="shared" si="87"/>
        <v>0</v>
      </c>
      <c r="AF131" s="101"/>
      <c r="AG131" s="102">
        <f t="shared" si="84"/>
        <v>0</v>
      </c>
    </row>
    <row r="132" spans="1:34" ht="243.75" x14ac:dyDescent="0.3">
      <c r="A132" s="851" t="s">
        <v>290</v>
      </c>
      <c r="B132" s="639"/>
      <c r="C132" s="132"/>
      <c r="D132" s="132"/>
      <c r="E132" s="132"/>
      <c r="F132" s="132"/>
      <c r="G132" s="132"/>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29"/>
      <c r="AG132" s="102">
        <f t="shared" si="84"/>
        <v>0</v>
      </c>
    </row>
    <row r="133" spans="1:34" x14ac:dyDescent="0.3">
      <c r="A133" s="638" t="s">
        <v>31</v>
      </c>
      <c r="B133" s="639">
        <f>B135+B136+B134+B138</f>
        <v>56628.899999999994</v>
      </c>
      <c r="C133" s="113">
        <f>C135+C136+C134+C138</f>
        <v>11322.5</v>
      </c>
      <c r="D133" s="113">
        <f>D135+D136+D134+D138</f>
        <v>10016.5</v>
      </c>
      <c r="E133" s="113">
        <f>E135+E136+E134+E138</f>
        <v>10016.5</v>
      </c>
      <c r="F133" s="113">
        <f>IFERROR(E133/B133*100,0)</f>
        <v>17.687964979012484</v>
      </c>
      <c r="G133" s="113">
        <f>IFERROR(E133/C133*100,0)</f>
        <v>88.465444910576281</v>
      </c>
      <c r="H133" s="113">
        <f t="shared" ref="H133:AE133" si="88">H135+H136+H134+H138</f>
        <v>9700</v>
      </c>
      <c r="I133" s="113">
        <f t="shared" si="88"/>
        <v>0</v>
      </c>
      <c r="J133" s="113">
        <f t="shared" si="88"/>
        <v>0</v>
      </c>
      <c r="K133" s="113">
        <f t="shared" si="88"/>
        <v>8394</v>
      </c>
      <c r="L133" s="113">
        <f t="shared" si="88"/>
        <v>1622.5</v>
      </c>
      <c r="M133" s="113">
        <f t="shared" si="88"/>
        <v>1622.5</v>
      </c>
      <c r="N133" s="113">
        <f t="shared" si="88"/>
        <v>3.9</v>
      </c>
      <c r="O133" s="113">
        <f t="shared" si="88"/>
        <v>0</v>
      </c>
      <c r="P133" s="113">
        <f t="shared" si="88"/>
        <v>6635.7</v>
      </c>
      <c r="Q133" s="113">
        <f t="shared" si="88"/>
        <v>0</v>
      </c>
      <c r="R133" s="113">
        <f t="shared" si="88"/>
        <v>7480.3</v>
      </c>
      <c r="S133" s="113">
        <f t="shared" si="88"/>
        <v>0</v>
      </c>
      <c r="T133" s="113">
        <f t="shared" si="88"/>
        <v>3921.4</v>
      </c>
      <c r="U133" s="113">
        <f t="shared" si="88"/>
        <v>0</v>
      </c>
      <c r="V133" s="113">
        <f t="shared" si="88"/>
        <v>795.7</v>
      </c>
      <c r="W133" s="113">
        <f t="shared" si="88"/>
        <v>0</v>
      </c>
      <c r="X133" s="113">
        <f t="shared" si="88"/>
        <v>0</v>
      </c>
      <c r="Y133" s="113">
        <f t="shared" si="88"/>
        <v>0</v>
      </c>
      <c r="Z133" s="113">
        <f t="shared" si="88"/>
        <v>0</v>
      </c>
      <c r="AA133" s="113">
        <f t="shared" si="88"/>
        <v>0</v>
      </c>
      <c r="AB133" s="113">
        <f t="shared" si="88"/>
        <v>0</v>
      </c>
      <c r="AC133" s="113">
        <f t="shared" si="88"/>
        <v>0</v>
      </c>
      <c r="AD133" s="113">
        <f t="shared" si="88"/>
        <v>26469.4</v>
      </c>
      <c r="AE133" s="113">
        <f t="shared" si="88"/>
        <v>0</v>
      </c>
      <c r="AF133" s="29"/>
      <c r="AG133" s="102">
        <f t="shared" si="84"/>
        <v>0</v>
      </c>
    </row>
    <row r="134" spans="1:34" x14ac:dyDescent="0.3">
      <c r="A134" s="641" t="s">
        <v>169</v>
      </c>
      <c r="B134" s="642"/>
      <c r="C134" s="117"/>
      <c r="D134" s="118"/>
      <c r="E134" s="117"/>
      <c r="F134" s="116"/>
      <c r="G134" s="116"/>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29"/>
      <c r="AG134" s="102">
        <f t="shared" si="84"/>
        <v>0</v>
      </c>
    </row>
    <row r="135" spans="1:34" ht="93.75" x14ac:dyDescent="0.3">
      <c r="A135" s="641" t="s">
        <v>32</v>
      </c>
      <c r="B135" s="642">
        <f>J135+L135+N135+P135+R135+T135+V135+X135+Z135+AB135+AD135+H135</f>
        <v>30404.199999999997</v>
      </c>
      <c r="C135" s="117">
        <f>H135+J135</f>
        <v>9700</v>
      </c>
      <c r="D135" s="118">
        <f>E135</f>
        <v>8394</v>
      </c>
      <c r="E135" s="117">
        <f>SUM(I135,K135,M135,O135,Q135,S135,U135,W135,Y135,AA135,AC135,AE135)</f>
        <v>8394</v>
      </c>
      <c r="F135" s="116">
        <f>IFERROR(E135/B135*100,0)</f>
        <v>27.60802783825919</v>
      </c>
      <c r="G135" s="116">
        <f t="shared" ref="G135" si="89">IFERROR(E135/C135*100,0)</f>
        <v>86.536082474226802</v>
      </c>
      <c r="H135" s="111">
        <v>9700</v>
      </c>
      <c r="I135" s="111"/>
      <c r="J135" s="111"/>
      <c r="K135" s="111">
        <v>8394</v>
      </c>
      <c r="L135" s="111"/>
      <c r="M135" s="111"/>
      <c r="N135" s="111"/>
      <c r="O135" s="111"/>
      <c r="P135" s="111"/>
      <c r="Q135" s="111"/>
      <c r="R135" s="111">
        <v>4450</v>
      </c>
      <c r="S135" s="111"/>
      <c r="T135" s="111">
        <v>3281.9</v>
      </c>
      <c r="U135" s="111"/>
      <c r="V135" s="111"/>
      <c r="W135" s="111"/>
      <c r="X135" s="111"/>
      <c r="Y135" s="111"/>
      <c r="Z135" s="111"/>
      <c r="AA135" s="111"/>
      <c r="AB135" s="111"/>
      <c r="AC135" s="111"/>
      <c r="AD135" s="111">
        <v>12972.3</v>
      </c>
      <c r="AE135" s="111"/>
      <c r="AF135" s="728" t="s">
        <v>555</v>
      </c>
      <c r="AG135" s="102">
        <f t="shared" si="84"/>
        <v>0</v>
      </c>
      <c r="AH135" s="727">
        <f>C135-E135</f>
        <v>1306</v>
      </c>
    </row>
    <row r="136" spans="1:34" x14ac:dyDescent="0.3">
      <c r="A136" s="641" t="s">
        <v>33</v>
      </c>
      <c r="B136" s="642">
        <f>J136+L136+N136+P136+R136+T136+V136+X136+Z136+AB136+AD136+H136</f>
        <v>20524.7</v>
      </c>
      <c r="C136" s="117">
        <f>SUM(H136+J136+L136)</f>
        <v>1622.5</v>
      </c>
      <c r="D136" s="118">
        <f>E136</f>
        <v>1622.5</v>
      </c>
      <c r="E136" s="117">
        <f>SUM(I136,K136,M136,O136,Q136,S136,U136,W136,Y136,AA136,AC136,AE136)</f>
        <v>1622.5</v>
      </c>
      <c r="F136" s="116">
        <f>IFERROR(E136/B136*100,0)</f>
        <v>7.9051094534877491</v>
      </c>
      <c r="G136" s="116">
        <f>IFERROR(E136/C136*100,0)</f>
        <v>100</v>
      </c>
      <c r="H136" s="111"/>
      <c r="I136" s="111"/>
      <c r="J136" s="111"/>
      <c r="K136" s="111"/>
      <c r="L136" s="111">
        <f>1500+122.5</f>
        <v>1622.5</v>
      </c>
      <c r="M136" s="111">
        <v>1622.5</v>
      </c>
      <c r="N136" s="111">
        <v>3.9</v>
      </c>
      <c r="O136" s="111"/>
      <c r="P136" s="111">
        <f>888.9+46.8</f>
        <v>935.69999999999993</v>
      </c>
      <c r="Q136" s="111"/>
      <c r="R136" s="111">
        <v>3030.3</v>
      </c>
      <c r="S136" s="111"/>
      <c r="T136" s="111">
        <v>639.5</v>
      </c>
      <c r="U136" s="111"/>
      <c r="V136" s="111">
        <f>422.8+611.2-238.3</f>
        <v>795.7</v>
      </c>
      <c r="W136" s="111"/>
      <c r="X136" s="111"/>
      <c r="Y136" s="111"/>
      <c r="Z136" s="111"/>
      <c r="AA136" s="111"/>
      <c r="AB136" s="111"/>
      <c r="AC136" s="111"/>
      <c r="AD136" s="111">
        <f>15635.4-2015.8-122.5</f>
        <v>13497.1</v>
      </c>
      <c r="AE136" s="111"/>
      <c r="AF136" s="29"/>
      <c r="AG136" s="102">
        <f t="shared" si="84"/>
        <v>0</v>
      </c>
    </row>
    <row r="137" spans="1:34" x14ac:dyDescent="0.3">
      <c r="A137" s="641" t="s">
        <v>554</v>
      </c>
      <c r="B137" s="642">
        <f>J137+L137+N137+P137+R137+T137+V137+X137+Z137+AB137+AD137+H137</f>
        <v>4327</v>
      </c>
      <c r="C137" s="117">
        <f>SUM(H137+J137+L137)</f>
        <v>0</v>
      </c>
      <c r="D137" s="118">
        <f>E137</f>
        <v>0</v>
      </c>
      <c r="E137" s="117">
        <f>SUM(I137,K137,M137,O137,Q137,S137,U137,W137,Y137,AA137,AC137,AE137)</f>
        <v>0</v>
      </c>
      <c r="F137" s="116">
        <f>IFERROR(E137/B137*100,0)</f>
        <v>0</v>
      </c>
      <c r="G137" s="116">
        <f>IFERROR(E137/C137*100,0)</f>
        <v>0</v>
      </c>
      <c r="H137" s="111"/>
      <c r="I137" s="111"/>
      <c r="J137" s="111"/>
      <c r="K137" s="111"/>
      <c r="L137" s="111"/>
      <c r="M137" s="111"/>
      <c r="N137" s="111">
        <v>529.20000000000005</v>
      </c>
      <c r="O137" s="111"/>
      <c r="P137" s="111"/>
      <c r="Q137" s="111"/>
      <c r="R137" s="111">
        <v>192</v>
      </c>
      <c r="S137" s="111"/>
      <c r="T137" s="111"/>
      <c r="U137" s="111"/>
      <c r="V137" s="111"/>
      <c r="W137" s="111"/>
      <c r="X137" s="111"/>
      <c r="Y137" s="111"/>
      <c r="Z137" s="111"/>
      <c r="AA137" s="111"/>
      <c r="AB137" s="111"/>
      <c r="AC137" s="111"/>
      <c r="AD137" s="111">
        <v>3605.8</v>
      </c>
      <c r="AE137" s="111"/>
      <c r="AF137" s="29"/>
      <c r="AG137" s="102"/>
    </row>
    <row r="138" spans="1:34" x14ac:dyDescent="0.3">
      <c r="A138" s="851" t="s">
        <v>170</v>
      </c>
      <c r="B138" s="642">
        <f>J138+L138+N138+P138+R138+T138+V138+X138+Z138+AB138+AD138+H138</f>
        <v>5700</v>
      </c>
      <c r="C138" s="117">
        <f>SUM(H138+J138+L138)</f>
        <v>0</v>
      </c>
      <c r="D138" s="118">
        <f>E138</f>
        <v>0</v>
      </c>
      <c r="E138" s="117">
        <f>SUM(I138,K138,M138,O138,Q138,S138,U138,W138,Y138,AA138,AC138,AE138)</f>
        <v>0</v>
      </c>
      <c r="F138" s="116">
        <f>IFERROR(E138/B138*100,0)</f>
        <v>0</v>
      </c>
      <c r="G138" s="116">
        <f>IFERROR(E138/C138*100,0)</f>
        <v>0</v>
      </c>
      <c r="H138" s="111"/>
      <c r="I138" s="111"/>
      <c r="J138" s="111"/>
      <c r="K138" s="111"/>
      <c r="L138" s="111"/>
      <c r="M138" s="111"/>
      <c r="N138" s="111"/>
      <c r="O138" s="111"/>
      <c r="P138" s="111">
        <v>5700</v>
      </c>
      <c r="Q138" s="111"/>
      <c r="R138" s="111"/>
      <c r="S138" s="111"/>
      <c r="T138" s="111"/>
      <c r="U138" s="111"/>
      <c r="V138" s="111"/>
      <c r="W138" s="111"/>
      <c r="X138" s="111"/>
      <c r="Y138" s="111"/>
      <c r="Z138" s="111"/>
      <c r="AA138" s="111"/>
      <c r="AB138" s="111"/>
      <c r="AC138" s="111"/>
      <c r="AD138" s="111"/>
      <c r="AE138" s="111"/>
      <c r="AF138" s="29"/>
      <c r="AG138" s="102">
        <f t="shared" si="84"/>
        <v>0</v>
      </c>
    </row>
    <row r="139" spans="1:34" ht="131.25" x14ac:dyDescent="0.3">
      <c r="A139" s="851" t="s">
        <v>291</v>
      </c>
      <c r="B139" s="639"/>
      <c r="C139" s="132"/>
      <c r="D139" s="132"/>
      <c r="E139" s="132"/>
      <c r="F139" s="132"/>
      <c r="G139" s="132"/>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29"/>
      <c r="AG139" s="102">
        <f t="shared" si="84"/>
        <v>0</v>
      </c>
    </row>
    <row r="140" spans="1:34" x14ac:dyDescent="0.3">
      <c r="A140" s="638" t="s">
        <v>31</v>
      </c>
      <c r="B140" s="639">
        <f>B142+B143+B141+B144</f>
        <v>2163.5973199999999</v>
      </c>
      <c r="C140" s="113">
        <f>C142+C143+C141+C144</f>
        <v>0</v>
      </c>
      <c r="D140" s="113">
        <f>D142+D143+D141+D144</f>
        <v>0</v>
      </c>
      <c r="E140" s="113">
        <f>E142+E143+E141+E144</f>
        <v>0</v>
      </c>
      <c r="F140" s="113">
        <f>IFERROR(E140/B140*100,0)</f>
        <v>0</v>
      </c>
      <c r="G140" s="113">
        <f>IFERROR(E140/C140*100,0)</f>
        <v>0</v>
      </c>
      <c r="H140" s="113">
        <f t="shared" ref="H140:AE140" si="90">H142+H143+H141+H144</f>
        <v>0</v>
      </c>
      <c r="I140" s="113">
        <f t="shared" si="90"/>
        <v>0</v>
      </c>
      <c r="J140" s="113">
        <f t="shared" si="90"/>
        <v>0</v>
      </c>
      <c r="K140" s="113">
        <f t="shared" si="90"/>
        <v>0</v>
      </c>
      <c r="L140" s="113">
        <f t="shared" si="90"/>
        <v>0</v>
      </c>
      <c r="M140" s="113">
        <f t="shared" si="90"/>
        <v>0</v>
      </c>
      <c r="N140" s="113">
        <f t="shared" si="90"/>
        <v>3.8973200000000001</v>
      </c>
      <c r="O140" s="113">
        <f t="shared" si="90"/>
        <v>0</v>
      </c>
      <c r="P140" s="113">
        <f t="shared" si="90"/>
        <v>653.79999999999995</v>
      </c>
      <c r="Q140" s="113">
        <f t="shared" si="90"/>
        <v>0</v>
      </c>
      <c r="R140" s="113">
        <f t="shared" si="90"/>
        <v>565.6</v>
      </c>
      <c r="S140" s="113">
        <f t="shared" si="90"/>
        <v>0</v>
      </c>
      <c r="T140" s="113">
        <f t="shared" si="90"/>
        <v>323.5</v>
      </c>
      <c r="U140" s="113">
        <f t="shared" si="90"/>
        <v>0</v>
      </c>
      <c r="V140" s="113">
        <f t="shared" si="90"/>
        <v>422.8</v>
      </c>
      <c r="W140" s="113">
        <f t="shared" si="90"/>
        <v>0</v>
      </c>
      <c r="X140" s="113">
        <f t="shared" si="90"/>
        <v>194</v>
      </c>
      <c r="Y140" s="113">
        <f t="shared" si="90"/>
        <v>0</v>
      </c>
      <c r="Z140" s="113">
        <f t="shared" si="90"/>
        <v>0</v>
      </c>
      <c r="AA140" s="113">
        <f t="shared" si="90"/>
        <v>0</v>
      </c>
      <c r="AB140" s="113">
        <f t="shared" si="90"/>
        <v>0</v>
      </c>
      <c r="AC140" s="113">
        <f t="shared" si="90"/>
        <v>0</v>
      </c>
      <c r="AD140" s="113">
        <f t="shared" si="90"/>
        <v>0</v>
      </c>
      <c r="AE140" s="113">
        <f t="shared" si="90"/>
        <v>0</v>
      </c>
      <c r="AF140" s="29"/>
      <c r="AG140" s="102">
        <f t="shared" si="84"/>
        <v>-1.7053025658242404E-13</v>
      </c>
    </row>
    <row r="141" spans="1:34" x14ac:dyDescent="0.3">
      <c r="A141" s="641" t="s">
        <v>169</v>
      </c>
      <c r="B141" s="642"/>
      <c r="C141" s="117"/>
      <c r="D141" s="118"/>
      <c r="E141" s="117"/>
      <c r="F141" s="116"/>
      <c r="G141" s="116"/>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29"/>
      <c r="AG141" s="102">
        <f t="shared" si="84"/>
        <v>0</v>
      </c>
    </row>
    <row r="142" spans="1:34" x14ac:dyDescent="0.3">
      <c r="A142" s="641" t="s">
        <v>32</v>
      </c>
      <c r="B142" s="642"/>
      <c r="C142" s="117"/>
      <c r="D142" s="118"/>
      <c r="E142" s="117"/>
      <c r="F142" s="116"/>
      <c r="G142" s="116"/>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29"/>
      <c r="AG142" s="102">
        <f t="shared" si="84"/>
        <v>0</v>
      </c>
    </row>
    <row r="143" spans="1:34" x14ac:dyDescent="0.3">
      <c r="A143" s="115" t="s">
        <v>33</v>
      </c>
      <c r="B143" s="116">
        <f>J143+L143+N143+P143+R143+T143+V143+X143+Z143+AB143+AD143+H143</f>
        <v>2163.5973199999999</v>
      </c>
      <c r="C143" s="117">
        <f>SUM(H143)</f>
        <v>0</v>
      </c>
      <c r="D143" s="118">
        <f>E143</f>
        <v>0</v>
      </c>
      <c r="E143" s="117">
        <f>SUM(I143,K143,M143,O143,Q143,S143,U143,W143,Y143,AA143,AC143,AE143)</f>
        <v>0</v>
      </c>
      <c r="F143" s="116">
        <f>IFERROR(E143/B143*100,0)</f>
        <v>0</v>
      </c>
      <c r="G143" s="116">
        <f>IFERROR(E143/C143*100,0)</f>
        <v>0</v>
      </c>
      <c r="H143" s="111"/>
      <c r="I143" s="111"/>
      <c r="J143" s="111"/>
      <c r="K143" s="111"/>
      <c r="L143" s="111"/>
      <c r="M143" s="111"/>
      <c r="N143" s="111">
        <v>3.8973200000000001</v>
      </c>
      <c r="O143" s="111"/>
      <c r="P143" s="111">
        <v>653.79999999999995</v>
      </c>
      <c r="Q143" s="111"/>
      <c r="R143" s="111">
        <v>565.6</v>
      </c>
      <c r="S143" s="111"/>
      <c r="T143" s="111">
        <v>323.5</v>
      </c>
      <c r="U143" s="111"/>
      <c r="V143" s="111">
        <v>422.8</v>
      </c>
      <c r="W143" s="111"/>
      <c r="X143" s="111">
        <v>194</v>
      </c>
      <c r="Y143" s="111"/>
      <c r="Z143" s="111"/>
      <c r="AA143" s="111"/>
      <c r="AB143" s="111"/>
      <c r="AC143" s="111"/>
      <c r="AD143" s="111"/>
      <c r="AE143" s="111"/>
      <c r="AF143" s="29"/>
      <c r="AG143" s="102">
        <f t="shared" si="84"/>
        <v>-1.7053025658242404E-13</v>
      </c>
    </row>
    <row r="144" spans="1:34" x14ac:dyDescent="0.3">
      <c r="A144" s="123" t="s">
        <v>170</v>
      </c>
      <c r="B144" s="116"/>
      <c r="C144" s="117"/>
      <c r="D144" s="118"/>
      <c r="E144" s="117"/>
      <c r="F144" s="116"/>
      <c r="G144" s="116"/>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29"/>
      <c r="AG144" s="102">
        <f t="shared" si="84"/>
        <v>0</v>
      </c>
    </row>
    <row r="145" spans="1:33" x14ac:dyDescent="0.3">
      <c r="A145" s="908" t="s">
        <v>292</v>
      </c>
      <c r="B145" s="909"/>
      <c r="C145" s="909"/>
      <c r="D145" s="909"/>
      <c r="E145" s="909"/>
      <c r="F145" s="909"/>
      <c r="G145" s="909"/>
      <c r="H145" s="909"/>
      <c r="I145" s="909"/>
      <c r="J145" s="909"/>
      <c r="K145" s="909"/>
      <c r="L145" s="909"/>
      <c r="M145" s="909"/>
      <c r="N145" s="909"/>
      <c r="O145" s="909"/>
      <c r="P145" s="909"/>
      <c r="Q145" s="909"/>
      <c r="R145" s="909"/>
      <c r="S145" s="909"/>
      <c r="T145" s="909"/>
      <c r="U145" s="909"/>
      <c r="V145" s="909"/>
      <c r="W145" s="909"/>
      <c r="X145" s="909"/>
      <c r="Y145" s="909"/>
      <c r="Z145" s="909"/>
      <c r="AA145" s="909"/>
      <c r="AB145" s="909"/>
      <c r="AC145" s="909"/>
      <c r="AD145" s="909"/>
      <c r="AE145" s="909"/>
      <c r="AF145" s="910"/>
      <c r="AG145" s="102">
        <f t="shared" si="84"/>
        <v>0</v>
      </c>
    </row>
    <row r="146" spans="1:33" x14ac:dyDescent="0.3">
      <c r="A146" s="908" t="s">
        <v>54</v>
      </c>
      <c r="B146" s="909"/>
      <c r="C146" s="909"/>
      <c r="D146" s="909"/>
      <c r="E146" s="909"/>
      <c r="F146" s="909"/>
      <c r="G146" s="909"/>
      <c r="H146" s="909"/>
      <c r="I146" s="909"/>
      <c r="J146" s="909"/>
      <c r="K146" s="909"/>
      <c r="L146" s="909"/>
      <c r="M146" s="909"/>
      <c r="N146" s="909"/>
      <c r="O146" s="909"/>
      <c r="P146" s="909"/>
      <c r="Q146" s="909"/>
      <c r="R146" s="909"/>
      <c r="S146" s="909"/>
      <c r="T146" s="909"/>
      <c r="U146" s="909"/>
      <c r="V146" s="909"/>
      <c r="W146" s="909"/>
      <c r="X146" s="909"/>
      <c r="Y146" s="909"/>
      <c r="Z146" s="909"/>
      <c r="AA146" s="909"/>
      <c r="AB146" s="909"/>
      <c r="AC146" s="909"/>
      <c r="AD146" s="909"/>
      <c r="AE146" s="909"/>
      <c r="AF146" s="910"/>
      <c r="AG146" s="102">
        <f t="shared" si="84"/>
        <v>0</v>
      </c>
    </row>
    <row r="147" spans="1:33" ht="120.75" customHeight="1" x14ac:dyDescent="0.3">
      <c r="A147" s="125" t="s">
        <v>293</v>
      </c>
      <c r="B147" s="133"/>
      <c r="C147" s="134"/>
      <c r="D147" s="134"/>
      <c r="E147" s="134"/>
      <c r="F147" s="134"/>
      <c r="G147" s="134"/>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01"/>
      <c r="AG147" s="102">
        <f t="shared" si="84"/>
        <v>0</v>
      </c>
    </row>
    <row r="148" spans="1:33" x14ac:dyDescent="0.3">
      <c r="A148" s="103" t="s">
        <v>31</v>
      </c>
      <c r="B148" s="104">
        <f>B149+B150+B151</f>
        <v>0</v>
      </c>
      <c r="C148" s="104">
        <f>C149+C150+C151</f>
        <v>0</v>
      </c>
      <c r="D148" s="104">
        <f>D149+D150+D151</f>
        <v>0</v>
      </c>
      <c r="E148" s="104">
        <f>E149+E150+E151</f>
        <v>0</v>
      </c>
      <c r="F148" s="107">
        <f>IFERROR(E148/B148*100,0)</f>
        <v>0</v>
      </c>
      <c r="G148" s="107">
        <f>IFERROR(E148/C148*100,0)</f>
        <v>0</v>
      </c>
      <c r="H148" s="104">
        <f t="shared" ref="H148:AE148" si="91">H149+H150+H151</f>
        <v>0</v>
      </c>
      <c r="I148" s="104">
        <f t="shared" si="91"/>
        <v>0</v>
      </c>
      <c r="J148" s="104">
        <f t="shared" si="91"/>
        <v>0</v>
      </c>
      <c r="K148" s="104">
        <f t="shared" si="91"/>
        <v>0</v>
      </c>
      <c r="L148" s="104">
        <f t="shared" si="91"/>
        <v>0</v>
      </c>
      <c r="M148" s="104">
        <f t="shared" si="91"/>
        <v>0</v>
      </c>
      <c r="N148" s="104">
        <f t="shared" si="91"/>
        <v>0</v>
      </c>
      <c r="O148" s="104">
        <f t="shared" si="91"/>
        <v>0</v>
      </c>
      <c r="P148" s="104">
        <f t="shared" si="91"/>
        <v>0</v>
      </c>
      <c r="Q148" s="104">
        <f t="shared" si="91"/>
        <v>0</v>
      </c>
      <c r="R148" s="104">
        <f t="shared" si="91"/>
        <v>0</v>
      </c>
      <c r="S148" s="104">
        <f t="shared" si="91"/>
        <v>0</v>
      </c>
      <c r="T148" s="104">
        <f t="shared" si="91"/>
        <v>0</v>
      </c>
      <c r="U148" s="104">
        <f t="shared" si="91"/>
        <v>0</v>
      </c>
      <c r="V148" s="104">
        <f t="shared" si="91"/>
        <v>0</v>
      </c>
      <c r="W148" s="104">
        <f t="shared" si="91"/>
        <v>0</v>
      </c>
      <c r="X148" s="104">
        <f t="shared" si="91"/>
        <v>0</v>
      </c>
      <c r="Y148" s="104">
        <f t="shared" si="91"/>
        <v>0</v>
      </c>
      <c r="Z148" s="104">
        <f t="shared" si="91"/>
        <v>0</v>
      </c>
      <c r="AA148" s="104">
        <f t="shared" si="91"/>
        <v>0</v>
      </c>
      <c r="AB148" s="104">
        <f t="shared" si="91"/>
        <v>0</v>
      </c>
      <c r="AC148" s="104">
        <f t="shared" si="91"/>
        <v>0</v>
      </c>
      <c r="AD148" s="104">
        <f t="shared" si="91"/>
        <v>0</v>
      </c>
      <c r="AE148" s="104">
        <f t="shared" si="91"/>
        <v>0</v>
      </c>
      <c r="AF148" s="101"/>
      <c r="AG148" s="102">
        <f t="shared" si="84"/>
        <v>0</v>
      </c>
    </row>
    <row r="149" spans="1:33" x14ac:dyDescent="0.3">
      <c r="A149" s="106" t="s">
        <v>169</v>
      </c>
      <c r="B149" s="107">
        <f>B155</f>
        <v>0</v>
      </c>
      <c r="C149" s="107">
        <f t="shared" ref="C149:E149" si="92">C155</f>
        <v>0</v>
      </c>
      <c r="D149" s="107">
        <f t="shared" si="92"/>
        <v>0</v>
      </c>
      <c r="E149" s="107">
        <f t="shared" si="92"/>
        <v>0</v>
      </c>
      <c r="F149" s="107">
        <f>IFERROR(E149/B149*100,0)</f>
        <v>0</v>
      </c>
      <c r="G149" s="107">
        <f>IFERROR(E149/C149*100,0)</f>
        <v>0</v>
      </c>
      <c r="H149" s="107">
        <f t="shared" ref="H149:AE152" si="93">H155</f>
        <v>0</v>
      </c>
      <c r="I149" s="107">
        <f t="shared" si="93"/>
        <v>0</v>
      </c>
      <c r="J149" s="107">
        <f t="shared" si="93"/>
        <v>0</v>
      </c>
      <c r="K149" s="107">
        <f t="shared" si="93"/>
        <v>0</v>
      </c>
      <c r="L149" s="107">
        <f t="shared" si="93"/>
        <v>0</v>
      </c>
      <c r="M149" s="107">
        <f t="shared" si="93"/>
        <v>0</v>
      </c>
      <c r="N149" s="107">
        <f t="shared" si="93"/>
        <v>0</v>
      </c>
      <c r="O149" s="107">
        <f t="shared" si="93"/>
        <v>0</v>
      </c>
      <c r="P149" s="107">
        <f t="shared" si="93"/>
        <v>0</v>
      </c>
      <c r="Q149" s="107">
        <f t="shared" si="93"/>
        <v>0</v>
      </c>
      <c r="R149" s="107">
        <f t="shared" si="93"/>
        <v>0</v>
      </c>
      <c r="S149" s="107">
        <f t="shared" si="93"/>
        <v>0</v>
      </c>
      <c r="T149" s="107">
        <f t="shared" si="93"/>
        <v>0</v>
      </c>
      <c r="U149" s="107">
        <f t="shared" si="93"/>
        <v>0</v>
      </c>
      <c r="V149" s="107">
        <f t="shared" si="93"/>
        <v>0</v>
      </c>
      <c r="W149" s="107">
        <f t="shared" si="93"/>
        <v>0</v>
      </c>
      <c r="X149" s="107">
        <f t="shared" si="93"/>
        <v>0</v>
      </c>
      <c r="Y149" s="107">
        <f t="shared" si="93"/>
        <v>0</v>
      </c>
      <c r="Z149" s="107">
        <f t="shared" si="93"/>
        <v>0</v>
      </c>
      <c r="AA149" s="107">
        <f t="shared" si="93"/>
        <v>0</v>
      </c>
      <c r="AB149" s="107">
        <f t="shared" si="93"/>
        <v>0</v>
      </c>
      <c r="AC149" s="107">
        <f t="shared" si="93"/>
        <v>0</v>
      </c>
      <c r="AD149" s="107">
        <f t="shared" si="93"/>
        <v>0</v>
      </c>
      <c r="AE149" s="107">
        <f t="shared" si="93"/>
        <v>0</v>
      </c>
      <c r="AF149" s="101"/>
      <c r="AG149" s="102">
        <f t="shared" si="84"/>
        <v>0</v>
      </c>
    </row>
    <row r="150" spans="1:33" x14ac:dyDescent="0.3">
      <c r="A150" s="106" t="s">
        <v>32</v>
      </c>
      <c r="B150" s="107">
        <f t="shared" ref="B150:E152" si="94">B156</f>
        <v>0</v>
      </c>
      <c r="C150" s="107">
        <f t="shared" si="94"/>
        <v>0</v>
      </c>
      <c r="D150" s="107">
        <f t="shared" si="94"/>
        <v>0</v>
      </c>
      <c r="E150" s="107">
        <f t="shared" si="94"/>
        <v>0</v>
      </c>
      <c r="F150" s="107"/>
      <c r="G150" s="107"/>
      <c r="H150" s="107">
        <f t="shared" si="93"/>
        <v>0</v>
      </c>
      <c r="I150" s="107">
        <f t="shared" si="93"/>
        <v>0</v>
      </c>
      <c r="J150" s="107">
        <f t="shared" si="93"/>
        <v>0</v>
      </c>
      <c r="K150" s="107">
        <f t="shared" si="93"/>
        <v>0</v>
      </c>
      <c r="L150" s="107">
        <f t="shared" si="93"/>
        <v>0</v>
      </c>
      <c r="M150" s="107">
        <f t="shared" si="93"/>
        <v>0</v>
      </c>
      <c r="N150" s="107">
        <f t="shared" si="93"/>
        <v>0</v>
      </c>
      <c r="O150" s="107">
        <f t="shared" si="93"/>
        <v>0</v>
      </c>
      <c r="P150" s="107">
        <f t="shared" si="93"/>
        <v>0</v>
      </c>
      <c r="Q150" s="107">
        <f t="shared" si="93"/>
        <v>0</v>
      </c>
      <c r="R150" s="107">
        <f t="shared" si="93"/>
        <v>0</v>
      </c>
      <c r="S150" s="107">
        <f t="shared" si="93"/>
        <v>0</v>
      </c>
      <c r="T150" s="107">
        <f t="shared" si="93"/>
        <v>0</v>
      </c>
      <c r="U150" s="107">
        <f t="shared" si="93"/>
        <v>0</v>
      </c>
      <c r="V150" s="107">
        <f t="shared" si="93"/>
        <v>0</v>
      </c>
      <c r="W150" s="107">
        <f t="shared" si="93"/>
        <v>0</v>
      </c>
      <c r="X150" s="107">
        <f t="shared" si="93"/>
        <v>0</v>
      </c>
      <c r="Y150" s="107">
        <f t="shared" si="93"/>
        <v>0</v>
      </c>
      <c r="Z150" s="107">
        <f t="shared" si="93"/>
        <v>0</v>
      </c>
      <c r="AA150" s="107">
        <f t="shared" si="93"/>
        <v>0</v>
      </c>
      <c r="AB150" s="107">
        <f t="shared" si="93"/>
        <v>0</v>
      </c>
      <c r="AC150" s="107">
        <f t="shared" si="93"/>
        <v>0</v>
      </c>
      <c r="AD150" s="107">
        <f t="shared" si="93"/>
        <v>0</v>
      </c>
      <c r="AE150" s="107">
        <f t="shared" si="93"/>
        <v>0</v>
      </c>
      <c r="AF150" s="101"/>
      <c r="AG150" s="102">
        <f t="shared" si="84"/>
        <v>0</v>
      </c>
    </row>
    <row r="151" spans="1:33" x14ac:dyDescent="0.3">
      <c r="A151" s="106" t="s">
        <v>33</v>
      </c>
      <c r="B151" s="107">
        <f t="shared" si="94"/>
        <v>0</v>
      </c>
      <c r="C151" s="107">
        <f t="shared" si="94"/>
        <v>0</v>
      </c>
      <c r="D151" s="107">
        <f t="shared" si="94"/>
        <v>0</v>
      </c>
      <c r="E151" s="107">
        <f t="shared" si="94"/>
        <v>0</v>
      </c>
      <c r="F151" s="107">
        <f>IFERROR(E151/B151*100,0)</f>
        <v>0</v>
      </c>
      <c r="G151" s="107">
        <f>IFERROR(E151/C151*100,0)</f>
        <v>0</v>
      </c>
      <c r="H151" s="107">
        <f t="shared" si="93"/>
        <v>0</v>
      </c>
      <c r="I151" s="107">
        <f t="shared" si="93"/>
        <v>0</v>
      </c>
      <c r="J151" s="107">
        <f t="shared" si="93"/>
        <v>0</v>
      </c>
      <c r="K151" s="107">
        <f t="shared" si="93"/>
        <v>0</v>
      </c>
      <c r="L151" s="107">
        <f t="shared" si="93"/>
        <v>0</v>
      </c>
      <c r="M151" s="107">
        <f t="shared" si="93"/>
        <v>0</v>
      </c>
      <c r="N151" s="107">
        <f t="shared" si="93"/>
        <v>0</v>
      </c>
      <c r="O151" s="107">
        <f t="shared" si="93"/>
        <v>0</v>
      </c>
      <c r="P151" s="107">
        <f t="shared" si="93"/>
        <v>0</v>
      </c>
      <c r="Q151" s="107">
        <f t="shared" si="93"/>
        <v>0</v>
      </c>
      <c r="R151" s="107">
        <f t="shared" si="93"/>
        <v>0</v>
      </c>
      <c r="S151" s="107">
        <f t="shared" si="93"/>
        <v>0</v>
      </c>
      <c r="T151" s="107">
        <f t="shared" si="93"/>
        <v>0</v>
      </c>
      <c r="U151" s="107">
        <f t="shared" si="93"/>
        <v>0</v>
      </c>
      <c r="V151" s="107">
        <f t="shared" si="93"/>
        <v>0</v>
      </c>
      <c r="W151" s="107">
        <f t="shared" si="93"/>
        <v>0</v>
      </c>
      <c r="X151" s="107">
        <f t="shared" si="93"/>
        <v>0</v>
      </c>
      <c r="Y151" s="107">
        <f t="shared" si="93"/>
        <v>0</v>
      </c>
      <c r="Z151" s="107">
        <f t="shared" si="93"/>
        <v>0</v>
      </c>
      <c r="AA151" s="107">
        <f t="shared" si="93"/>
        <v>0</v>
      </c>
      <c r="AB151" s="107">
        <f t="shared" si="93"/>
        <v>0</v>
      </c>
      <c r="AC151" s="107">
        <f t="shared" si="93"/>
        <v>0</v>
      </c>
      <c r="AD151" s="107">
        <f t="shared" si="93"/>
        <v>0</v>
      </c>
      <c r="AE151" s="107">
        <f t="shared" si="93"/>
        <v>0</v>
      </c>
      <c r="AF151" s="101"/>
      <c r="AG151" s="102">
        <f t="shared" si="84"/>
        <v>0</v>
      </c>
    </row>
    <row r="152" spans="1:33" x14ac:dyDescent="0.3">
      <c r="A152" s="106" t="s">
        <v>170</v>
      </c>
      <c r="B152" s="107">
        <f t="shared" si="94"/>
        <v>0</v>
      </c>
      <c r="C152" s="107">
        <f t="shared" si="94"/>
        <v>0</v>
      </c>
      <c r="D152" s="107">
        <f t="shared" si="94"/>
        <v>0</v>
      </c>
      <c r="E152" s="107">
        <f t="shared" si="94"/>
        <v>0</v>
      </c>
      <c r="F152" s="107">
        <f>IFERROR(E152/B152*100,0)</f>
        <v>0</v>
      </c>
      <c r="G152" s="107">
        <f>IFERROR(E152/C152*100,0)</f>
        <v>0</v>
      </c>
      <c r="H152" s="107">
        <f t="shared" si="93"/>
        <v>0</v>
      </c>
      <c r="I152" s="107">
        <f t="shared" si="93"/>
        <v>0</v>
      </c>
      <c r="J152" s="107">
        <f t="shared" si="93"/>
        <v>0</v>
      </c>
      <c r="K152" s="107">
        <f t="shared" si="93"/>
        <v>0</v>
      </c>
      <c r="L152" s="107">
        <f t="shared" si="93"/>
        <v>0</v>
      </c>
      <c r="M152" s="107">
        <f t="shared" si="93"/>
        <v>0</v>
      </c>
      <c r="N152" s="107">
        <f t="shared" si="93"/>
        <v>0</v>
      </c>
      <c r="O152" s="107">
        <f t="shared" si="93"/>
        <v>0</v>
      </c>
      <c r="P152" s="107">
        <f t="shared" si="93"/>
        <v>0</v>
      </c>
      <c r="Q152" s="107">
        <f t="shared" si="93"/>
        <v>0</v>
      </c>
      <c r="R152" s="107">
        <f t="shared" si="93"/>
        <v>0</v>
      </c>
      <c r="S152" s="107">
        <f t="shared" si="93"/>
        <v>0</v>
      </c>
      <c r="T152" s="107">
        <f t="shared" si="93"/>
        <v>0</v>
      </c>
      <c r="U152" s="107">
        <f t="shared" si="93"/>
        <v>0</v>
      </c>
      <c r="V152" s="107">
        <f t="shared" si="93"/>
        <v>0</v>
      </c>
      <c r="W152" s="107">
        <f t="shared" si="93"/>
        <v>0</v>
      </c>
      <c r="X152" s="107">
        <f t="shared" si="93"/>
        <v>0</v>
      </c>
      <c r="Y152" s="107">
        <f t="shared" si="93"/>
        <v>0</v>
      </c>
      <c r="Z152" s="107">
        <f t="shared" si="93"/>
        <v>0</v>
      </c>
      <c r="AA152" s="107">
        <f t="shared" si="93"/>
        <v>0</v>
      </c>
      <c r="AB152" s="107">
        <f t="shared" si="93"/>
        <v>0</v>
      </c>
      <c r="AC152" s="107">
        <f t="shared" si="93"/>
        <v>0</v>
      </c>
      <c r="AD152" s="107">
        <f t="shared" si="93"/>
        <v>0</v>
      </c>
      <c r="AE152" s="107">
        <f t="shared" si="93"/>
        <v>0</v>
      </c>
      <c r="AF152" s="101"/>
      <c r="AG152" s="102">
        <f t="shared" si="84"/>
        <v>0</v>
      </c>
    </row>
    <row r="153" spans="1:33" ht="37.5" x14ac:dyDescent="0.3">
      <c r="A153" s="108" t="s">
        <v>294</v>
      </c>
      <c r="B153" s="131"/>
      <c r="C153" s="132"/>
      <c r="D153" s="132"/>
      <c r="E153" s="132"/>
      <c r="F153" s="132"/>
      <c r="G153" s="132"/>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29"/>
      <c r="AG153" s="102">
        <f t="shared" si="84"/>
        <v>0</v>
      </c>
    </row>
    <row r="154" spans="1:33" x14ac:dyDescent="0.3">
      <c r="A154" s="112" t="s">
        <v>31</v>
      </c>
      <c r="B154" s="113">
        <f>B156+B157+B155+B158</f>
        <v>0</v>
      </c>
      <c r="C154" s="113">
        <f>C156+C157+C155+C158</f>
        <v>0</v>
      </c>
      <c r="D154" s="113">
        <f>D156+D157+D155+D158</f>
        <v>0</v>
      </c>
      <c r="E154" s="113">
        <f>E156+E157+E155+E158</f>
        <v>0</v>
      </c>
      <c r="F154" s="113">
        <f>IFERROR(E154/B154*100,0)</f>
        <v>0</v>
      </c>
      <c r="G154" s="113">
        <f>IFERROR(E154/C154*100,0)</f>
        <v>0</v>
      </c>
      <c r="H154" s="113">
        <f t="shared" ref="H154:AE154" si="95">H156+H157+H155+H158</f>
        <v>0</v>
      </c>
      <c r="I154" s="113">
        <f t="shared" si="95"/>
        <v>0</v>
      </c>
      <c r="J154" s="113">
        <f t="shared" si="95"/>
        <v>0</v>
      </c>
      <c r="K154" s="113">
        <f t="shared" si="95"/>
        <v>0</v>
      </c>
      <c r="L154" s="113">
        <f t="shared" si="95"/>
        <v>0</v>
      </c>
      <c r="M154" s="113">
        <f t="shared" si="95"/>
        <v>0</v>
      </c>
      <c r="N154" s="113">
        <f t="shared" si="95"/>
        <v>0</v>
      </c>
      <c r="O154" s="113">
        <f t="shared" si="95"/>
        <v>0</v>
      </c>
      <c r="P154" s="113">
        <f t="shared" si="95"/>
        <v>0</v>
      </c>
      <c r="Q154" s="113">
        <f t="shared" si="95"/>
        <v>0</v>
      </c>
      <c r="R154" s="113">
        <f t="shared" si="95"/>
        <v>0</v>
      </c>
      <c r="S154" s="113">
        <f t="shared" si="95"/>
        <v>0</v>
      </c>
      <c r="T154" s="113">
        <f t="shared" si="95"/>
        <v>0</v>
      </c>
      <c r="U154" s="113">
        <f t="shared" si="95"/>
        <v>0</v>
      </c>
      <c r="V154" s="113">
        <f t="shared" si="95"/>
        <v>0</v>
      </c>
      <c r="W154" s="113">
        <f t="shared" si="95"/>
        <v>0</v>
      </c>
      <c r="X154" s="113">
        <f t="shared" si="95"/>
        <v>0</v>
      </c>
      <c r="Y154" s="113">
        <f t="shared" si="95"/>
        <v>0</v>
      </c>
      <c r="Z154" s="113">
        <f t="shared" si="95"/>
        <v>0</v>
      </c>
      <c r="AA154" s="113">
        <f t="shared" si="95"/>
        <v>0</v>
      </c>
      <c r="AB154" s="113">
        <f t="shared" si="95"/>
        <v>0</v>
      </c>
      <c r="AC154" s="113">
        <f t="shared" si="95"/>
        <v>0</v>
      </c>
      <c r="AD154" s="113">
        <f t="shared" si="95"/>
        <v>0</v>
      </c>
      <c r="AE154" s="113">
        <f t="shared" si="95"/>
        <v>0</v>
      </c>
      <c r="AF154" s="29"/>
      <c r="AG154" s="102">
        <f t="shared" si="84"/>
        <v>0</v>
      </c>
    </row>
    <row r="155" spans="1:33" x14ac:dyDescent="0.3">
      <c r="A155" s="115" t="s">
        <v>169</v>
      </c>
      <c r="B155" s="116"/>
      <c r="C155" s="117"/>
      <c r="D155" s="118"/>
      <c r="E155" s="117"/>
      <c r="F155" s="116"/>
      <c r="G155" s="116"/>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29"/>
      <c r="AG155" s="102">
        <f t="shared" si="84"/>
        <v>0</v>
      </c>
    </row>
    <row r="156" spans="1:33" x14ac:dyDescent="0.3">
      <c r="A156" s="115" t="s">
        <v>32</v>
      </c>
      <c r="B156" s="116"/>
      <c r="C156" s="117"/>
      <c r="D156" s="118"/>
      <c r="E156" s="117"/>
      <c r="F156" s="116"/>
      <c r="G156" s="116"/>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29"/>
      <c r="AG156" s="102">
        <f t="shared" si="84"/>
        <v>0</v>
      </c>
    </row>
    <row r="157" spans="1:33" x14ac:dyDescent="0.3">
      <c r="A157" s="115" t="s">
        <v>33</v>
      </c>
      <c r="B157" s="116">
        <f>J157+L157+N157+P157+R157+T157+V157+X157+Z157+AB157+AD157+H157</f>
        <v>0</v>
      </c>
      <c r="C157" s="117">
        <f>SUM(H157)</f>
        <v>0</v>
      </c>
      <c r="D157" s="118">
        <f>E157</f>
        <v>0</v>
      </c>
      <c r="E157" s="117">
        <f>SUM(I157,K157,M157,O157,Q157,S157,U157,W157,Y157,AA157,AC157,AE157)</f>
        <v>0</v>
      </c>
      <c r="F157" s="116">
        <f>IFERROR(E157/B157*100,0)</f>
        <v>0</v>
      </c>
      <c r="G157" s="116">
        <f>IFERROR(E157/C157*100,0)</f>
        <v>0</v>
      </c>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29"/>
      <c r="AG157" s="102">
        <f t="shared" si="84"/>
        <v>0</v>
      </c>
    </row>
    <row r="158" spans="1:33" x14ac:dyDescent="0.3">
      <c r="A158" s="123" t="s">
        <v>170</v>
      </c>
      <c r="B158" s="116"/>
      <c r="C158" s="117"/>
      <c r="D158" s="118"/>
      <c r="E158" s="117"/>
      <c r="F158" s="116"/>
      <c r="G158" s="116"/>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29"/>
      <c r="AG158" s="102">
        <f t="shared" si="84"/>
        <v>0</v>
      </c>
    </row>
    <row r="159" spans="1:33" x14ac:dyDescent="0.3">
      <c r="A159" s="908" t="s">
        <v>295</v>
      </c>
      <c r="B159" s="909"/>
      <c r="C159" s="909"/>
      <c r="D159" s="909"/>
      <c r="E159" s="909"/>
      <c r="F159" s="909"/>
      <c r="G159" s="909"/>
      <c r="H159" s="909"/>
      <c r="I159" s="909"/>
      <c r="J159" s="909"/>
      <c r="K159" s="909"/>
      <c r="L159" s="909"/>
      <c r="M159" s="909"/>
      <c r="N159" s="909"/>
      <c r="O159" s="909"/>
      <c r="P159" s="909"/>
      <c r="Q159" s="909"/>
      <c r="R159" s="909"/>
      <c r="S159" s="909"/>
      <c r="T159" s="909"/>
      <c r="U159" s="909"/>
      <c r="V159" s="909"/>
      <c r="W159" s="909"/>
      <c r="X159" s="909"/>
      <c r="Y159" s="909"/>
      <c r="Z159" s="909"/>
      <c r="AA159" s="909"/>
      <c r="AB159" s="909"/>
      <c r="AC159" s="909"/>
      <c r="AD159" s="909"/>
      <c r="AE159" s="909"/>
      <c r="AF159" s="910"/>
      <c r="AG159" s="102">
        <f t="shared" si="84"/>
        <v>0</v>
      </c>
    </row>
    <row r="160" spans="1:33" s="97" customFormat="1" x14ac:dyDescent="0.3">
      <c r="A160" s="908" t="s">
        <v>167</v>
      </c>
      <c r="B160" s="909"/>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10"/>
    </row>
    <row r="161" spans="1:33" ht="56.25" customHeight="1" x14ac:dyDescent="0.3">
      <c r="A161" s="98" t="s">
        <v>296</v>
      </c>
      <c r="B161" s="99"/>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1"/>
      <c r="AG161" s="102">
        <f>B161-H161-J161-L161-N161-P161-R161-T161-V161-X161-Z161-AB161-AD161</f>
        <v>0</v>
      </c>
    </row>
    <row r="162" spans="1:33" x14ac:dyDescent="0.3">
      <c r="A162" s="103" t="s">
        <v>31</v>
      </c>
      <c r="B162" s="104">
        <f>B163+B164+B165+B166</f>
        <v>11</v>
      </c>
      <c r="C162" s="104">
        <f>C163+C164+C165+C166</f>
        <v>11</v>
      </c>
      <c r="D162" s="104">
        <f>D163+D164+D165+D166</f>
        <v>11</v>
      </c>
      <c r="E162" s="104">
        <f>E163+E164+E165+E166</f>
        <v>11</v>
      </c>
      <c r="F162" s="105">
        <f t="shared" ref="F162:F166" si="96">IFERROR(E162/B162*100,0)</f>
        <v>100</v>
      </c>
      <c r="G162" s="105">
        <f t="shared" ref="G162:G166" si="97">IFERROR(E162/C162*100,0)</f>
        <v>100</v>
      </c>
      <c r="H162" s="104">
        <f>H163+H164+H165+H166</f>
        <v>2</v>
      </c>
      <c r="I162" s="104">
        <f t="shared" ref="I162:AE162" si="98">I163+I164+I165+I166</f>
        <v>2</v>
      </c>
      <c r="J162" s="104">
        <f t="shared" si="98"/>
        <v>1</v>
      </c>
      <c r="K162" s="104">
        <f t="shared" si="98"/>
        <v>1</v>
      </c>
      <c r="L162" s="104">
        <f t="shared" si="98"/>
        <v>8</v>
      </c>
      <c r="M162" s="104">
        <f t="shared" si="98"/>
        <v>8</v>
      </c>
      <c r="N162" s="104">
        <f t="shared" si="98"/>
        <v>0</v>
      </c>
      <c r="O162" s="104">
        <f t="shared" si="98"/>
        <v>0</v>
      </c>
      <c r="P162" s="104">
        <f t="shared" si="98"/>
        <v>0</v>
      </c>
      <c r="Q162" s="104">
        <f t="shared" si="98"/>
        <v>0</v>
      </c>
      <c r="R162" s="104">
        <f t="shared" si="98"/>
        <v>0</v>
      </c>
      <c r="S162" s="104">
        <f t="shared" si="98"/>
        <v>0</v>
      </c>
      <c r="T162" s="104">
        <f t="shared" si="98"/>
        <v>0</v>
      </c>
      <c r="U162" s="104">
        <f t="shared" si="98"/>
        <v>0</v>
      </c>
      <c r="V162" s="104">
        <f t="shared" si="98"/>
        <v>0</v>
      </c>
      <c r="W162" s="104">
        <f t="shared" si="98"/>
        <v>0</v>
      </c>
      <c r="X162" s="104">
        <f t="shared" si="98"/>
        <v>0</v>
      </c>
      <c r="Y162" s="104">
        <f t="shared" si="98"/>
        <v>0</v>
      </c>
      <c r="Z162" s="104">
        <f t="shared" si="98"/>
        <v>0</v>
      </c>
      <c r="AA162" s="104">
        <f t="shared" si="98"/>
        <v>0</v>
      </c>
      <c r="AB162" s="104">
        <f t="shared" si="98"/>
        <v>0</v>
      </c>
      <c r="AC162" s="104">
        <f t="shared" si="98"/>
        <v>0</v>
      </c>
      <c r="AD162" s="104">
        <f t="shared" si="98"/>
        <v>0</v>
      </c>
      <c r="AE162" s="104">
        <f t="shared" si="98"/>
        <v>0</v>
      </c>
      <c r="AF162" s="101"/>
      <c r="AG162" s="102">
        <f t="shared" ref="AG162:AG172" si="99">B162-H162-J162-L162-N162-P162-R162-T162-V162-X162-Z162-AB162-AD162</f>
        <v>0</v>
      </c>
    </row>
    <row r="163" spans="1:33" x14ac:dyDescent="0.3">
      <c r="A163" s="106" t="s">
        <v>169</v>
      </c>
      <c r="B163" s="107">
        <f>B169</f>
        <v>0</v>
      </c>
      <c r="C163" s="107">
        <f t="shared" ref="C163:E163" si="100">C169</f>
        <v>0</v>
      </c>
      <c r="D163" s="107">
        <f t="shared" si="100"/>
        <v>0</v>
      </c>
      <c r="E163" s="107">
        <f t="shared" si="100"/>
        <v>0</v>
      </c>
      <c r="F163" s="107">
        <f t="shared" si="96"/>
        <v>0</v>
      </c>
      <c r="G163" s="107">
        <f t="shared" si="97"/>
        <v>0</v>
      </c>
      <c r="H163" s="107">
        <f t="shared" ref="H163:AE166" si="101">H169</f>
        <v>0</v>
      </c>
      <c r="I163" s="107">
        <f t="shared" si="101"/>
        <v>0</v>
      </c>
      <c r="J163" s="107">
        <f t="shared" si="101"/>
        <v>0</v>
      </c>
      <c r="K163" s="107">
        <f t="shared" si="101"/>
        <v>0</v>
      </c>
      <c r="L163" s="107">
        <f t="shared" si="101"/>
        <v>0</v>
      </c>
      <c r="M163" s="107">
        <f t="shared" si="101"/>
        <v>0</v>
      </c>
      <c r="N163" s="107">
        <f t="shared" si="101"/>
        <v>0</v>
      </c>
      <c r="O163" s="107">
        <f t="shared" si="101"/>
        <v>0</v>
      </c>
      <c r="P163" s="107">
        <f t="shared" si="101"/>
        <v>0</v>
      </c>
      <c r="Q163" s="107">
        <f t="shared" si="101"/>
        <v>0</v>
      </c>
      <c r="R163" s="107">
        <f t="shared" si="101"/>
        <v>0</v>
      </c>
      <c r="S163" s="107">
        <f t="shared" si="101"/>
        <v>0</v>
      </c>
      <c r="T163" s="107">
        <f t="shared" si="101"/>
        <v>0</v>
      </c>
      <c r="U163" s="107">
        <f t="shared" si="101"/>
        <v>0</v>
      </c>
      <c r="V163" s="107">
        <f t="shared" si="101"/>
        <v>0</v>
      </c>
      <c r="W163" s="107">
        <f t="shared" si="101"/>
        <v>0</v>
      </c>
      <c r="X163" s="107">
        <f t="shared" si="101"/>
        <v>0</v>
      </c>
      <c r="Y163" s="107">
        <f t="shared" si="101"/>
        <v>0</v>
      </c>
      <c r="Z163" s="107">
        <f t="shared" si="101"/>
        <v>0</v>
      </c>
      <c r="AA163" s="107">
        <f t="shared" si="101"/>
        <v>0</v>
      </c>
      <c r="AB163" s="107">
        <f t="shared" si="101"/>
        <v>0</v>
      </c>
      <c r="AC163" s="107">
        <f t="shared" si="101"/>
        <v>0</v>
      </c>
      <c r="AD163" s="107">
        <f t="shared" si="101"/>
        <v>0</v>
      </c>
      <c r="AE163" s="107">
        <f t="shared" si="101"/>
        <v>0</v>
      </c>
      <c r="AF163" s="101"/>
      <c r="AG163" s="102">
        <f t="shared" si="99"/>
        <v>0</v>
      </c>
    </row>
    <row r="164" spans="1:33" x14ac:dyDescent="0.3">
      <c r="A164" s="106" t="s">
        <v>32</v>
      </c>
      <c r="B164" s="107">
        <f t="shared" ref="B164:E166" si="102">B170</f>
        <v>0</v>
      </c>
      <c r="C164" s="107">
        <f t="shared" si="102"/>
        <v>0</v>
      </c>
      <c r="D164" s="107">
        <f t="shared" si="102"/>
        <v>0</v>
      </c>
      <c r="E164" s="107">
        <f t="shared" si="102"/>
        <v>0</v>
      </c>
      <c r="F164" s="107">
        <f t="shared" si="96"/>
        <v>0</v>
      </c>
      <c r="G164" s="107">
        <f t="shared" si="97"/>
        <v>0</v>
      </c>
      <c r="H164" s="107">
        <f t="shared" si="101"/>
        <v>0</v>
      </c>
      <c r="I164" s="107">
        <f t="shared" si="101"/>
        <v>0</v>
      </c>
      <c r="J164" s="107">
        <f t="shared" si="101"/>
        <v>0</v>
      </c>
      <c r="K164" s="107">
        <f t="shared" si="101"/>
        <v>0</v>
      </c>
      <c r="L164" s="107">
        <f t="shared" si="101"/>
        <v>0</v>
      </c>
      <c r="M164" s="107">
        <f t="shared" si="101"/>
        <v>0</v>
      </c>
      <c r="N164" s="107">
        <f t="shared" si="101"/>
        <v>0</v>
      </c>
      <c r="O164" s="107">
        <f t="shared" si="101"/>
        <v>0</v>
      </c>
      <c r="P164" s="107">
        <f t="shared" si="101"/>
        <v>0</v>
      </c>
      <c r="Q164" s="107">
        <f t="shared" si="101"/>
        <v>0</v>
      </c>
      <c r="R164" s="107">
        <f t="shared" si="101"/>
        <v>0</v>
      </c>
      <c r="S164" s="107">
        <f t="shared" si="101"/>
        <v>0</v>
      </c>
      <c r="T164" s="107">
        <f t="shared" si="101"/>
        <v>0</v>
      </c>
      <c r="U164" s="107">
        <f t="shared" si="101"/>
        <v>0</v>
      </c>
      <c r="V164" s="107">
        <f t="shared" si="101"/>
        <v>0</v>
      </c>
      <c r="W164" s="107">
        <f t="shared" si="101"/>
        <v>0</v>
      </c>
      <c r="X164" s="107">
        <f t="shared" si="101"/>
        <v>0</v>
      </c>
      <c r="Y164" s="107">
        <f t="shared" si="101"/>
        <v>0</v>
      </c>
      <c r="Z164" s="107">
        <f t="shared" si="101"/>
        <v>0</v>
      </c>
      <c r="AA164" s="107">
        <f t="shared" si="101"/>
        <v>0</v>
      </c>
      <c r="AB164" s="107">
        <f t="shared" si="101"/>
        <v>0</v>
      </c>
      <c r="AC164" s="107">
        <f t="shared" si="101"/>
        <v>0</v>
      </c>
      <c r="AD164" s="107">
        <f t="shared" si="101"/>
        <v>0</v>
      </c>
      <c r="AE164" s="107">
        <f t="shared" si="101"/>
        <v>0</v>
      </c>
      <c r="AF164" s="101"/>
      <c r="AG164" s="102">
        <f t="shared" si="99"/>
        <v>0</v>
      </c>
    </row>
    <row r="165" spans="1:33" x14ac:dyDescent="0.3">
      <c r="A165" s="106" t="s">
        <v>33</v>
      </c>
      <c r="B165" s="805">
        <f t="shared" si="102"/>
        <v>11</v>
      </c>
      <c r="C165" s="107">
        <f t="shared" si="102"/>
        <v>11</v>
      </c>
      <c r="D165" s="107">
        <f t="shared" si="102"/>
        <v>11</v>
      </c>
      <c r="E165" s="107">
        <f t="shared" si="102"/>
        <v>11</v>
      </c>
      <c r="F165" s="107">
        <f t="shared" si="96"/>
        <v>100</v>
      </c>
      <c r="G165" s="107">
        <f t="shared" si="97"/>
        <v>100</v>
      </c>
      <c r="H165" s="107">
        <f t="shared" si="101"/>
        <v>2</v>
      </c>
      <c r="I165" s="107">
        <f t="shared" si="101"/>
        <v>2</v>
      </c>
      <c r="J165" s="107">
        <f t="shared" si="101"/>
        <v>1</v>
      </c>
      <c r="K165" s="107">
        <f t="shared" si="101"/>
        <v>1</v>
      </c>
      <c r="L165" s="107">
        <f t="shared" si="101"/>
        <v>8</v>
      </c>
      <c r="M165" s="107">
        <f t="shared" si="101"/>
        <v>8</v>
      </c>
      <c r="N165" s="107">
        <f t="shared" si="101"/>
        <v>0</v>
      </c>
      <c r="O165" s="107">
        <f t="shared" si="101"/>
        <v>0</v>
      </c>
      <c r="P165" s="107">
        <f t="shared" si="101"/>
        <v>0</v>
      </c>
      <c r="Q165" s="107">
        <f t="shared" si="101"/>
        <v>0</v>
      </c>
      <c r="R165" s="107">
        <f t="shared" si="101"/>
        <v>0</v>
      </c>
      <c r="S165" s="107">
        <f t="shared" si="101"/>
        <v>0</v>
      </c>
      <c r="T165" s="107">
        <f t="shared" si="101"/>
        <v>0</v>
      </c>
      <c r="U165" s="107">
        <f t="shared" si="101"/>
        <v>0</v>
      </c>
      <c r="V165" s="107">
        <f t="shared" si="101"/>
        <v>0</v>
      </c>
      <c r="W165" s="107">
        <f t="shared" si="101"/>
        <v>0</v>
      </c>
      <c r="X165" s="107">
        <f t="shared" si="101"/>
        <v>0</v>
      </c>
      <c r="Y165" s="107">
        <f t="shared" si="101"/>
        <v>0</v>
      </c>
      <c r="Z165" s="107">
        <f t="shared" si="101"/>
        <v>0</v>
      </c>
      <c r="AA165" s="107">
        <f t="shared" si="101"/>
        <v>0</v>
      </c>
      <c r="AB165" s="107">
        <f t="shared" si="101"/>
        <v>0</v>
      </c>
      <c r="AC165" s="107">
        <f t="shared" si="101"/>
        <v>0</v>
      </c>
      <c r="AD165" s="107">
        <f t="shared" si="101"/>
        <v>0</v>
      </c>
      <c r="AE165" s="107">
        <f t="shared" si="101"/>
        <v>0</v>
      </c>
      <c r="AF165" s="101"/>
      <c r="AG165" s="102">
        <f t="shared" si="99"/>
        <v>0</v>
      </c>
    </row>
    <row r="166" spans="1:33" x14ac:dyDescent="0.3">
      <c r="A166" s="106" t="s">
        <v>170</v>
      </c>
      <c r="B166" s="107">
        <f t="shared" si="102"/>
        <v>0</v>
      </c>
      <c r="C166" s="107">
        <f t="shared" si="102"/>
        <v>0</v>
      </c>
      <c r="D166" s="107">
        <f t="shared" si="102"/>
        <v>0</v>
      </c>
      <c r="E166" s="107">
        <f t="shared" si="102"/>
        <v>0</v>
      </c>
      <c r="F166" s="107">
        <f t="shared" si="96"/>
        <v>0</v>
      </c>
      <c r="G166" s="107">
        <f t="shared" si="97"/>
        <v>0</v>
      </c>
      <c r="H166" s="107">
        <f t="shared" si="101"/>
        <v>0</v>
      </c>
      <c r="I166" s="107">
        <f t="shared" si="101"/>
        <v>0</v>
      </c>
      <c r="J166" s="107">
        <f t="shared" si="101"/>
        <v>0</v>
      </c>
      <c r="K166" s="107">
        <f t="shared" si="101"/>
        <v>0</v>
      </c>
      <c r="L166" s="107">
        <f t="shared" si="101"/>
        <v>0</v>
      </c>
      <c r="M166" s="107">
        <f t="shared" si="101"/>
        <v>0</v>
      </c>
      <c r="N166" s="107">
        <f t="shared" si="101"/>
        <v>0</v>
      </c>
      <c r="O166" s="107">
        <f t="shared" si="101"/>
        <v>0</v>
      </c>
      <c r="P166" s="107">
        <f t="shared" si="101"/>
        <v>0</v>
      </c>
      <c r="Q166" s="107">
        <f t="shared" si="101"/>
        <v>0</v>
      </c>
      <c r="R166" s="107">
        <f t="shared" si="101"/>
        <v>0</v>
      </c>
      <c r="S166" s="107">
        <f t="shared" si="101"/>
        <v>0</v>
      </c>
      <c r="T166" s="107">
        <f t="shared" si="101"/>
        <v>0</v>
      </c>
      <c r="U166" s="107">
        <f t="shared" si="101"/>
        <v>0</v>
      </c>
      <c r="V166" s="107">
        <f t="shared" si="101"/>
        <v>0</v>
      </c>
      <c r="W166" s="107">
        <f t="shared" si="101"/>
        <v>0</v>
      </c>
      <c r="X166" s="107">
        <f t="shared" si="101"/>
        <v>0</v>
      </c>
      <c r="Y166" s="107">
        <f t="shared" si="101"/>
        <v>0</v>
      </c>
      <c r="Z166" s="107">
        <f t="shared" si="101"/>
        <v>0</v>
      </c>
      <c r="AA166" s="107">
        <f t="shared" si="101"/>
        <v>0</v>
      </c>
      <c r="AB166" s="107">
        <f t="shared" si="101"/>
        <v>0</v>
      </c>
      <c r="AC166" s="107">
        <f t="shared" si="101"/>
        <v>0</v>
      </c>
      <c r="AD166" s="107">
        <f t="shared" si="101"/>
        <v>0</v>
      </c>
      <c r="AE166" s="107">
        <f t="shared" si="101"/>
        <v>0</v>
      </c>
      <c r="AF166" s="101"/>
      <c r="AG166" s="102">
        <f t="shared" si="99"/>
        <v>0</v>
      </c>
    </row>
    <row r="167" spans="1:33" ht="60.75" customHeight="1" x14ac:dyDescent="0.3">
      <c r="A167" s="108" t="s">
        <v>297</v>
      </c>
      <c r="B167" s="109"/>
      <c r="C167" s="110"/>
      <c r="D167" s="110"/>
      <c r="E167" s="110"/>
      <c r="F167" s="110"/>
      <c r="G167" s="110"/>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29"/>
      <c r="AG167" s="102">
        <f t="shared" si="99"/>
        <v>0</v>
      </c>
    </row>
    <row r="168" spans="1:33" x14ac:dyDescent="0.3">
      <c r="A168" s="112" t="s">
        <v>31</v>
      </c>
      <c r="B168" s="113">
        <f>B170+B171+B169+B172</f>
        <v>11</v>
      </c>
      <c r="C168" s="113">
        <f>C170+C171+C169+C172</f>
        <v>11</v>
      </c>
      <c r="D168" s="114">
        <f>D170+D171+D169+D172</f>
        <v>11</v>
      </c>
      <c r="E168" s="113">
        <f>E170+E171+E169+E172</f>
        <v>11</v>
      </c>
      <c r="F168" s="113">
        <f>IFERROR(E168/B168*100,0)</f>
        <v>100</v>
      </c>
      <c r="G168" s="113">
        <f>IFERROR(E168/C168*100,0)</f>
        <v>100</v>
      </c>
      <c r="H168" s="113">
        <f t="shared" ref="H168:AE168" si="103">H170+H171+H169+H172</f>
        <v>2</v>
      </c>
      <c r="I168" s="113">
        <f t="shared" si="103"/>
        <v>2</v>
      </c>
      <c r="J168" s="113">
        <f t="shared" si="103"/>
        <v>1</v>
      </c>
      <c r="K168" s="113">
        <f t="shared" si="103"/>
        <v>1</v>
      </c>
      <c r="L168" s="113">
        <f t="shared" si="103"/>
        <v>8</v>
      </c>
      <c r="M168" s="113">
        <f t="shared" si="103"/>
        <v>8</v>
      </c>
      <c r="N168" s="113">
        <f t="shared" si="103"/>
        <v>0</v>
      </c>
      <c r="O168" s="113">
        <f t="shared" si="103"/>
        <v>0</v>
      </c>
      <c r="P168" s="113">
        <f t="shared" si="103"/>
        <v>0</v>
      </c>
      <c r="Q168" s="113">
        <f t="shared" si="103"/>
        <v>0</v>
      </c>
      <c r="R168" s="113">
        <f t="shared" si="103"/>
        <v>0</v>
      </c>
      <c r="S168" s="113">
        <f t="shared" si="103"/>
        <v>0</v>
      </c>
      <c r="T168" s="113">
        <f t="shared" si="103"/>
        <v>0</v>
      </c>
      <c r="U168" s="113">
        <f t="shared" si="103"/>
        <v>0</v>
      </c>
      <c r="V168" s="113">
        <f t="shared" si="103"/>
        <v>0</v>
      </c>
      <c r="W168" s="113">
        <f t="shared" si="103"/>
        <v>0</v>
      </c>
      <c r="X168" s="113">
        <f t="shared" si="103"/>
        <v>0</v>
      </c>
      <c r="Y168" s="113">
        <f t="shared" si="103"/>
        <v>0</v>
      </c>
      <c r="Z168" s="113">
        <f t="shared" si="103"/>
        <v>0</v>
      </c>
      <c r="AA168" s="113">
        <f t="shared" si="103"/>
        <v>0</v>
      </c>
      <c r="AB168" s="113">
        <f t="shared" si="103"/>
        <v>0</v>
      </c>
      <c r="AC168" s="113">
        <f t="shared" si="103"/>
        <v>0</v>
      </c>
      <c r="AD168" s="113">
        <f t="shared" si="103"/>
        <v>0</v>
      </c>
      <c r="AE168" s="113">
        <f t="shared" si="103"/>
        <v>0</v>
      </c>
      <c r="AF168" s="29"/>
      <c r="AG168" s="102">
        <f t="shared" si="99"/>
        <v>0</v>
      </c>
    </row>
    <row r="169" spans="1:33" x14ac:dyDescent="0.3">
      <c r="A169" s="115" t="s">
        <v>169</v>
      </c>
      <c r="B169" s="116">
        <f t="shared" ref="B169:B171" si="104">J169+L169+N169+P169+R169+T169+V169+X169+Z169+AB169+AD169+H169</f>
        <v>0</v>
      </c>
      <c r="C169" s="117">
        <f>SUM(H169)</f>
        <v>0</v>
      </c>
      <c r="D169" s="118">
        <f>E169</f>
        <v>0</v>
      </c>
      <c r="E169" s="117">
        <f>SUM(I169,K169,M169,O169,Q169,S169,U169,W169,Y169,AA169,AC169,AE169)</f>
        <v>0</v>
      </c>
      <c r="F169" s="116">
        <f>IFERROR(E169/B169*100,0)</f>
        <v>0</v>
      </c>
      <c r="G169" s="116">
        <f>IFERROR(E169/C169*100,0)</f>
        <v>0</v>
      </c>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29"/>
      <c r="AG169" s="102">
        <f t="shared" si="99"/>
        <v>0</v>
      </c>
    </row>
    <row r="170" spans="1:33" x14ac:dyDescent="0.3">
      <c r="A170" s="115" t="s">
        <v>32</v>
      </c>
      <c r="B170" s="116">
        <f t="shared" si="104"/>
        <v>0</v>
      </c>
      <c r="C170" s="117">
        <f>SUM(H170)</f>
        <v>0</v>
      </c>
      <c r="D170" s="118">
        <f>E170</f>
        <v>0</v>
      </c>
      <c r="E170" s="117">
        <f>SUM(I170,K170,M170,O170,Q170,S170,U170,W170,Y170,AA170,AC170,AE170)</f>
        <v>0</v>
      </c>
      <c r="F170" s="116">
        <f>IFERROR(E170/B170*100,0)</f>
        <v>0</v>
      </c>
      <c r="G170" s="116">
        <f>IFERROR(E170/C170*100,0)</f>
        <v>0</v>
      </c>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29"/>
      <c r="AG170" s="102">
        <f t="shared" si="99"/>
        <v>0</v>
      </c>
    </row>
    <row r="171" spans="1:33" x14ac:dyDescent="0.3">
      <c r="A171" s="115" t="s">
        <v>33</v>
      </c>
      <c r="B171" s="642">
        <f t="shared" si="104"/>
        <v>11</v>
      </c>
      <c r="C171" s="117">
        <f>H171+J171+L171</f>
        <v>11</v>
      </c>
      <c r="D171" s="118">
        <f>E171</f>
        <v>11</v>
      </c>
      <c r="E171" s="117">
        <f>H171+J171+L171</f>
        <v>11</v>
      </c>
      <c r="F171" s="116">
        <f>IFERROR(E171/B171*100,0)</f>
        <v>100</v>
      </c>
      <c r="G171" s="116">
        <f>IFERROR(E171/C171*100,0)</f>
        <v>100</v>
      </c>
      <c r="H171" s="111">
        <v>2</v>
      </c>
      <c r="I171" s="111">
        <v>2</v>
      </c>
      <c r="J171" s="111">
        <v>1</v>
      </c>
      <c r="K171" s="111">
        <v>1</v>
      </c>
      <c r="L171" s="111">
        <v>8</v>
      </c>
      <c r="M171" s="111">
        <v>8</v>
      </c>
      <c r="N171" s="111"/>
      <c r="O171" s="111"/>
      <c r="P171" s="111"/>
      <c r="Q171" s="111"/>
      <c r="R171" s="111"/>
      <c r="S171" s="111"/>
      <c r="T171" s="111"/>
      <c r="U171" s="111"/>
      <c r="V171" s="111"/>
      <c r="W171" s="111"/>
      <c r="X171" s="111"/>
      <c r="Y171" s="111"/>
      <c r="Z171" s="111"/>
      <c r="AA171" s="111"/>
      <c r="AB171" s="111"/>
      <c r="AC171" s="111"/>
      <c r="AD171" s="111"/>
      <c r="AE171" s="111"/>
      <c r="AF171" s="29"/>
      <c r="AG171" s="102">
        <f t="shared" si="99"/>
        <v>0</v>
      </c>
    </row>
    <row r="172" spans="1:33" x14ac:dyDescent="0.3">
      <c r="A172" s="115" t="s">
        <v>170</v>
      </c>
      <c r="B172" s="116"/>
      <c r="C172" s="117"/>
      <c r="D172" s="118"/>
      <c r="E172" s="117"/>
      <c r="F172" s="116"/>
      <c r="G172" s="116"/>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29"/>
      <c r="AG172" s="102">
        <f t="shared" si="99"/>
        <v>0</v>
      </c>
    </row>
    <row r="173" spans="1:33" ht="84" customHeight="1" x14ac:dyDescent="0.3">
      <c r="A173" s="98" t="s">
        <v>298</v>
      </c>
      <c r="B173" s="99"/>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1"/>
      <c r="AG173" s="102">
        <f>B173-H173-J173-L173-N173-P173-R173-T173-V173-X173-Z173-AB173-AD173</f>
        <v>0</v>
      </c>
    </row>
    <row r="174" spans="1:33" x14ac:dyDescent="0.3">
      <c r="A174" s="103" t="s">
        <v>31</v>
      </c>
      <c r="B174" s="104">
        <f>B175+B176+B177+B178</f>
        <v>1178.60149</v>
      </c>
      <c r="C174" s="104">
        <f>C175+C176+C177+C178</f>
        <v>294.64</v>
      </c>
      <c r="D174" s="104">
        <f>D175+D176+D177+D178</f>
        <v>294.64</v>
      </c>
      <c r="E174" s="104">
        <f>E175+E176+E177+E178</f>
        <v>293.85799999999995</v>
      </c>
      <c r="F174" s="105">
        <f t="shared" ref="F174:F178" si="105">IFERROR(E174/B174*100,0)</f>
        <v>24.932770108749818</v>
      </c>
      <c r="G174" s="105">
        <f t="shared" ref="G174:G178" si="106">IFERROR(E174/C174*100,0)</f>
        <v>99.734591365734431</v>
      </c>
      <c r="H174" s="104">
        <f>H175+H176+H177+H178</f>
        <v>0</v>
      </c>
      <c r="I174" s="104">
        <f t="shared" ref="I174:AE174" si="107">I175+I176+I177+I178</f>
        <v>0</v>
      </c>
      <c r="J174" s="104">
        <f t="shared" si="107"/>
        <v>123.75</v>
      </c>
      <c r="K174" s="104">
        <f t="shared" si="107"/>
        <v>123.8</v>
      </c>
      <c r="L174" s="104">
        <f t="shared" si="107"/>
        <v>170.89000000000001</v>
      </c>
      <c r="M174" s="104">
        <f t="shared" si="107"/>
        <v>170.05799999999999</v>
      </c>
      <c r="N174" s="104">
        <f t="shared" si="107"/>
        <v>92.210000000000008</v>
      </c>
      <c r="O174" s="104">
        <f t="shared" si="107"/>
        <v>0</v>
      </c>
      <c r="P174" s="104">
        <f t="shared" si="107"/>
        <v>176.8364</v>
      </c>
      <c r="Q174" s="104">
        <f t="shared" si="107"/>
        <v>0</v>
      </c>
      <c r="R174" s="104">
        <f t="shared" si="107"/>
        <v>98.418229999999994</v>
      </c>
      <c r="S174" s="104">
        <f t="shared" si="107"/>
        <v>0</v>
      </c>
      <c r="T174" s="104">
        <f t="shared" si="107"/>
        <v>58.305</v>
      </c>
      <c r="U174" s="104">
        <f t="shared" si="107"/>
        <v>0</v>
      </c>
      <c r="V174" s="104">
        <f t="shared" si="107"/>
        <v>73.86515</v>
      </c>
      <c r="W174" s="104">
        <f t="shared" si="107"/>
        <v>0</v>
      </c>
      <c r="X174" s="104">
        <f t="shared" si="107"/>
        <v>98.430229999999995</v>
      </c>
      <c r="Y174" s="104">
        <f t="shared" si="107"/>
        <v>0</v>
      </c>
      <c r="Z174" s="104">
        <f t="shared" si="107"/>
        <v>98.460229999999996</v>
      </c>
      <c r="AA174" s="104">
        <f t="shared" si="107"/>
        <v>0</v>
      </c>
      <c r="AB174" s="104">
        <f t="shared" si="107"/>
        <v>98.43225000000001</v>
      </c>
      <c r="AC174" s="104">
        <f t="shared" si="107"/>
        <v>0</v>
      </c>
      <c r="AD174" s="104">
        <f t="shared" si="107"/>
        <v>89.004000000000005</v>
      </c>
      <c r="AE174" s="104">
        <f t="shared" si="107"/>
        <v>0</v>
      </c>
      <c r="AF174" s="101"/>
      <c r="AG174" s="102">
        <f t="shared" ref="AG174:AG184" si="108">B174-H174-J174-L174-N174-P174-R174-T174-V174-X174-Z174-AB174-AD174</f>
        <v>0</v>
      </c>
    </row>
    <row r="175" spans="1:33" x14ac:dyDescent="0.3">
      <c r="A175" s="106" t="s">
        <v>169</v>
      </c>
      <c r="B175" s="107">
        <f>B181</f>
        <v>455.10403000000002</v>
      </c>
      <c r="C175" s="107">
        <f t="shared" ref="C175:E175" si="109">C181</f>
        <v>113.76</v>
      </c>
      <c r="D175" s="107">
        <f t="shared" si="109"/>
        <v>113.76</v>
      </c>
      <c r="E175" s="107">
        <f t="shared" si="109"/>
        <v>113.75999999999999</v>
      </c>
      <c r="F175" s="107">
        <f t="shared" si="105"/>
        <v>24.996482672324387</v>
      </c>
      <c r="G175" s="107">
        <f t="shared" si="106"/>
        <v>99.999999999999986</v>
      </c>
      <c r="H175" s="107">
        <f t="shared" ref="H175:AE178" si="110">H181</f>
        <v>0</v>
      </c>
      <c r="I175" s="107">
        <f t="shared" si="110"/>
        <v>0</v>
      </c>
      <c r="J175" s="107">
        <f t="shared" si="110"/>
        <v>47.78</v>
      </c>
      <c r="K175" s="107">
        <f t="shared" si="110"/>
        <v>47.9</v>
      </c>
      <c r="L175" s="107">
        <f t="shared" si="110"/>
        <v>65.98</v>
      </c>
      <c r="M175" s="107">
        <f t="shared" si="110"/>
        <v>65.86</v>
      </c>
      <c r="N175" s="107">
        <f t="shared" si="110"/>
        <v>35.630000000000003</v>
      </c>
      <c r="O175" s="107">
        <f t="shared" si="110"/>
        <v>0</v>
      </c>
      <c r="P175" s="107">
        <f t="shared" si="110"/>
        <v>68.342010000000002</v>
      </c>
      <c r="Q175" s="107">
        <f t="shared" si="110"/>
        <v>0</v>
      </c>
      <c r="R175" s="107">
        <f t="shared" si="110"/>
        <v>38</v>
      </c>
      <c r="S175" s="107">
        <f t="shared" si="110"/>
        <v>0</v>
      </c>
      <c r="T175" s="107">
        <f t="shared" si="110"/>
        <v>22.51</v>
      </c>
      <c r="U175" s="107">
        <f t="shared" si="110"/>
        <v>0</v>
      </c>
      <c r="V175" s="107">
        <f t="shared" si="110"/>
        <v>28.52</v>
      </c>
      <c r="W175" s="107">
        <f t="shared" si="110"/>
        <v>0</v>
      </c>
      <c r="X175" s="107">
        <f t="shared" si="110"/>
        <v>38</v>
      </c>
      <c r="Y175" s="107">
        <f t="shared" si="110"/>
        <v>0</v>
      </c>
      <c r="Z175" s="107">
        <f t="shared" si="110"/>
        <v>38.03</v>
      </c>
      <c r="AA175" s="107">
        <f t="shared" si="110"/>
        <v>0</v>
      </c>
      <c r="AB175" s="107">
        <f t="shared" si="110"/>
        <v>38.002020000000002</v>
      </c>
      <c r="AC175" s="107">
        <f t="shared" si="110"/>
        <v>0</v>
      </c>
      <c r="AD175" s="107">
        <f t="shared" si="110"/>
        <v>34.31</v>
      </c>
      <c r="AE175" s="107">
        <f t="shared" si="110"/>
        <v>0</v>
      </c>
      <c r="AF175" s="101"/>
      <c r="AG175" s="102">
        <f t="shared" si="108"/>
        <v>0</v>
      </c>
    </row>
    <row r="176" spans="1:33" x14ac:dyDescent="0.3">
      <c r="A176" s="106" t="s">
        <v>32</v>
      </c>
      <c r="B176" s="107">
        <f t="shared" ref="B176:E178" si="111">B182</f>
        <v>711.69846000000007</v>
      </c>
      <c r="C176" s="107">
        <f t="shared" si="111"/>
        <v>177.93</v>
      </c>
      <c r="D176" s="107">
        <f t="shared" si="111"/>
        <v>177.93</v>
      </c>
      <c r="E176" s="107">
        <f t="shared" si="111"/>
        <v>177.91</v>
      </c>
      <c r="F176" s="107">
        <f t="shared" si="105"/>
        <v>24.997946461764155</v>
      </c>
      <c r="G176" s="107">
        <f t="shared" si="106"/>
        <v>99.988759624571458</v>
      </c>
      <c r="H176" s="107">
        <f t="shared" si="110"/>
        <v>0</v>
      </c>
      <c r="I176" s="107">
        <f t="shared" si="110"/>
        <v>0</v>
      </c>
      <c r="J176" s="107">
        <f t="shared" si="110"/>
        <v>74.73</v>
      </c>
      <c r="K176" s="107">
        <f t="shared" si="110"/>
        <v>74.7</v>
      </c>
      <c r="L176" s="107">
        <f t="shared" si="110"/>
        <v>103.2</v>
      </c>
      <c r="M176" s="107">
        <f t="shared" si="110"/>
        <v>103.21</v>
      </c>
      <c r="N176" s="107">
        <f t="shared" si="110"/>
        <v>55.68</v>
      </c>
      <c r="O176" s="107">
        <f t="shared" si="110"/>
        <v>0</v>
      </c>
      <c r="P176" s="107">
        <f t="shared" si="110"/>
        <v>106.77439</v>
      </c>
      <c r="Q176" s="107">
        <f t="shared" si="110"/>
        <v>0</v>
      </c>
      <c r="R176" s="107">
        <f t="shared" si="110"/>
        <v>59.430230000000002</v>
      </c>
      <c r="S176" s="107">
        <f t="shared" si="110"/>
        <v>0</v>
      </c>
      <c r="T176" s="107">
        <f t="shared" si="110"/>
        <v>35.21</v>
      </c>
      <c r="U176" s="107">
        <f t="shared" si="110"/>
        <v>0</v>
      </c>
      <c r="V176" s="107">
        <f t="shared" si="110"/>
        <v>44.603149999999999</v>
      </c>
      <c r="W176" s="107">
        <f t="shared" si="110"/>
        <v>0</v>
      </c>
      <c r="X176" s="107">
        <f t="shared" si="110"/>
        <v>59.430230000000002</v>
      </c>
      <c r="Y176" s="107">
        <f t="shared" si="110"/>
        <v>0</v>
      </c>
      <c r="Z176" s="107">
        <f t="shared" si="110"/>
        <v>59.430230000000002</v>
      </c>
      <c r="AA176" s="107">
        <f t="shared" si="110"/>
        <v>0</v>
      </c>
      <c r="AB176" s="107">
        <f t="shared" si="110"/>
        <v>59.430230000000002</v>
      </c>
      <c r="AC176" s="107">
        <f t="shared" si="110"/>
        <v>0</v>
      </c>
      <c r="AD176" s="107">
        <f t="shared" si="110"/>
        <v>53.78</v>
      </c>
      <c r="AE176" s="107">
        <f t="shared" si="110"/>
        <v>0</v>
      </c>
      <c r="AF176" s="101"/>
      <c r="AG176" s="102">
        <f t="shared" si="108"/>
        <v>0</v>
      </c>
    </row>
    <row r="177" spans="1:33" x14ac:dyDescent="0.3">
      <c r="A177" s="106" t="s">
        <v>33</v>
      </c>
      <c r="B177" s="805">
        <f t="shared" si="111"/>
        <v>11.798999999999999</v>
      </c>
      <c r="C177" s="107">
        <f t="shared" si="111"/>
        <v>2.95</v>
      </c>
      <c r="D177" s="107">
        <f t="shared" si="111"/>
        <v>2.95</v>
      </c>
      <c r="E177" s="107">
        <f t="shared" si="111"/>
        <v>2.1879999999999997</v>
      </c>
      <c r="F177" s="107">
        <f t="shared" si="105"/>
        <v>18.543944402067972</v>
      </c>
      <c r="G177" s="107">
        <f t="shared" si="106"/>
        <v>74.169491525423709</v>
      </c>
      <c r="H177" s="107">
        <f t="shared" si="110"/>
        <v>0</v>
      </c>
      <c r="I177" s="107">
        <f t="shared" si="110"/>
        <v>0</v>
      </c>
      <c r="J177" s="107">
        <f t="shared" si="110"/>
        <v>1.24</v>
      </c>
      <c r="K177" s="107">
        <f t="shared" si="110"/>
        <v>1.2</v>
      </c>
      <c r="L177" s="107">
        <f t="shared" si="110"/>
        <v>1.71</v>
      </c>
      <c r="M177" s="107">
        <f t="shared" si="110"/>
        <v>0.98799999999999999</v>
      </c>
      <c r="N177" s="107">
        <f t="shared" si="110"/>
        <v>0.9</v>
      </c>
      <c r="O177" s="107">
        <f t="shared" si="110"/>
        <v>0</v>
      </c>
      <c r="P177" s="107">
        <f t="shared" si="110"/>
        <v>1.72</v>
      </c>
      <c r="Q177" s="107">
        <f t="shared" si="110"/>
        <v>0</v>
      </c>
      <c r="R177" s="107">
        <f t="shared" si="110"/>
        <v>0.98799999999999999</v>
      </c>
      <c r="S177" s="107">
        <f t="shared" si="110"/>
        <v>0</v>
      </c>
      <c r="T177" s="107">
        <f t="shared" si="110"/>
        <v>0.58499999999999996</v>
      </c>
      <c r="U177" s="107">
        <f t="shared" si="110"/>
        <v>0</v>
      </c>
      <c r="V177" s="107">
        <f t="shared" si="110"/>
        <v>0.74199999999999999</v>
      </c>
      <c r="W177" s="107">
        <f t="shared" si="110"/>
        <v>0</v>
      </c>
      <c r="X177" s="107">
        <f t="shared" si="110"/>
        <v>1</v>
      </c>
      <c r="Y177" s="107">
        <f t="shared" si="110"/>
        <v>0</v>
      </c>
      <c r="Z177" s="107">
        <f t="shared" si="110"/>
        <v>1</v>
      </c>
      <c r="AA177" s="107">
        <f t="shared" si="110"/>
        <v>0</v>
      </c>
      <c r="AB177" s="107">
        <f t="shared" si="110"/>
        <v>1</v>
      </c>
      <c r="AC177" s="107">
        <f t="shared" si="110"/>
        <v>0</v>
      </c>
      <c r="AD177" s="107">
        <f t="shared" si="110"/>
        <v>0.91400000000000003</v>
      </c>
      <c r="AE177" s="107">
        <f t="shared" si="110"/>
        <v>0</v>
      </c>
      <c r="AF177" s="101"/>
      <c r="AG177" s="102">
        <f t="shared" si="108"/>
        <v>0</v>
      </c>
    </row>
    <row r="178" spans="1:33" x14ac:dyDescent="0.3">
      <c r="A178" s="106" t="s">
        <v>170</v>
      </c>
      <c r="B178" s="107">
        <f>B184</f>
        <v>0</v>
      </c>
      <c r="C178" s="107">
        <f t="shared" si="111"/>
        <v>0</v>
      </c>
      <c r="D178" s="107">
        <f t="shared" si="111"/>
        <v>0</v>
      </c>
      <c r="E178" s="107">
        <f t="shared" si="111"/>
        <v>0</v>
      </c>
      <c r="F178" s="107">
        <f t="shared" si="105"/>
        <v>0</v>
      </c>
      <c r="G178" s="107">
        <f t="shared" si="106"/>
        <v>0</v>
      </c>
      <c r="H178" s="107">
        <f t="shared" si="110"/>
        <v>0</v>
      </c>
      <c r="I178" s="107">
        <f t="shared" si="110"/>
        <v>0</v>
      </c>
      <c r="J178" s="107">
        <f t="shared" si="110"/>
        <v>0</v>
      </c>
      <c r="K178" s="107">
        <f t="shared" si="110"/>
        <v>0</v>
      </c>
      <c r="L178" s="107">
        <f t="shared" si="110"/>
        <v>0</v>
      </c>
      <c r="M178" s="107">
        <f t="shared" si="110"/>
        <v>0</v>
      </c>
      <c r="N178" s="107">
        <f t="shared" si="110"/>
        <v>0</v>
      </c>
      <c r="O178" s="107">
        <f t="shared" si="110"/>
        <v>0</v>
      </c>
      <c r="P178" s="107">
        <f t="shared" si="110"/>
        <v>0</v>
      </c>
      <c r="Q178" s="107">
        <f t="shared" si="110"/>
        <v>0</v>
      </c>
      <c r="R178" s="107">
        <f t="shared" si="110"/>
        <v>0</v>
      </c>
      <c r="S178" s="107">
        <f t="shared" si="110"/>
        <v>0</v>
      </c>
      <c r="T178" s="107">
        <f t="shared" si="110"/>
        <v>0</v>
      </c>
      <c r="U178" s="107">
        <f t="shared" si="110"/>
        <v>0</v>
      </c>
      <c r="V178" s="107">
        <f t="shared" si="110"/>
        <v>0</v>
      </c>
      <c r="W178" s="107">
        <f t="shared" si="110"/>
        <v>0</v>
      </c>
      <c r="X178" s="107">
        <f t="shared" si="110"/>
        <v>0</v>
      </c>
      <c r="Y178" s="107">
        <f t="shared" si="110"/>
        <v>0</v>
      </c>
      <c r="Z178" s="107">
        <f t="shared" si="110"/>
        <v>0</v>
      </c>
      <c r="AA178" s="107">
        <f t="shared" si="110"/>
        <v>0</v>
      </c>
      <c r="AB178" s="107">
        <f t="shared" si="110"/>
        <v>0</v>
      </c>
      <c r="AC178" s="107">
        <f t="shared" si="110"/>
        <v>0</v>
      </c>
      <c r="AD178" s="107">
        <f t="shared" si="110"/>
        <v>0</v>
      </c>
      <c r="AE178" s="107">
        <f t="shared" si="110"/>
        <v>0</v>
      </c>
      <c r="AF178" s="101"/>
      <c r="AG178" s="102">
        <f t="shared" si="108"/>
        <v>0</v>
      </c>
    </row>
    <row r="179" spans="1:33" ht="102.75" customHeight="1" x14ac:dyDescent="0.3">
      <c r="A179" s="108" t="s">
        <v>299</v>
      </c>
      <c r="B179" s="109"/>
      <c r="C179" s="110"/>
      <c r="D179" s="110"/>
      <c r="E179" s="110"/>
      <c r="F179" s="110"/>
      <c r="G179" s="110"/>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29"/>
      <c r="AG179" s="102">
        <f t="shared" si="108"/>
        <v>0</v>
      </c>
    </row>
    <row r="180" spans="1:33" x14ac:dyDescent="0.3">
      <c r="A180" s="112" t="s">
        <v>31</v>
      </c>
      <c r="B180" s="113">
        <f>B182+B183+B181+B184</f>
        <v>1178.60149</v>
      </c>
      <c r="C180" s="113">
        <f>C182+C183+C181+C184</f>
        <v>294.64</v>
      </c>
      <c r="D180" s="114">
        <f>D182+D183+D181+D184</f>
        <v>294.64</v>
      </c>
      <c r="E180" s="113">
        <f>E182+E183+E181+E184</f>
        <v>293.85799999999995</v>
      </c>
      <c r="F180" s="113">
        <f>IFERROR(E180/B180*100,0)</f>
        <v>24.932770108749818</v>
      </c>
      <c r="G180" s="113">
        <f>IFERROR(E180/C180*100,0)</f>
        <v>99.734591365734431</v>
      </c>
      <c r="H180" s="113">
        <f t="shared" ref="H180:AE180" si="112">H182+H183+H181+H184</f>
        <v>0</v>
      </c>
      <c r="I180" s="113">
        <f t="shared" si="112"/>
        <v>0</v>
      </c>
      <c r="J180" s="113">
        <f t="shared" si="112"/>
        <v>123.75</v>
      </c>
      <c r="K180" s="113">
        <f t="shared" si="112"/>
        <v>123.80000000000001</v>
      </c>
      <c r="L180" s="113">
        <f t="shared" si="112"/>
        <v>170.89</v>
      </c>
      <c r="M180" s="113">
        <f t="shared" si="112"/>
        <v>170.05799999999999</v>
      </c>
      <c r="N180" s="113">
        <f t="shared" si="112"/>
        <v>92.210000000000008</v>
      </c>
      <c r="O180" s="113">
        <f t="shared" si="112"/>
        <v>0</v>
      </c>
      <c r="P180" s="113">
        <f t="shared" si="112"/>
        <v>176.8364</v>
      </c>
      <c r="Q180" s="113">
        <f t="shared" si="112"/>
        <v>0</v>
      </c>
      <c r="R180" s="113">
        <f t="shared" si="112"/>
        <v>98.418229999999994</v>
      </c>
      <c r="S180" s="113">
        <f t="shared" si="112"/>
        <v>0</v>
      </c>
      <c r="T180" s="113">
        <f t="shared" si="112"/>
        <v>58.305000000000007</v>
      </c>
      <c r="U180" s="113">
        <f t="shared" si="112"/>
        <v>0</v>
      </c>
      <c r="V180" s="113">
        <f t="shared" si="112"/>
        <v>73.86515</v>
      </c>
      <c r="W180" s="113">
        <f t="shared" si="112"/>
        <v>0</v>
      </c>
      <c r="X180" s="113">
        <f t="shared" si="112"/>
        <v>98.430229999999995</v>
      </c>
      <c r="Y180" s="113">
        <f t="shared" si="112"/>
        <v>0</v>
      </c>
      <c r="Z180" s="113">
        <f t="shared" si="112"/>
        <v>98.460229999999996</v>
      </c>
      <c r="AA180" s="113">
        <f t="shared" si="112"/>
        <v>0</v>
      </c>
      <c r="AB180" s="113">
        <f t="shared" si="112"/>
        <v>98.43225000000001</v>
      </c>
      <c r="AC180" s="113">
        <f t="shared" si="112"/>
        <v>0</v>
      </c>
      <c r="AD180" s="113">
        <f t="shared" si="112"/>
        <v>89.004000000000005</v>
      </c>
      <c r="AE180" s="113">
        <f t="shared" si="112"/>
        <v>0</v>
      </c>
      <c r="AF180" s="29"/>
      <c r="AG180" s="102">
        <f t="shared" si="108"/>
        <v>0</v>
      </c>
    </row>
    <row r="181" spans="1:33" x14ac:dyDescent="0.3">
      <c r="A181" s="115" t="s">
        <v>169</v>
      </c>
      <c r="B181" s="857">
        <f t="shared" ref="B181:B183" si="113">J181+L181+N181+P181+R181+T181+V181+X181+Z181+AB181+AD181+H181</f>
        <v>455.10403000000002</v>
      </c>
      <c r="C181" s="858">
        <f>H181+J181+L181</f>
        <v>113.76</v>
      </c>
      <c r="D181" s="859">
        <f>C181</f>
        <v>113.76</v>
      </c>
      <c r="E181" s="858">
        <f>SUM(I181,K181,M181,O181,Q181,S181,U181,W181,Y181,AA181,AC181,AE181)</f>
        <v>113.75999999999999</v>
      </c>
      <c r="F181" s="857">
        <f>IFERROR(E181/B181*100,0)</f>
        <v>24.996482672324387</v>
      </c>
      <c r="G181" s="857">
        <f>IFERROR(E181/C181*100,0)</f>
        <v>99.999999999999986</v>
      </c>
      <c r="H181" s="529">
        <v>0</v>
      </c>
      <c r="I181" s="529"/>
      <c r="J181" s="529">
        <v>47.78</v>
      </c>
      <c r="K181" s="529">
        <v>47.9</v>
      </c>
      <c r="L181" s="529">
        <v>65.98</v>
      </c>
      <c r="M181" s="529">
        <v>65.86</v>
      </c>
      <c r="N181" s="529">
        <v>35.630000000000003</v>
      </c>
      <c r="O181" s="529"/>
      <c r="P181" s="529">
        <v>68.342010000000002</v>
      </c>
      <c r="Q181" s="529"/>
      <c r="R181" s="529">
        <v>38</v>
      </c>
      <c r="S181" s="529"/>
      <c r="T181" s="529">
        <v>22.51</v>
      </c>
      <c r="U181" s="111"/>
      <c r="V181" s="111">
        <v>28.52</v>
      </c>
      <c r="W181" s="111"/>
      <c r="X181" s="111">
        <v>38</v>
      </c>
      <c r="Y181" s="111"/>
      <c r="Z181" s="111">
        <v>38.03</v>
      </c>
      <c r="AA181" s="111"/>
      <c r="AB181" s="111">
        <v>38.002020000000002</v>
      </c>
      <c r="AC181" s="111"/>
      <c r="AD181" s="111">
        <v>34.31</v>
      </c>
      <c r="AE181" s="111"/>
      <c r="AF181" s="29"/>
      <c r="AG181" s="102">
        <f t="shared" si="108"/>
        <v>0</v>
      </c>
    </row>
    <row r="182" spans="1:33" x14ac:dyDescent="0.3">
      <c r="A182" s="115" t="s">
        <v>32</v>
      </c>
      <c r="B182" s="857">
        <f>J182+L182+N182+P182+R182+T182+V182+X182+Z182+AB182+AD182+H182</f>
        <v>711.69846000000007</v>
      </c>
      <c r="C182" s="858">
        <f>H182+J182+L182</f>
        <v>177.93</v>
      </c>
      <c r="D182" s="859">
        <f t="shared" ref="D182" si="114">C182</f>
        <v>177.93</v>
      </c>
      <c r="E182" s="858">
        <f>SUM(I182,K182,M182,O182,Q182,S182,U182,W182,Y182,AA182,AC182,AE182)</f>
        <v>177.91</v>
      </c>
      <c r="F182" s="857">
        <f>IFERROR(E182/B182*100,0)</f>
        <v>24.997946461764155</v>
      </c>
      <c r="G182" s="857">
        <f>IFERROR(E182/C182*100,0)</f>
        <v>99.988759624571458</v>
      </c>
      <c r="H182" s="529">
        <v>0</v>
      </c>
      <c r="I182" s="529"/>
      <c r="J182" s="529">
        <v>74.73</v>
      </c>
      <c r="K182" s="529">
        <v>74.7</v>
      </c>
      <c r="L182" s="529">
        <v>103.2</v>
      </c>
      <c r="M182" s="529">
        <v>103.21</v>
      </c>
      <c r="N182" s="529">
        <v>55.68</v>
      </c>
      <c r="O182" s="529"/>
      <c r="P182" s="529">
        <v>106.77439</v>
      </c>
      <c r="Q182" s="529"/>
      <c r="R182" s="529">
        <v>59.430230000000002</v>
      </c>
      <c r="S182" s="529"/>
      <c r="T182" s="529">
        <v>35.21</v>
      </c>
      <c r="U182" s="111"/>
      <c r="V182" s="111">
        <v>44.603149999999999</v>
      </c>
      <c r="W182" s="111"/>
      <c r="X182" s="111">
        <v>59.430230000000002</v>
      </c>
      <c r="Y182" s="111"/>
      <c r="Z182" s="111">
        <v>59.430230000000002</v>
      </c>
      <c r="AA182" s="111"/>
      <c r="AB182" s="111">
        <v>59.430230000000002</v>
      </c>
      <c r="AC182" s="111"/>
      <c r="AD182" s="761">
        <v>53.78</v>
      </c>
      <c r="AE182" s="111"/>
      <c r="AF182" s="29"/>
      <c r="AG182" s="102">
        <f t="shared" si="108"/>
        <v>0</v>
      </c>
    </row>
    <row r="183" spans="1:33" x14ac:dyDescent="0.3">
      <c r="A183" s="115" t="s">
        <v>33</v>
      </c>
      <c r="B183" s="857">
        <f t="shared" si="113"/>
        <v>11.798999999999999</v>
      </c>
      <c r="C183" s="858">
        <f>H183+J183+L183</f>
        <v>2.95</v>
      </c>
      <c r="D183" s="859">
        <f>C183</f>
        <v>2.95</v>
      </c>
      <c r="E183" s="858">
        <f>SUM(I183,K183,M183,O183,Q183,S183,U183,W183,Y183,AA183,AC183,AE183)</f>
        <v>2.1879999999999997</v>
      </c>
      <c r="F183" s="857">
        <f>IFERROR(E183/B183*100,0)</f>
        <v>18.543944402067972</v>
      </c>
      <c r="G183" s="857">
        <f>IFERROR(E183/C183*100,0)</f>
        <v>74.169491525423709</v>
      </c>
      <c r="H183" s="529"/>
      <c r="I183" s="529"/>
      <c r="J183" s="529">
        <v>1.24</v>
      </c>
      <c r="K183" s="529">
        <v>1.2</v>
      </c>
      <c r="L183" s="529">
        <v>1.71</v>
      </c>
      <c r="M183" s="529">
        <v>0.98799999999999999</v>
      </c>
      <c r="N183" s="529">
        <v>0.9</v>
      </c>
      <c r="O183" s="529"/>
      <c r="P183" s="529">
        <v>1.72</v>
      </c>
      <c r="Q183" s="529"/>
      <c r="R183" s="529">
        <v>0.98799999999999999</v>
      </c>
      <c r="S183" s="529"/>
      <c r="T183" s="529">
        <v>0.58499999999999996</v>
      </c>
      <c r="U183" s="111"/>
      <c r="V183" s="111">
        <v>0.74199999999999999</v>
      </c>
      <c r="W183" s="111"/>
      <c r="X183" s="111">
        <v>1</v>
      </c>
      <c r="Y183" s="111"/>
      <c r="Z183" s="111">
        <v>1</v>
      </c>
      <c r="AA183" s="111"/>
      <c r="AB183" s="111">
        <v>1</v>
      </c>
      <c r="AC183" s="111"/>
      <c r="AD183" s="111">
        <v>0.91400000000000003</v>
      </c>
      <c r="AE183" s="111"/>
      <c r="AF183" s="29"/>
      <c r="AG183" s="102">
        <f t="shared" si="108"/>
        <v>0</v>
      </c>
    </row>
    <row r="184" spans="1:33" x14ac:dyDescent="0.3">
      <c r="A184" s="115" t="s">
        <v>170</v>
      </c>
      <c r="B184" s="116"/>
      <c r="C184" s="117"/>
      <c r="D184" s="118"/>
      <c r="E184" s="117"/>
      <c r="F184" s="116"/>
      <c r="G184" s="116"/>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29"/>
      <c r="AG184" s="102">
        <f t="shared" si="108"/>
        <v>0</v>
      </c>
    </row>
    <row r="185" spans="1:33" x14ac:dyDescent="0.3">
      <c r="A185" s="908" t="s">
        <v>54</v>
      </c>
      <c r="B185" s="909"/>
      <c r="C185" s="909"/>
      <c r="D185" s="909"/>
      <c r="E185" s="909"/>
      <c r="F185" s="909"/>
      <c r="G185" s="909"/>
      <c r="H185" s="909"/>
      <c r="I185" s="909"/>
      <c r="J185" s="909"/>
      <c r="K185" s="909"/>
      <c r="L185" s="909"/>
      <c r="M185" s="909"/>
      <c r="N185" s="909"/>
      <c r="O185" s="909"/>
      <c r="P185" s="909"/>
      <c r="Q185" s="909"/>
      <c r="R185" s="909"/>
      <c r="S185" s="909"/>
      <c r="T185" s="909"/>
      <c r="U185" s="909"/>
      <c r="V185" s="909"/>
      <c r="W185" s="909"/>
      <c r="X185" s="909"/>
      <c r="Y185" s="909"/>
      <c r="Z185" s="909"/>
      <c r="AA185" s="909"/>
      <c r="AB185" s="909"/>
      <c r="AC185" s="909"/>
      <c r="AD185" s="909"/>
      <c r="AE185" s="909"/>
      <c r="AF185" s="910"/>
      <c r="AG185" s="102">
        <f t="shared" si="84"/>
        <v>0</v>
      </c>
    </row>
    <row r="186" spans="1:33" ht="75" x14ac:dyDescent="0.3">
      <c r="A186" s="139" t="s">
        <v>300</v>
      </c>
      <c r="B186" s="140"/>
      <c r="C186" s="141"/>
      <c r="D186" s="141"/>
      <c r="E186" s="141"/>
      <c r="F186" s="141"/>
      <c r="G186" s="141"/>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01"/>
      <c r="AG186" s="102">
        <f t="shared" si="84"/>
        <v>0</v>
      </c>
    </row>
    <row r="187" spans="1:33" x14ac:dyDescent="0.3">
      <c r="A187" s="103" t="s">
        <v>31</v>
      </c>
      <c r="B187" s="104">
        <f>B188+B189+B190+B191</f>
        <v>1903.7</v>
      </c>
      <c r="C187" s="104">
        <f>C188+C189+C190+C191</f>
        <v>100</v>
      </c>
      <c r="D187" s="104">
        <f>D188+D189+D190+D191</f>
        <v>100</v>
      </c>
      <c r="E187" s="104">
        <f>E188+E189+E190+E191</f>
        <v>100</v>
      </c>
      <c r="F187" s="107">
        <f>IFERROR(E187/B187*100,0)</f>
        <v>5.252928507643011</v>
      </c>
      <c r="G187" s="107">
        <f>IFERROR(E187/C187*100,0)</f>
        <v>100</v>
      </c>
      <c r="H187" s="104">
        <f>H188+H189+H190+H191</f>
        <v>100</v>
      </c>
      <c r="I187" s="104">
        <f t="shared" ref="I187:AE187" si="115">I188+I189+I190+I191</f>
        <v>100</v>
      </c>
      <c r="J187" s="104">
        <f t="shared" si="115"/>
        <v>383.5</v>
      </c>
      <c r="K187" s="104">
        <f t="shared" si="115"/>
        <v>0</v>
      </c>
      <c r="L187" s="104">
        <f t="shared" si="115"/>
        <v>487.2</v>
      </c>
      <c r="M187" s="104">
        <f t="shared" si="115"/>
        <v>0</v>
      </c>
      <c r="N187" s="104">
        <f t="shared" si="115"/>
        <v>108.2</v>
      </c>
      <c r="O187" s="104">
        <f t="shared" si="115"/>
        <v>0</v>
      </c>
      <c r="P187" s="104">
        <f t="shared" si="115"/>
        <v>100.2</v>
      </c>
      <c r="Q187" s="104">
        <f t="shared" si="115"/>
        <v>0</v>
      </c>
      <c r="R187" s="104">
        <f t="shared" si="115"/>
        <v>111.6</v>
      </c>
      <c r="S187" s="104">
        <f t="shared" si="115"/>
        <v>0</v>
      </c>
      <c r="T187" s="104">
        <f t="shared" si="115"/>
        <v>0</v>
      </c>
      <c r="U187" s="104">
        <f t="shared" si="115"/>
        <v>0</v>
      </c>
      <c r="V187" s="104">
        <f t="shared" si="115"/>
        <v>13.6</v>
      </c>
      <c r="W187" s="104">
        <f t="shared" si="115"/>
        <v>0</v>
      </c>
      <c r="X187" s="104">
        <f t="shared" si="115"/>
        <v>19.399999999999999</v>
      </c>
      <c r="Y187" s="104">
        <f t="shared" si="115"/>
        <v>0</v>
      </c>
      <c r="Z187" s="104">
        <f t="shared" si="115"/>
        <v>0</v>
      </c>
      <c r="AA187" s="104">
        <f t="shared" si="115"/>
        <v>0</v>
      </c>
      <c r="AB187" s="104">
        <f t="shared" si="115"/>
        <v>0</v>
      </c>
      <c r="AC187" s="104">
        <f t="shared" si="115"/>
        <v>0</v>
      </c>
      <c r="AD187" s="104">
        <f t="shared" si="115"/>
        <v>580</v>
      </c>
      <c r="AE187" s="104">
        <f t="shared" si="115"/>
        <v>0</v>
      </c>
      <c r="AF187" s="101"/>
      <c r="AG187" s="102">
        <f t="shared" si="84"/>
        <v>0</v>
      </c>
    </row>
    <row r="188" spans="1:33" x14ac:dyDescent="0.3">
      <c r="A188" s="106" t="s">
        <v>169</v>
      </c>
      <c r="B188" s="107">
        <f>B194+B200</f>
        <v>0</v>
      </c>
      <c r="C188" s="107">
        <f t="shared" ref="C188:E188" si="116">C194+C200</f>
        <v>0</v>
      </c>
      <c r="D188" s="107">
        <f t="shared" si="116"/>
        <v>0</v>
      </c>
      <c r="E188" s="107">
        <f t="shared" si="116"/>
        <v>0</v>
      </c>
      <c r="F188" s="107"/>
      <c r="G188" s="107"/>
      <c r="H188" s="107">
        <f t="shared" ref="H188:AE191" si="117">H194+H200</f>
        <v>0</v>
      </c>
      <c r="I188" s="107">
        <f t="shared" si="117"/>
        <v>0</v>
      </c>
      <c r="J188" s="107">
        <f t="shared" si="117"/>
        <v>0</v>
      </c>
      <c r="K188" s="107">
        <f t="shared" si="117"/>
        <v>0</v>
      </c>
      <c r="L188" s="107">
        <f t="shared" si="117"/>
        <v>0</v>
      </c>
      <c r="M188" s="107">
        <f t="shared" si="117"/>
        <v>0</v>
      </c>
      <c r="N188" s="107">
        <f t="shared" si="117"/>
        <v>0</v>
      </c>
      <c r="O188" s="107">
        <f t="shared" si="117"/>
        <v>0</v>
      </c>
      <c r="P188" s="107">
        <f t="shared" si="117"/>
        <v>0</v>
      </c>
      <c r="Q188" s="107">
        <f t="shared" si="117"/>
        <v>0</v>
      </c>
      <c r="R188" s="107">
        <f t="shared" si="117"/>
        <v>0</v>
      </c>
      <c r="S188" s="107">
        <f t="shared" si="117"/>
        <v>0</v>
      </c>
      <c r="T188" s="107">
        <f t="shared" si="117"/>
        <v>0</v>
      </c>
      <c r="U188" s="107">
        <f t="shared" si="117"/>
        <v>0</v>
      </c>
      <c r="V188" s="107">
        <f t="shared" si="117"/>
        <v>0</v>
      </c>
      <c r="W188" s="107">
        <f t="shared" si="117"/>
        <v>0</v>
      </c>
      <c r="X188" s="107">
        <f t="shared" si="117"/>
        <v>0</v>
      </c>
      <c r="Y188" s="107">
        <f t="shared" si="117"/>
        <v>0</v>
      </c>
      <c r="Z188" s="107">
        <f t="shared" si="117"/>
        <v>0</v>
      </c>
      <c r="AA188" s="107">
        <f t="shared" si="117"/>
        <v>0</v>
      </c>
      <c r="AB188" s="107">
        <f t="shared" si="117"/>
        <v>0</v>
      </c>
      <c r="AC188" s="107">
        <f t="shared" si="117"/>
        <v>0</v>
      </c>
      <c r="AD188" s="107">
        <f t="shared" si="117"/>
        <v>0</v>
      </c>
      <c r="AE188" s="107">
        <f t="shared" si="117"/>
        <v>0</v>
      </c>
      <c r="AF188" s="101"/>
      <c r="AG188" s="102">
        <f t="shared" si="84"/>
        <v>0</v>
      </c>
    </row>
    <row r="189" spans="1:33" x14ac:dyDescent="0.3">
      <c r="A189" s="106" t="s">
        <v>32</v>
      </c>
      <c r="B189" s="107">
        <f t="shared" ref="B189:E191" si="118">B195+B201</f>
        <v>0</v>
      </c>
      <c r="C189" s="107">
        <f t="shared" si="118"/>
        <v>0</v>
      </c>
      <c r="D189" s="107">
        <f t="shared" si="118"/>
        <v>0</v>
      </c>
      <c r="E189" s="107">
        <f t="shared" si="118"/>
        <v>0</v>
      </c>
      <c r="F189" s="107"/>
      <c r="G189" s="107"/>
      <c r="H189" s="107">
        <f t="shared" si="117"/>
        <v>0</v>
      </c>
      <c r="I189" s="107">
        <f t="shared" si="117"/>
        <v>0</v>
      </c>
      <c r="J189" s="107">
        <f t="shared" si="117"/>
        <v>0</v>
      </c>
      <c r="K189" s="107">
        <f t="shared" si="117"/>
        <v>0</v>
      </c>
      <c r="L189" s="107">
        <f t="shared" si="117"/>
        <v>0</v>
      </c>
      <c r="M189" s="107">
        <f t="shared" si="117"/>
        <v>0</v>
      </c>
      <c r="N189" s="107">
        <f t="shared" si="117"/>
        <v>0</v>
      </c>
      <c r="O189" s="107">
        <f t="shared" si="117"/>
        <v>0</v>
      </c>
      <c r="P189" s="107">
        <f t="shared" si="117"/>
        <v>0</v>
      </c>
      <c r="Q189" s="107">
        <f t="shared" si="117"/>
        <v>0</v>
      </c>
      <c r="R189" s="107">
        <f t="shared" si="117"/>
        <v>0</v>
      </c>
      <c r="S189" s="107">
        <f t="shared" si="117"/>
        <v>0</v>
      </c>
      <c r="T189" s="107">
        <f t="shared" si="117"/>
        <v>0</v>
      </c>
      <c r="U189" s="107">
        <f t="shared" si="117"/>
        <v>0</v>
      </c>
      <c r="V189" s="107">
        <f t="shared" si="117"/>
        <v>0</v>
      </c>
      <c r="W189" s="107">
        <f t="shared" si="117"/>
        <v>0</v>
      </c>
      <c r="X189" s="107">
        <f t="shared" si="117"/>
        <v>0</v>
      </c>
      <c r="Y189" s="107">
        <f t="shared" si="117"/>
        <v>0</v>
      </c>
      <c r="Z189" s="107">
        <f t="shared" si="117"/>
        <v>0</v>
      </c>
      <c r="AA189" s="107">
        <f t="shared" si="117"/>
        <v>0</v>
      </c>
      <c r="AB189" s="107">
        <f t="shared" si="117"/>
        <v>0</v>
      </c>
      <c r="AC189" s="107">
        <f t="shared" si="117"/>
        <v>0</v>
      </c>
      <c r="AD189" s="107">
        <f t="shared" si="117"/>
        <v>0</v>
      </c>
      <c r="AE189" s="107">
        <f t="shared" si="117"/>
        <v>0</v>
      </c>
      <c r="AF189" s="101"/>
      <c r="AG189" s="102">
        <f t="shared" si="84"/>
        <v>0</v>
      </c>
    </row>
    <row r="190" spans="1:33" x14ac:dyDescent="0.3">
      <c r="A190" s="106" t="s">
        <v>33</v>
      </c>
      <c r="B190" s="107">
        <f t="shared" si="118"/>
        <v>1903.7</v>
      </c>
      <c r="C190" s="107">
        <f t="shared" si="118"/>
        <v>100</v>
      </c>
      <c r="D190" s="107">
        <f t="shared" si="118"/>
        <v>100</v>
      </c>
      <c r="E190" s="107">
        <f t="shared" si="118"/>
        <v>100</v>
      </c>
      <c r="F190" s="107">
        <f>IFERROR(E190/B190*100,0)</f>
        <v>5.252928507643011</v>
      </c>
      <c r="G190" s="107">
        <f>IFERROR(E190/C190*100,0)</f>
        <v>100</v>
      </c>
      <c r="H190" s="107">
        <f t="shared" si="117"/>
        <v>100</v>
      </c>
      <c r="I190" s="107">
        <f t="shared" si="117"/>
        <v>100</v>
      </c>
      <c r="J190" s="107">
        <f t="shared" si="117"/>
        <v>383.5</v>
      </c>
      <c r="K190" s="107">
        <f t="shared" si="117"/>
        <v>0</v>
      </c>
      <c r="L190" s="107">
        <f t="shared" si="117"/>
        <v>487.2</v>
      </c>
      <c r="M190" s="107">
        <f t="shared" si="117"/>
        <v>0</v>
      </c>
      <c r="N190" s="107">
        <f t="shared" si="117"/>
        <v>108.2</v>
      </c>
      <c r="O190" s="107">
        <f t="shared" si="117"/>
        <v>0</v>
      </c>
      <c r="P190" s="107">
        <f t="shared" si="117"/>
        <v>100.2</v>
      </c>
      <c r="Q190" s="107">
        <f t="shared" si="117"/>
        <v>0</v>
      </c>
      <c r="R190" s="107">
        <f t="shared" si="117"/>
        <v>111.6</v>
      </c>
      <c r="S190" s="107">
        <f t="shared" si="117"/>
        <v>0</v>
      </c>
      <c r="T190" s="107">
        <f t="shared" si="117"/>
        <v>0</v>
      </c>
      <c r="U190" s="107">
        <f t="shared" si="117"/>
        <v>0</v>
      </c>
      <c r="V190" s="107">
        <f t="shared" si="117"/>
        <v>13.6</v>
      </c>
      <c r="W190" s="107">
        <f t="shared" si="117"/>
        <v>0</v>
      </c>
      <c r="X190" s="107">
        <f t="shared" si="117"/>
        <v>19.399999999999999</v>
      </c>
      <c r="Y190" s="107">
        <f t="shared" si="117"/>
        <v>0</v>
      </c>
      <c r="Z190" s="107">
        <f t="shared" si="117"/>
        <v>0</v>
      </c>
      <c r="AA190" s="107">
        <f t="shared" si="117"/>
        <v>0</v>
      </c>
      <c r="AB190" s="107">
        <f t="shared" si="117"/>
        <v>0</v>
      </c>
      <c r="AC190" s="107">
        <f t="shared" si="117"/>
        <v>0</v>
      </c>
      <c r="AD190" s="107">
        <f t="shared" si="117"/>
        <v>580</v>
      </c>
      <c r="AE190" s="107">
        <f t="shared" si="117"/>
        <v>0</v>
      </c>
      <c r="AF190" s="101"/>
      <c r="AG190" s="102">
        <f t="shared" si="84"/>
        <v>0</v>
      </c>
    </row>
    <row r="191" spans="1:33" x14ac:dyDescent="0.3">
      <c r="A191" s="106" t="s">
        <v>170</v>
      </c>
      <c r="B191" s="107">
        <f t="shared" si="118"/>
        <v>0</v>
      </c>
      <c r="C191" s="107">
        <f t="shared" si="118"/>
        <v>0</v>
      </c>
      <c r="D191" s="107">
        <f t="shared" si="118"/>
        <v>0</v>
      </c>
      <c r="E191" s="107">
        <f t="shared" si="118"/>
        <v>0</v>
      </c>
      <c r="F191" s="107"/>
      <c r="G191" s="107"/>
      <c r="H191" s="107">
        <f t="shared" si="117"/>
        <v>0</v>
      </c>
      <c r="I191" s="107">
        <f t="shared" si="117"/>
        <v>0</v>
      </c>
      <c r="J191" s="107">
        <f t="shared" si="117"/>
        <v>0</v>
      </c>
      <c r="K191" s="107">
        <f t="shared" si="117"/>
        <v>0</v>
      </c>
      <c r="L191" s="107">
        <f t="shared" si="117"/>
        <v>0</v>
      </c>
      <c r="M191" s="107">
        <f t="shared" si="117"/>
        <v>0</v>
      </c>
      <c r="N191" s="107">
        <f t="shared" si="117"/>
        <v>0</v>
      </c>
      <c r="O191" s="107">
        <f t="shared" si="117"/>
        <v>0</v>
      </c>
      <c r="P191" s="107">
        <f t="shared" si="117"/>
        <v>0</v>
      </c>
      <c r="Q191" s="107">
        <f t="shared" si="117"/>
        <v>0</v>
      </c>
      <c r="R191" s="107">
        <f t="shared" si="117"/>
        <v>0</v>
      </c>
      <c r="S191" s="107">
        <f t="shared" si="117"/>
        <v>0</v>
      </c>
      <c r="T191" s="107">
        <f t="shared" si="117"/>
        <v>0</v>
      </c>
      <c r="U191" s="107">
        <f t="shared" si="117"/>
        <v>0</v>
      </c>
      <c r="V191" s="107">
        <f t="shared" si="117"/>
        <v>0</v>
      </c>
      <c r="W191" s="107">
        <f t="shared" si="117"/>
        <v>0</v>
      </c>
      <c r="X191" s="107">
        <f t="shared" si="117"/>
        <v>0</v>
      </c>
      <c r="Y191" s="107">
        <f t="shared" si="117"/>
        <v>0</v>
      </c>
      <c r="Z191" s="107">
        <f t="shared" si="117"/>
        <v>0</v>
      </c>
      <c r="AA191" s="107">
        <f t="shared" si="117"/>
        <v>0</v>
      </c>
      <c r="AB191" s="107">
        <f t="shared" si="117"/>
        <v>0</v>
      </c>
      <c r="AC191" s="107">
        <f t="shared" si="117"/>
        <v>0</v>
      </c>
      <c r="AD191" s="107">
        <f t="shared" si="117"/>
        <v>0</v>
      </c>
      <c r="AE191" s="107">
        <f t="shared" si="117"/>
        <v>0</v>
      </c>
      <c r="AF191" s="101"/>
      <c r="AG191" s="102">
        <f t="shared" si="84"/>
        <v>0</v>
      </c>
    </row>
    <row r="192" spans="1:33" ht="80.25" customHeight="1" x14ac:dyDescent="0.3">
      <c r="A192" s="851" t="s">
        <v>301</v>
      </c>
      <c r="B192" s="642"/>
      <c r="C192" s="110"/>
      <c r="D192" s="110"/>
      <c r="E192" s="110"/>
      <c r="F192" s="110"/>
      <c r="G192" s="110"/>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29"/>
      <c r="AG192" s="102">
        <f t="shared" si="84"/>
        <v>0</v>
      </c>
    </row>
    <row r="193" spans="1:33" x14ac:dyDescent="0.3">
      <c r="A193" s="638" t="s">
        <v>31</v>
      </c>
      <c r="B193" s="639">
        <f>B195+B196+B194+B197</f>
        <v>1803.7</v>
      </c>
      <c r="C193" s="113">
        <f>C195+C196+C194+C197</f>
        <v>0</v>
      </c>
      <c r="D193" s="114">
        <f>D195+D196+D194+D197</f>
        <v>0</v>
      </c>
      <c r="E193" s="113">
        <f>E195+E196+E194+E197</f>
        <v>0</v>
      </c>
      <c r="F193" s="113">
        <f>IFERROR(E193/B193*100,0)</f>
        <v>0</v>
      </c>
      <c r="G193" s="113">
        <f>IFERROR(E193/C193*100,0)</f>
        <v>0</v>
      </c>
      <c r="H193" s="113">
        <f t="shared" ref="H193:AE193" si="119">H195+H196+H194+H197</f>
        <v>0</v>
      </c>
      <c r="I193" s="113">
        <f t="shared" si="119"/>
        <v>0</v>
      </c>
      <c r="J193" s="113">
        <f t="shared" si="119"/>
        <v>383.5</v>
      </c>
      <c r="K193" s="113">
        <f t="shared" si="119"/>
        <v>0</v>
      </c>
      <c r="L193" s="113">
        <f t="shared" si="119"/>
        <v>487.2</v>
      </c>
      <c r="M193" s="113">
        <f t="shared" si="119"/>
        <v>0</v>
      </c>
      <c r="N193" s="113">
        <f t="shared" si="119"/>
        <v>108.2</v>
      </c>
      <c r="O193" s="113">
        <f t="shared" si="119"/>
        <v>0</v>
      </c>
      <c r="P193" s="113">
        <f t="shared" si="119"/>
        <v>100.2</v>
      </c>
      <c r="Q193" s="113">
        <f t="shared" si="119"/>
        <v>0</v>
      </c>
      <c r="R193" s="113">
        <f t="shared" si="119"/>
        <v>111.6</v>
      </c>
      <c r="S193" s="113">
        <f t="shared" si="119"/>
        <v>0</v>
      </c>
      <c r="T193" s="113">
        <f t="shared" si="119"/>
        <v>0</v>
      </c>
      <c r="U193" s="113">
        <f t="shared" si="119"/>
        <v>0</v>
      </c>
      <c r="V193" s="113">
        <f t="shared" si="119"/>
        <v>13.6</v>
      </c>
      <c r="W193" s="113">
        <f t="shared" si="119"/>
        <v>0</v>
      </c>
      <c r="X193" s="113">
        <f t="shared" si="119"/>
        <v>19.399999999999999</v>
      </c>
      <c r="Y193" s="113">
        <f t="shared" si="119"/>
        <v>0</v>
      </c>
      <c r="Z193" s="113">
        <f t="shared" si="119"/>
        <v>0</v>
      </c>
      <c r="AA193" s="113">
        <f t="shared" si="119"/>
        <v>0</v>
      </c>
      <c r="AB193" s="113">
        <f t="shared" si="119"/>
        <v>0</v>
      </c>
      <c r="AC193" s="113">
        <f t="shared" si="119"/>
        <v>0</v>
      </c>
      <c r="AD193" s="113">
        <f t="shared" si="119"/>
        <v>580</v>
      </c>
      <c r="AE193" s="113">
        <f t="shared" si="119"/>
        <v>0</v>
      </c>
      <c r="AF193" s="29"/>
      <c r="AG193" s="102">
        <f t="shared" si="84"/>
        <v>0</v>
      </c>
    </row>
    <row r="194" spans="1:33" x14ac:dyDescent="0.3">
      <c r="A194" s="641" t="s">
        <v>169</v>
      </c>
      <c r="B194" s="642">
        <f t="shared" ref="B194:B195" si="120">J194+L194+N194+P194+R194+T194+V194+X194+Z194+AB194+AD194+H194</f>
        <v>0</v>
      </c>
      <c r="C194" s="117">
        <f>SUM(H194)</f>
        <v>0</v>
      </c>
      <c r="D194" s="118">
        <f>E194</f>
        <v>0</v>
      </c>
      <c r="E194" s="117">
        <f>SUM(I194,K194,M194,O194,Q194,S194,U194,W194,Y194,AA194,AC194,AE194)</f>
        <v>0</v>
      </c>
      <c r="F194" s="116">
        <f>IFERROR(E194/B194*100,0)</f>
        <v>0</v>
      </c>
      <c r="G194" s="116">
        <f>IFERROR(E194/C194*100,0)</f>
        <v>0</v>
      </c>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29"/>
      <c r="AG194" s="102">
        <f t="shared" si="84"/>
        <v>0</v>
      </c>
    </row>
    <row r="195" spans="1:33" x14ac:dyDescent="0.3">
      <c r="A195" s="641" t="s">
        <v>32</v>
      </c>
      <c r="B195" s="642">
        <f t="shared" si="120"/>
        <v>0</v>
      </c>
      <c r="C195" s="117">
        <f>SUM(H195)</f>
        <v>0</v>
      </c>
      <c r="D195" s="118">
        <f>E195</f>
        <v>0</v>
      </c>
      <c r="E195" s="117">
        <f>SUM(I195,K195,M195,O195,Q195,S195,U195,W195,Y195,AA195,AC195,AE195)</f>
        <v>0</v>
      </c>
      <c r="F195" s="116">
        <f>IFERROR(E195/B195*100,0)</f>
        <v>0</v>
      </c>
      <c r="G195" s="116">
        <f>IFERROR(E195/C195*100,0)</f>
        <v>0</v>
      </c>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29"/>
      <c r="AG195" s="102">
        <f t="shared" si="84"/>
        <v>0</v>
      </c>
    </row>
    <row r="196" spans="1:33" x14ac:dyDescent="0.3">
      <c r="A196" s="641" t="s">
        <v>33</v>
      </c>
      <c r="B196" s="642">
        <f>J196+L196+N196+P196+R196+T196+V196+X196+Z196+AB196+AD196+H196</f>
        <v>1803.7</v>
      </c>
      <c r="C196" s="117">
        <f>SUM(H196)</f>
        <v>0</v>
      </c>
      <c r="D196" s="118">
        <f>E196</f>
        <v>0</v>
      </c>
      <c r="E196" s="117">
        <f>SUM(I196,K196,M196,O196,Q196,S196,U196,W196,Y196,AA196,AC196,AE196)</f>
        <v>0</v>
      </c>
      <c r="F196" s="116">
        <f>IFERROR(E196/B196*100,0)</f>
        <v>0</v>
      </c>
      <c r="G196" s="116">
        <f>IFERROR(E196/C196*100,0)</f>
        <v>0</v>
      </c>
      <c r="H196" s="111"/>
      <c r="I196" s="111"/>
      <c r="J196" s="111">
        <v>383.5</v>
      </c>
      <c r="K196" s="111"/>
      <c r="L196" s="111">
        <v>487.2</v>
      </c>
      <c r="M196" s="111"/>
      <c r="N196" s="111">
        <v>108.2</v>
      </c>
      <c r="O196" s="111"/>
      <c r="P196" s="111">
        <v>100.2</v>
      </c>
      <c r="Q196" s="111"/>
      <c r="R196" s="111">
        <v>111.6</v>
      </c>
      <c r="S196" s="111"/>
      <c r="T196" s="111"/>
      <c r="U196" s="111"/>
      <c r="V196" s="111">
        <v>13.6</v>
      </c>
      <c r="W196" s="111"/>
      <c r="X196" s="111">
        <v>19.399999999999999</v>
      </c>
      <c r="Y196" s="111"/>
      <c r="Z196" s="111"/>
      <c r="AA196" s="111"/>
      <c r="AB196" s="111"/>
      <c r="AC196" s="111"/>
      <c r="AD196" s="111">
        <v>580</v>
      </c>
      <c r="AE196" s="111"/>
      <c r="AF196" s="29"/>
      <c r="AG196" s="102">
        <f t="shared" si="84"/>
        <v>0</v>
      </c>
    </row>
    <row r="197" spans="1:33" x14ac:dyDescent="0.3">
      <c r="A197" s="641" t="s">
        <v>170</v>
      </c>
      <c r="B197" s="642"/>
      <c r="C197" s="117"/>
      <c r="D197" s="118"/>
      <c r="E197" s="117"/>
      <c r="F197" s="116"/>
      <c r="G197" s="116"/>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29"/>
      <c r="AG197" s="102">
        <f t="shared" si="84"/>
        <v>0</v>
      </c>
    </row>
    <row r="198" spans="1:33" ht="80.25" customHeight="1" x14ac:dyDescent="0.3">
      <c r="A198" s="851" t="s">
        <v>302</v>
      </c>
      <c r="B198" s="642"/>
      <c r="C198" s="110"/>
      <c r="D198" s="110"/>
      <c r="E198" s="110"/>
      <c r="F198" s="110"/>
      <c r="G198" s="110"/>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29"/>
      <c r="AG198" s="102">
        <f t="shared" si="84"/>
        <v>0</v>
      </c>
    </row>
    <row r="199" spans="1:33" x14ac:dyDescent="0.3">
      <c r="A199" s="638" t="s">
        <v>31</v>
      </c>
      <c r="B199" s="639">
        <f>B201+B202+B200+B203</f>
        <v>100</v>
      </c>
      <c r="C199" s="113">
        <f>C201+C202+C200+C203</f>
        <v>100</v>
      </c>
      <c r="D199" s="114">
        <f>D201+D202+D200+D203</f>
        <v>100</v>
      </c>
      <c r="E199" s="113">
        <f>E201+E202+E200+E203</f>
        <v>100</v>
      </c>
      <c r="F199" s="113">
        <f>IFERROR(E199/B199*100,0)</f>
        <v>100</v>
      </c>
      <c r="G199" s="113">
        <f>IFERROR(E199/C199*100,0)</f>
        <v>100</v>
      </c>
      <c r="H199" s="113">
        <f t="shared" ref="H199:AE199" si="121">H201+H202+H200+H203</f>
        <v>100</v>
      </c>
      <c r="I199" s="113">
        <f t="shared" si="121"/>
        <v>100</v>
      </c>
      <c r="J199" s="113">
        <f t="shared" si="121"/>
        <v>0</v>
      </c>
      <c r="K199" s="113">
        <f t="shared" si="121"/>
        <v>0</v>
      </c>
      <c r="L199" s="113">
        <f t="shared" si="121"/>
        <v>0</v>
      </c>
      <c r="M199" s="113">
        <f t="shared" si="121"/>
        <v>0</v>
      </c>
      <c r="N199" s="113">
        <f t="shared" si="121"/>
        <v>0</v>
      </c>
      <c r="O199" s="113">
        <f t="shared" si="121"/>
        <v>0</v>
      </c>
      <c r="P199" s="113">
        <f t="shared" si="121"/>
        <v>0</v>
      </c>
      <c r="Q199" s="113">
        <f t="shared" si="121"/>
        <v>0</v>
      </c>
      <c r="R199" s="113">
        <f t="shared" si="121"/>
        <v>0</v>
      </c>
      <c r="S199" s="113">
        <f t="shared" si="121"/>
        <v>0</v>
      </c>
      <c r="T199" s="113">
        <f t="shared" si="121"/>
        <v>0</v>
      </c>
      <c r="U199" s="113">
        <f t="shared" si="121"/>
        <v>0</v>
      </c>
      <c r="V199" s="113">
        <f t="shared" si="121"/>
        <v>0</v>
      </c>
      <c r="W199" s="113">
        <f t="shared" si="121"/>
        <v>0</v>
      </c>
      <c r="X199" s="113">
        <f t="shared" si="121"/>
        <v>0</v>
      </c>
      <c r="Y199" s="113">
        <f t="shared" si="121"/>
        <v>0</v>
      </c>
      <c r="Z199" s="113">
        <f t="shared" si="121"/>
        <v>0</v>
      </c>
      <c r="AA199" s="113">
        <f t="shared" si="121"/>
        <v>0</v>
      </c>
      <c r="AB199" s="113">
        <f t="shared" si="121"/>
        <v>0</v>
      </c>
      <c r="AC199" s="113">
        <f t="shared" si="121"/>
        <v>0</v>
      </c>
      <c r="AD199" s="113">
        <f t="shared" si="121"/>
        <v>0</v>
      </c>
      <c r="AE199" s="113">
        <f t="shared" si="121"/>
        <v>0</v>
      </c>
      <c r="AF199" s="29"/>
      <c r="AG199" s="102">
        <f t="shared" si="84"/>
        <v>0</v>
      </c>
    </row>
    <row r="200" spans="1:33" x14ac:dyDescent="0.3">
      <c r="A200" s="641" t="s">
        <v>169</v>
      </c>
      <c r="B200" s="642">
        <f t="shared" ref="B200:B202" si="122">J200+L200+N200+P200+R200+T200+V200+X200+Z200+AB200+AD200+H200</f>
        <v>0</v>
      </c>
      <c r="C200" s="117">
        <f>SUM(H200)</f>
        <v>0</v>
      </c>
      <c r="D200" s="118">
        <f>E200</f>
        <v>0</v>
      </c>
      <c r="E200" s="117">
        <f>SUM(I200,K200,M200,O200,Q200,S200,U200,W200,Y200,AA200,AC200,AE200)</f>
        <v>0</v>
      </c>
      <c r="F200" s="116">
        <f>IFERROR(E200/B200*100,0)</f>
        <v>0</v>
      </c>
      <c r="G200" s="116">
        <f>IFERROR(E200/C200*100,0)</f>
        <v>0</v>
      </c>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29"/>
      <c r="AG200" s="102">
        <f t="shared" si="84"/>
        <v>0</v>
      </c>
    </row>
    <row r="201" spans="1:33" x14ac:dyDescent="0.3">
      <c r="A201" s="641" t="s">
        <v>32</v>
      </c>
      <c r="B201" s="642">
        <f t="shared" si="122"/>
        <v>0</v>
      </c>
      <c r="C201" s="117">
        <f>SUM(H201)</f>
        <v>0</v>
      </c>
      <c r="D201" s="118">
        <f>E201</f>
        <v>0</v>
      </c>
      <c r="E201" s="117">
        <f>SUM(I201,K201,M201,O201,Q201,S201,U201,W201,Y201,AA201,AC201,AE201)</f>
        <v>0</v>
      </c>
      <c r="F201" s="116">
        <f>IFERROR(E201/B201*100,0)</f>
        <v>0</v>
      </c>
      <c r="G201" s="116">
        <f>IFERROR(E201/C201*100,0)</f>
        <v>0</v>
      </c>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29"/>
      <c r="AG201" s="102">
        <f t="shared" si="84"/>
        <v>0</v>
      </c>
    </row>
    <row r="202" spans="1:33" x14ac:dyDescent="0.3">
      <c r="A202" s="641" t="s">
        <v>33</v>
      </c>
      <c r="B202" s="642">
        <f t="shared" si="122"/>
        <v>100</v>
      </c>
      <c r="C202" s="117">
        <f>SUM(H202)</f>
        <v>100</v>
      </c>
      <c r="D202" s="118">
        <f>E202</f>
        <v>100</v>
      </c>
      <c r="E202" s="117">
        <f>SUM(I202,K202,M202,O202,Q202,S202,U202,W202,Y202,AA202,AC202,AE202)</f>
        <v>100</v>
      </c>
      <c r="F202" s="116">
        <f>IFERROR(E202/B202*100,0)</f>
        <v>100</v>
      </c>
      <c r="G202" s="116">
        <f>IFERROR(E202/C202*100,0)</f>
        <v>100</v>
      </c>
      <c r="H202" s="111">
        <v>100</v>
      </c>
      <c r="I202" s="111">
        <v>100</v>
      </c>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29"/>
      <c r="AG202" s="102">
        <f t="shared" si="84"/>
        <v>0</v>
      </c>
    </row>
    <row r="203" spans="1:33" x14ac:dyDescent="0.3">
      <c r="A203" s="115" t="s">
        <v>170</v>
      </c>
      <c r="B203" s="116"/>
      <c r="C203" s="117"/>
      <c r="D203" s="118"/>
      <c r="E203" s="117"/>
      <c r="F203" s="116"/>
      <c r="G203" s="116"/>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29"/>
      <c r="AG203" s="102">
        <f t="shared" si="84"/>
        <v>0</v>
      </c>
    </row>
    <row r="204" spans="1:33" ht="75" x14ac:dyDescent="0.3">
      <c r="A204" s="139" t="s">
        <v>303</v>
      </c>
      <c r="B204" s="140"/>
      <c r="C204" s="141"/>
      <c r="D204" s="141"/>
      <c r="E204" s="141"/>
      <c r="F204" s="141"/>
      <c r="G204" s="141"/>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01"/>
      <c r="AG204" s="102">
        <f t="shared" si="84"/>
        <v>0</v>
      </c>
    </row>
    <row r="205" spans="1:33" x14ac:dyDescent="0.3">
      <c r="A205" s="103" t="s">
        <v>31</v>
      </c>
      <c r="B205" s="104">
        <f>B206+B207+B208+B209</f>
        <v>5139.7999999999993</v>
      </c>
      <c r="C205" s="104">
        <f>C206+C207+C208+C209</f>
        <v>2992.1</v>
      </c>
      <c r="D205" s="104">
        <f>D206+D207+D208+D209</f>
        <v>2992.1</v>
      </c>
      <c r="E205" s="104">
        <f>E206+E207+E208+E209</f>
        <v>2992.1</v>
      </c>
      <c r="F205" s="107">
        <f>IFERROR(E205/B205*100,0)</f>
        <v>58.214327405735631</v>
      </c>
      <c r="G205" s="107">
        <f>IFERROR(E205/C205*100,0)</f>
        <v>100</v>
      </c>
      <c r="H205" s="104">
        <f>H206+H207+H208+H209</f>
        <v>2992.1</v>
      </c>
      <c r="I205" s="104">
        <f t="shared" ref="I205:AE205" si="123">I206+I207+I208+I209</f>
        <v>2992.1</v>
      </c>
      <c r="J205" s="104">
        <f t="shared" si="123"/>
        <v>747.3</v>
      </c>
      <c r="K205" s="104">
        <f t="shared" si="123"/>
        <v>0</v>
      </c>
      <c r="L205" s="104">
        <f t="shared" si="123"/>
        <v>425.4</v>
      </c>
      <c r="M205" s="104">
        <f t="shared" si="123"/>
        <v>0</v>
      </c>
      <c r="N205" s="104">
        <f t="shared" si="123"/>
        <v>397.8</v>
      </c>
      <c r="O205" s="104">
        <f t="shared" si="123"/>
        <v>0</v>
      </c>
      <c r="P205" s="104">
        <f t="shared" si="123"/>
        <v>383.9</v>
      </c>
      <c r="Q205" s="104">
        <f t="shared" si="123"/>
        <v>0</v>
      </c>
      <c r="R205" s="104">
        <f t="shared" si="123"/>
        <v>0</v>
      </c>
      <c r="S205" s="104">
        <f t="shared" si="123"/>
        <v>0</v>
      </c>
      <c r="T205" s="104">
        <f t="shared" si="123"/>
        <v>0</v>
      </c>
      <c r="U205" s="104">
        <f t="shared" si="123"/>
        <v>0</v>
      </c>
      <c r="V205" s="104">
        <f t="shared" si="123"/>
        <v>18</v>
      </c>
      <c r="W205" s="104">
        <f t="shared" si="123"/>
        <v>0</v>
      </c>
      <c r="X205" s="104">
        <f t="shared" si="123"/>
        <v>0</v>
      </c>
      <c r="Y205" s="104">
        <f t="shared" si="123"/>
        <v>0</v>
      </c>
      <c r="Z205" s="104">
        <f t="shared" si="123"/>
        <v>25.3</v>
      </c>
      <c r="AA205" s="104">
        <f t="shared" si="123"/>
        <v>0</v>
      </c>
      <c r="AB205" s="104">
        <f t="shared" si="123"/>
        <v>0</v>
      </c>
      <c r="AC205" s="104">
        <f t="shared" si="123"/>
        <v>0</v>
      </c>
      <c r="AD205" s="104">
        <f t="shared" si="123"/>
        <v>150</v>
      </c>
      <c r="AE205" s="104">
        <f t="shared" si="123"/>
        <v>0</v>
      </c>
      <c r="AF205" s="101"/>
      <c r="AG205" s="102">
        <f t="shared" si="84"/>
        <v>-6.2527760746888816E-13</v>
      </c>
    </row>
    <row r="206" spans="1:33" x14ac:dyDescent="0.3">
      <c r="A206" s="106" t="s">
        <v>169</v>
      </c>
      <c r="B206" s="107">
        <f>B212+B218+B224+B230</f>
        <v>0</v>
      </c>
      <c r="C206" s="107">
        <f t="shared" ref="C206:E206" si="124">C212+C218+C224+C230</f>
        <v>0</v>
      </c>
      <c r="D206" s="107">
        <f t="shared" si="124"/>
        <v>0</v>
      </c>
      <c r="E206" s="107">
        <f t="shared" si="124"/>
        <v>0</v>
      </c>
      <c r="F206" s="107"/>
      <c r="G206" s="107"/>
      <c r="H206" s="107">
        <f t="shared" ref="H206:AE209" si="125">H212+H218+H224+H230</f>
        <v>0</v>
      </c>
      <c r="I206" s="107">
        <f t="shared" si="125"/>
        <v>0</v>
      </c>
      <c r="J206" s="107">
        <f t="shared" si="125"/>
        <v>0</v>
      </c>
      <c r="K206" s="107">
        <f t="shared" si="125"/>
        <v>0</v>
      </c>
      <c r="L206" s="107">
        <f t="shared" si="125"/>
        <v>0</v>
      </c>
      <c r="M206" s="107">
        <f t="shared" si="125"/>
        <v>0</v>
      </c>
      <c r="N206" s="107">
        <f t="shared" si="125"/>
        <v>0</v>
      </c>
      <c r="O206" s="107">
        <f t="shared" si="125"/>
        <v>0</v>
      </c>
      <c r="P206" s="107">
        <f t="shared" si="125"/>
        <v>0</v>
      </c>
      <c r="Q206" s="107">
        <f t="shared" si="125"/>
        <v>0</v>
      </c>
      <c r="R206" s="107">
        <f t="shared" si="125"/>
        <v>0</v>
      </c>
      <c r="S206" s="107">
        <f t="shared" si="125"/>
        <v>0</v>
      </c>
      <c r="T206" s="107">
        <f t="shared" si="125"/>
        <v>0</v>
      </c>
      <c r="U206" s="107">
        <f t="shared" si="125"/>
        <v>0</v>
      </c>
      <c r="V206" s="107">
        <f t="shared" si="125"/>
        <v>0</v>
      </c>
      <c r="W206" s="107">
        <f t="shared" si="125"/>
        <v>0</v>
      </c>
      <c r="X206" s="107">
        <f t="shared" si="125"/>
        <v>0</v>
      </c>
      <c r="Y206" s="107">
        <f t="shared" si="125"/>
        <v>0</v>
      </c>
      <c r="Z206" s="107">
        <f t="shared" si="125"/>
        <v>0</v>
      </c>
      <c r="AA206" s="107">
        <f t="shared" si="125"/>
        <v>0</v>
      </c>
      <c r="AB206" s="107">
        <f t="shared" si="125"/>
        <v>0</v>
      </c>
      <c r="AC206" s="107">
        <f t="shared" si="125"/>
        <v>0</v>
      </c>
      <c r="AD206" s="107">
        <f t="shared" si="125"/>
        <v>0</v>
      </c>
      <c r="AE206" s="107">
        <f t="shared" si="125"/>
        <v>0</v>
      </c>
      <c r="AF206" s="101"/>
      <c r="AG206" s="102">
        <f t="shared" si="84"/>
        <v>0</v>
      </c>
    </row>
    <row r="207" spans="1:33" x14ac:dyDescent="0.3">
      <c r="A207" s="106" t="s">
        <v>32</v>
      </c>
      <c r="B207" s="107">
        <f t="shared" ref="B207:E209" si="126">B213+B219+B225+B231</f>
        <v>0</v>
      </c>
      <c r="C207" s="107">
        <f t="shared" si="126"/>
        <v>0</v>
      </c>
      <c r="D207" s="107">
        <f t="shared" si="126"/>
        <v>0</v>
      </c>
      <c r="E207" s="107">
        <f t="shared" si="126"/>
        <v>0</v>
      </c>
      <c r="F207" s="107"/>
      <c r="G207" s="107"/>
      <c r="H207" s="107">
        <f t="shared" si="125"/>
        <v>0</v>
      </c>
      <c r="I207" s="107">
        <f t="shared" si="125"/>
        <v>0</v>
      </c>
      <c r="J207" s="107">
        <f t="shared" si="125"/>
        <v>0</v>
      </c>
      <c r="K207" s="107">
        <f t="shared" si="125"/>
        <v>0</v>
      </c>
      <c r="L207" s="107">
        <f t="shared" si="125"/>
        <v>0</v>
      </c>
      <c r="M207" s="107">
        <f t="shared" si="125"/>
        <v>0</v>
      </c>
      <c r="N207" s="107">
        <f t="shared" si="125"/>
        <v>0</v>
      </c>
      <c r="O207" s="107">
        <f t="shared" si="125"/>
        <v>0</v>
      </c>
      <c r="P207" s="107">
        <f t="shared" si="125"/>
        <v>0</v>
      </c>
      <c r="Q207" s="107">
        <f t="shared" si="125"/>
        <v>0</v>
      </c>
      <c r="R207" s="107">
        <f t="shared" si="125"/>
        <v>0</v>
      </c>
      <c r="S207" s="107">
        <f t="shared" si="125"/>
        <v>0</v>
      </c>
      <c r="T207" s="107">
        <f t="shared" si="125"/>
        <v>0</v>
      </c>
      <c r="U207" s="107">
        <f t="shared" si="125"/>
        <v>0</v>
      </c>
      <c r="V207" s="107">
        <f t="shared" si="125"/>
        <v>0</v>
      </c>
      <c r="W207" s="107">
        <f t="shared" si="125"/>
        <v>0</v>
      </c>
      <c r="X207" s="107">
        <f t="shared" si="125"/>
        <v>0</v>
      </c>
      <c r="Y207" s="107">
        <f t="shared" si="125"/>
        <v>0</v>
      </c>
      <c r="Z207" s="107">
        <f t="shared" si="125"/>
        <v>0</v>
      </c>
      <c r="AA207" s="107">
        <f t="shared" si="125"/>
        <v>0</v>
      </c>
      <c r="AB207" s="107">
        <f t="shared" si="125"/>
        <v>0</v>
      </c>
      <c r="AC207" s="107">
        <f t="shared" si="125"/>
        <v>0</v>
      </c>
      <c r="AD207" s="107">
        <f t="shared" si="125"/>
        <v>0</v>
      </c>
      <c r="AE207" s="107">
        <f t="shared" si="125"/>
        <v>0</v>
      </c>
      <c r="AF207" s="101"/>
      <c r="AG207" s="102">
        <f t="shared" si="84"/>
        <v>0</v>
      </c>
    </row>
    <row r="208" spans="1:33" x14ac:dyDescent="0.3">
      <c r="A208" s="106" t="s">
        <v>33</v>
      </c>
      <c r="B208" s="107">
        <f>B214+B220+B226+B232</f>
        <v>5139.7999999999993</v>
      </c>
      <c r="C208" s="107">
        <f t="shared" si="126"/>
        <v>2992.1</v>
      </c>
      <c r="D208" s="107">
        <f t="shared" si="126"/>
        <v>2992.1</v>
      </c>
      <c r="E208" s="107">
        <f t="shared" si="126"/>
        <v>2992.1</v>
      </c>
      <c r="F208" s="107">
        <f>IFERROR(E208/B208*100,0)</f>
        <v>58.214327405735631</v>
      </c>
      <c r="G208" s="107">
        <f>IFERROR(E208/C208*100,0)</f>
        <v>100</v>
      </c>
      <c r="H208" s="107">
        <f t="shared" si="125"/>
        <v>2992.1</v>
      </c>
      <c r="I208" s="107">
        <f t="shared" si="125"/>
        <v>2992.1</v>
      </c>
      <c r="J208" s="107">
        <f t="shared" si="125"/>
        <v>747.3</v>
      </c>
      <c r="K208" s="107">
        <f t="shared" si="125"/>
        <v>0</v>
      </c>
      <c r="L208" s="107">
        <f t="shared" si="125"/>
        <v>425.4</v>
      </c>
      <c r="M208" s="107">
        <f t="shared" si="125"/>
        <v>0</v>
      </c>
      <c r="N208" s="107">
        <f t="shared" si="125"/>
        <v>397.8</v>
      </c>
      <c r="O208" s="107">
        <f t="shared" si="125"/>
        <v>0</v>
      </c>
      <c r="P208" s="107">
        <f t="shared" si="125"/>
        <v>383.9</v>
      </c>
      <c r="Q208" s="107">
        <f t="shared" si="125"/>
        <v>0</v>
      </c>
      <c r="R208" s="107">
        <f t="shared" si="125"/>
        <v>0</v>
      </c>
      <c r="S208" s="107">
        <f t="shared" si="125"/>
        <v>0</v>
      </c>
      <c r="T208" s="107">
        <f t="shared" si="125"/>
        <v>0</v>
      </c>
      <c r="U208" s="107">
        <f t="shared" si="125"/>
        <v>0</v>
      </c>
      <c r="V208" s="107">
        <f t="shared" si="125"/>
        <v>18</v>
      </c>
      <c r="W208" s="107">
        <f t="shared" si="125"/>
        <v>0</v>
      </c>
      <c r="X208" s="107">
        <f t="shared" si="125"/>
        <v>0</v>
      </c>
      <c r="Y208" s="107">
        <f t="shared" si="125"/>
        <v>0</v>
      </c>
      <c r="Z208" s="107">
        <f t="shared" si="125"/>
        <v>25.3</v>
      </c>
      <c r="AA208" s="107">
        <f t="shared" si="125"/>
        <v>0</v>
      </c>
      <c r="AB208" s="107">
        <f t="shared" si="125"/>
        <v>0</v>
      </c>
      <c r="AC208" s="107">
        <f t="shared" si="125"/>
        <v>0</v>
      </c>
      <c r="AD208" s="107">
        <f t="shared" si="125"/>
        <v>150</v>
      </c>
      <c r="AE208" s="107">
        <f t="shared" si="125"/>
        <v>0</v>
      </c>
      <c r="AF208" s="101"/>
      <c r="AG208" s="102">
        <f t="shared" si="84"/>
        <v>-6.2527760746888816E-13</v>
      </c>
    </row>
    <row r="209" spans="1:33" x14ac:dyDescent="0.3">
      <c r="A209" s="106" t="s">
        <v>170</v>
      </c>
      <c r="B209" s="107">
        <f t="shared" si="126"/>
        <v>0</v>
      </c>
      <c r="C209" s="107">
        <f t="shared" si="126"/>
        <v>0</v>
      </c>
      <c r="D209" s="107">
        <f t="shared" si="126"/>
        <v>0</v>
      </c>
      <c r="E209" s="107">
        <f t="shared" si="126"/>
        <v>0</v>
      </c>
      <c r="F209" s="107"/>
      <c r="G209" s="107"/>
      <c r="H209" s="107">
        <f t="shared" si="125"/>
        <v>0</v>
      </c>
      <c r="I209" s="107">
        <f t="shared" si="125"/>
        <v>0</v>
      </c>
      <c r="J209" s="107">
        <f t="shared" si="125"/>
        <v>0</v>
      </c>
      <c r="K209" s="107">
        <f t="shared" si="125"/>
        <v>0</v>
      </c>
      <c r="L209" s="107">
        <f t="shared" si="125"/>
        <v>0</v>
      </c>
      <c r="M209" s="107">
        <f t="shared" si="125"/>
        <v>0</v>
      </c>
      <c r="N209" s="107">
        <f t="shared" si="125"/>
        <v>0</v>
      </c>
      <c r="O209" s="107">
        <f t="shared" si="125"/>
        <v>0</v>
      </c>
      <c r="P209" s="107">
        <f t="shared" si="125"/>
        <v>0</v>
      </c>
      <c r="Q209" s="107">
        <f t="shared" si="125"/>
        <v>0</v>
      </c>
      <c r="R209" s="107">
        <f t="shared" si="125"/>
        <v>0</v>
      </c>
      <c r="S209" s="107">
        <f t="shared" si="125"/>
        <v>0</v>
      </c>
      <c r="T209" s="107">
        <f t="shared" si="125"/>
        <v>0</v>
      </c>
      <c r="U209" s="107">
        <f t="shared" si="125"/>
        <v>0</v>
      </c>
      <c r="V209" s="107">
        <f t="shared" si="125"/>
        <v>0</v>
      </c>
      <c r="W209" s="107">
        <f t="shared" si="125"/>
        <v>0</v>
      </c>
      <c r="X209" s="107">
        <f t="shared" si="125"/>
        <v>0</v>
      </c>
      <c r="Y209" s="107">
        <f t="shared" si="125"/>
        <v>0</v>
      </c>
      <c r="Z209" s="107">
        <f t="shared" si="125"/>
        <v>0</v>
      </c>
      <c r="AA209" s="107">
        <f t="shared" si="125"/>
        <v>0</v>
      </c>
      <c r="AB209" s="107">
        <f t="shared" si="125"/>
        <v>0</v>
      </c>
      <c r="AC209" s="107">
        <f t="shared" si="125"/>
        <v>0</v>
      </c>
      <c r="AD209" s="107">
        <f t="shared" si="125"/>
        <v>0</v>
      </c>
      <c r="AE209" s="107">
        <f t="shared" si="125"/>
        <v>0</v>
      </c>
      <c r="AF209" s="101"/>
      <c r="AG209" s="102">
        <f t="shared" si="84"/>
        <v>0</v>
      </c>
    </row>
    <row r="210" spans="1:33" ht="62.25" customHeight="1" x14ac:dyDescent="0.3">
      <c r="A210" s="851" t="s">
        <v>304</v>
      </c>
      <c r="B210" s="642"/>
      <c r="C210" s="110"/>
      <c r="D210" s="110"/>
      <c r="E210" s="110"/>
      <c r="F210" s="110"/>
      <c r="G210" s="110"/>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29"/>
      <c r="AG210" s="102">
        <f t="shared" si="84"/>
        <v>0</v>
      </c>
    </row>
    <row r="211" spans="1:33" x14ac:dyDescent="0.3">
      <c r="A211" s="638" t="s">
        <v>31</v>
      </c>
      <c r="B211" s="639">
        <f>B213+B214+B212+B215</f>
        <v>1781.5999999999997</v>
      </c>
      <c r="C211" s="113">
        <f>C213+C214+C212+C215</f>
        <v>0</v>
      </c>
      <c r="D211" s="114">
        <f>D213+D214+D212+D215</f>
        <v>0</v>
      </c>
      <c r="E211" s="113">
        <f>E213+E214+E212+E215</f>
        <v>0</v>
      </c>
      <c r="F211" s="113">
        <f>IFERROR(E211/B211*100,0)</f>
        <v>0</v>
      </c>
      <c r="G211" s="113">
        <f>IFERROR(E211/C211*100,0)</f>
        <v>0</v>
      </c>
      <c r="H211" s="113">
        <f t="shared" ref="H211:AE211" si="127">H213+H214+H212+H215</f>
        <v>0</v>
      </c>
      <c r="I211" s="113">
        <f t="shared" si="127"/>
        <v>0</v>
      </c>
      <c r="J211" s="113">
        <f t="shared" si="127"/>
        <v>743.9</v>
      </c>
      <c r="K211" s="113">
        <f t="shared" si="127"/>
        <v>0</v>
      </c>
      <c r="L211" s="113">
        <f t="shared" si="127"/>
        <v>212.7</v>
      </c>
      <c r="M211" s="113">
        <f t="shared" si="127"/>
        <v>0</v>
      </c>
      <c r="N211" s="113">
        <f t="shared" si="127"/>
        <v>397.8</v>
      </c>
      <c r="O211" s="113">
        <f t="shared" si="127"/>
        <v>0</v>
      </c>
      <c r="P211" s="113">
        <f t="shared" si="127"/>
        <v>383.9</v>
      </c>
      <c r="Q211" s="113">
        <f t="shared" si="127"/>
        <v>0</v>
      </c>
      <c r="R211" s="113">
        <f t="shared" si="127"/>
        <v>0</v>
      </c>
      <c r="S211" s="113">
        <f t="shared" si="127"/>
        <v>0</v>
      </c>
      <c r="T211" s="113">
        <f t="shared" si="127"/>
        <v>0</v>
      </c>
      <c r="U211" s="113">
        <f t="shared" si="127"/>
        <v>0</v>
      </c>
      <c r="V211" s="113">
        <f t="shared" si="127"/>
        <v>18</v>
      </c>
      <c r="W211" s="113">
        <f t="shared" si="127"/>
        <v>0</v>
      </c>
      <c r="X211" s="113">
        <f t="shared" si="127"/>
        <v>0</v>
      </c>
      <c r="Y211" s="113">
        <f t="shared" si="127"/>
        <v>0</v>
      </c>
      <c r="Z211" s="113">
        <f t="shared" si="127"/>
        <v>25.3</v>
      </c>
      <c r="AA211" s="113">
        <f t="shared" si="127"/>
        <v>0</v>
      </c>
      <c r="AB211" s="113">
        <f t="shared" si="127"/>
        <v>0</v>
      </c>
      <c r="AC211" s="113">
        <f t="shared" si="127"/>
        <v>0</v>
      </c>
      <c r="AD211" s="113">
        <f t="shared" si="127"/>
        <v>0</v>
      </c>
      <c r="AE211" s="113">
        <f t="shared" si="127"/>
        <v>0</v>
      </c>
      <c r="AF211" s="29"/>
      <c r="AG211" s="102">
        <f t="shared" si="84"/>
        <v>-2.1671553440683056E-13</v>
      </c>
    </row>
    <row r="212" spans="1:33" x14ac:dyDescent="0.3">
      <c r="A212" s="641" t="s">
        <v>169</v>
      </c>
      <c r="B212" s="642">
        <f t="shared" ref="B212:B214" si="128">J212+L212+N212+P212+R212+T212+V212+X212+Z212+AB212+AD212+H212</f>
        <v>0</v>
      </c>
      <c r="C212" s="117">
        <f>SUM(H212)</f>
        <v>0</v>
      </c>
      <c r="D212" s="118">
        <f>E212</f>
        <v>0</v>
      </c>
      <c r="E212" s="117">
        <f>SUM(I212,K212,M212,O212,Q212,S212,U212,W212,Y212,AA212,AC212,AE212)</f>
        <v>0</v>
      </c>
      <c r="F212" s="116">
        <f>IFERROR(E212/B212*100,0)</f>
        <v>0</v>
      </c>
      <c r="G212" s="116">
        <f>IFERROR(E212/C212*100,0)</f>
        <v>0</v>
      </c>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29"/>
      <c r="AG212" s="102">
        <f t="shared" si="84"/>
        <v>0</v>
      </c>
    </row>
    <row r="213" spans="1:33" x14ac:dyDescent="0.3">
      <c r="A213" s="641" t="s">
        <v>32</v>
      </c>
      <c r="B213" s="642">
        <f t="shared" si="128"/>
        <v>0</v>
      </c>
      <c r="C213" s="117">
        <f>SUM(H213)</f>
        <v>0</v>
      </c>
      <c r="D213" s="118">
        <f>E213</f>
        <v>0</v>
      </c>
      <c r="E213" s="117">
        <f>SUM(I213,K213,M213,O213,Q213,S213,U213,W213,Y213,AA213,AC213,AE213)</f>
        <v>0</v>
      </c>
      <c r="F213" s="116">
        <f>IFERROR(E213/B213*100,0)</f>
        <v>0</v>
      </c>
      <c r="G213" s="116">
        <f>IFERROR(E213/C213*100,0)</f>
        <v>0</v>
      </c>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29"/>
      <c r="AG213" s="102">
        <f t="shared" si="84"/>
        <v>0</v>
      </c>
    </row>
    <row r="214" spans="1:33" x14ac:dyDescent="0.3">
      <c r="A214" s="641" t="s">
        <v>33</v>
      </c>
      <c r="B214" s="642">
        <f t="shared" si="128"/>
        <v>1781.5999999999997</v>
      </c>
      <c r="C214" s="117">
        <f>SUM(H214)</f>
        <v>0</v>
      </c>
      <c r="D214" s="118">
        <f>E214</f>
        <v>0</v>
      </c>
      <c r="E214" s="117">
        <f>SUM(I214,K214,M214,O214,Q214,S214,U214,W214,Y214,AA214,AC214,AE214)</f>
        <v>0</v>
      </c>
      <c r="F214" s="116">
        <f>IFERROR(E214/B214*100,0)</f>
        <v>0</v>
      </c>
      <c r="G214" s="116">
        <f>IFERROR(E214/C214*100,0)</f>
        <v>0</v>
      </c>
      <c r="H214" s="111"/>
      <c r="I214" s="111"/>
      <c r="J214" s="111">
        <v>743.9</v>
      </c>
      <c r="K214" s="111"/>
      <c r="L214" s="111">
        <v>212.7</v>
      </c>
      <c r="M214" s="111"/>
      <c r="N214" s="111">
        <v>397.8</v>
      </c>
      <c r="O214" s="111"/>
      <c r="P214" s="111">
        <f>600-216.1</f>
        <v>383.9</v>
      </c>
      <c r="Q214" s="111"/>
      <c r="R214" s="111"/>
      <c r="S214" s="111"/>
      <c r="T214" s="111"/>
      <c r="U214" s="111"/>
      <c r="V214" s="111">
        <v>18</v>
      </c>
      <c r="W214" s="111"/>
      <c r="X214" s="111"/>
      <c r="Y214" s="111"/>
      <c r="Z214" s="111">
        <v>25.3</v>
      </c>
      <c r="AA214" s="111"/>
      <c r="AB214" s="111"/>
      <c r="AC214" s="111"/>
      <c r="AD214" s="111"/>
      <c r="AE214" s="111"/>
      <c r="AF214" s="29"/>
      <c r="AG214" s="102">
        <f t="shared" si="84"/>
        <v>-2.1671553440683056E-13</v>
      </c>
    </row>
    <row r="215" spans="1:33" x14ac:dyDescent="0.3">
      <c r="A215" s="641" t="s">
        <v>170</v>
      </c>
      <c r="B215" s="642"/>
      <c r="C215" s="117"/>
      <c r="D215" s="118"/>
      <c r="E215" s="117"/>
      <c r="F215" s="116"/>
      <c r="G215" s="116"/>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29"/>
      <c r="AG215" s="102">
        <f t="shared" si="84"/>
        <v>0</v>
      </c>
    </row>
    <row r="216" spans="1:33" ht="80.25" customHeight="1" x14ac:dyDescent="0.3">
      <c r="A216" s="851" t="s">
        <v>305</v>
      </c>
      <c r="B216" s="642"/>
      <c r="C216" s="110"/>
      <c r="D216" s="110"/>
      <c r="E216" s="110"/>
      <c r="F216" s="110"/>
      <c r="G216" s="110"/>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29"/>
      <c r="AG216" s="102">
        <f t="shared" si="84"/>
        <v>0</v>
      </c>
    </row>
    <row r="217" spans="1:33" x14ac:dyDescent="0.3">
      <c r="A217" s="638" t="s">
        <v>31</v>
      </c>
      <c r="B217" s="639">
        <f>B219+B220+B218+B221</f>
        <v>216.1</v>
      </c>
      <c r="C217" s="113">
        <f>C219+C220+C218+C221</f>
        <v>0</v>
      </c>
      <c r="D217" s="114">
        <f>D219+D220+D218+D221</f>
        <v>0</v>
      </c>
      <c r="E217" s="113">
        <f>E219+E220+E218+E221</f>
        <v>0</v>
      </c>
      <c r="F217" s="113">
        <f>IFERROR(E217/B217*100,0)</f>
        <v>0</v>
      </c>
      <c r="G217" s="113">
        <f>IFERROR(E217/C217*100,0)</f>
        <v>0</v>
      </c>
      <c r="H217" s="113">
        <f t="shared" ref="H217:AE217" si="129">H219+H220+H218+H221</f>
        <v>0</v>
      </c>
      <c r="I217" s="113">
        <f t="shared" si="129"/>
        <v>0</v>
      </c>
      <c r="J217" s="113">
        <f t="shared" si="129"/>
        <v>3.4</v>
      </c>
      <c r="K217" s="113">
        <f t="shared" si="129"/>
        <v>0</v>
      </c>
      <c r="L217" s="113">
        <f t="shared" si="129"/>
        <v>212.7</v>
      </c>
      <c r="M217" s="113">
        <f t="shared" si="129"/>
        <v>0</v>
      </c>
      <c r="N217" s="113">
        <f t="shared" si="129"/>
        <v>0</v>
      </c>
      <c r="O217" s="113">
        <f t="shared" si="129"/>
        <v>0</v>
      </c>
      <c r="P217" s="113">
        <f t="shared" si="129"/>
        <v>0</v>
      </c>
      <c r="Q217" s="113">
        <f t="shared" si="129"/>
        <v>0</v>
      </c>
      <c r="R217" s="113">
        <f t="shared" si="129"/>
        <v>0</v>
      </c>
      <c r="S217" s="113">
        <f t="shared" si="129"/>
        <v>0</v>
      </c>
      <c r="T217" s="113">
        <f t="shared" si="129"/>
        <v>0</v>
      </c>
      <c r="U217" s="113">
        <f t="shared" si="129"/>
        <v>0</v>
      </c>
      <c r="V217" s="113">
        <f t="shared" si="129"/>
        <v>0</v>
      </c>
      <c r="W217" s="113">
        <f t="shared" si="129"/>
        <v>0</v>
      </c>
      <c r="X217" s="113">
        <f t="shared" si="129"/>
        <v>0</v>
      </c>
      <c r="Y217" s="113">
        <f t="shared" si="129"/>
        <v>0</v>
      </c>
      <c r="Z217" s="113">
        <f t="shared" si="129"/>
        <v>0</v>
      </c>
      <c r="AA217" s="113">
        <f t="shared" si="129"/>
        <v>0</v>
      </c>
      <c r="AB217" s="113">
        <f t="shared" si="129"/>
        <v>0</v>
      </c>
      <c r="AC217" s="113">
        <f t="shared" si="129"/>
        <v>0</v>
      </c>
      <c r="AD217" s="113">
        <f t="shared" si="129"/>
        <v>0</v>
      </c>
      <c r="AE217" s="113">
        <f t="shared" si="129"/>
        <v>0</v>
      </c>
      <c r="AF217" s="29"/>
      <c r="AG217" s="102">
        <f t="shared" si="84"/>
        <v>0</v>
      </c>
    </row>
    <row r="218" spans="1:33" x14ac:dyDescent="0.3">
      <c r="A218" s="641" t="s">
        <v>169</v>
      </c>
      <c r="B218" s="642">
        <f t="shared" ref="B218:B220" si="130">J218+L218+N218+P218+R218+T218+V218+X218+Z218+AB218+AD218+H218</f>
        <v>0</v>
      </c>
      <c r="C218" s="117">
        <f>SUM(H218)</f>
        <v>0</v>
      </c>
      <c r="D218" s="118">
        <f>E218</f>
        <v>0</v>
      </c>
      <c r="E218" s="117">
        <f>SUM(I218,K218,M218,O218,Q218,S218,U218,W218,Y218,AA218,AC218,AE218)</f>
        <v>0</v>
      </c>
      <c r="F218" s="116">
        <f>IFERROR(E218/B218*100,0)</f>
        <v>0</v>
      </c>
      <c r="G218" s="116">
        <f>IFERROR(E218/C218*100,0)</f>
        <v>0</v>
      </c>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29"/>
      <c r="AG218" s="102">
        <f t="shared" si="84"/>
        <v>0</v>
      </c>
    </row>
    <row r="219" spans="1:33" x14ac:dyDescent="0.3">
      <c r="A219" s="641" t="s">
        <v>32</v>
      </c>
      <c r="B219" s="642">
        <f t="shared" si="130"/>
        <v>0</v>
      </c>
      <c r="C219" s="117">
        <f>SUM(H219)</f>
        <v>0</v>
      </c>
      <c r="D219" s="118">
        <f>E219</f>
        <v>0</v>
      </c>
      <c r="E219" s="117">
        <f>SUM(I219,K219,M219,O219,Q219,S219,U219,W219,Y219,AA219,AC219,AE219)</f>
        <v>0</v>
      </c>
      <c r="F219" s="116">
        <f>IFERROR(E219/B219*100,0)</f>
        <v>0</v>
      </c>
      <c r="G219" s="116">
        <f>IFERROR(E219/C219*100,0)</f>
        <v>0</v>
      </c>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29"/>
      <c r="AG219" s="102">
        <f t="shared" si="84"/>
        <v>0</v>
      </c>
    </row>
    <row r="220" spans="1:33" x14ac:dyDescent="0.3">
      <c r="A220" s="641" t="s">
        <v>33</v>
      </c>
      <c r="B220" s="642">
        <f t="shared" si="130"/>
        <v>216.1</v>
      </c>
      <c r="C220" s="117">
        <f>SUM(H220)</f>
        <v>0</v>
      </c>
      <c r="D220" s="118">
        <f>E220</f>
        <v>0</v>
      </c>
      <c r="E220" s="117">
        <f>SUM(I220,K220,M220,O220,Q220,S220,U220,W220,Y220,AA220,AC220,AE220)</f>
        <v>0</v>
      </c>
      <c r="F220" s="116">
        <f>IFERROR(E220/B220*100,0)</f>
        <v>0</v>
      </c>
      <c r="G220" s="116">
        <f>IFERROR(E220/C220*100,0)</f>
        <v>0</v>
      </c>
      <c r="H220" s="111"/>
      <c r="I220" s="111"/>
      <c r="J220" s="111">
        <v>3.4</v>
      </c>
      <c r="K220" s="111"/>
      <c r="L220" s="111">
        <v>212.7</v>
      </c>
      <c r="M220" s="111"/>
      <c r="N220" s="111"/>
      <c r="O220" s="111"/>
      <c r="P220" s="111"/>
      <c r="Q220" s="111"/>
      <c r="R220" s="111"/>
      <c r="S220" s="111"/>
      <c r="T220" s="111"/>
      <c r="U220" s="111"/>
      <c r="V220" s="111"/>
      <c r="W220" s="111"/>
      <c r="X220" s="111"/>
      <c r="Y220" s="111"/>
      <c r="Z220" s="111"/>
      <c r="AA220" s="111"/>
      <c r="AB220" s="111"/>
      <c r="AC220" s="111"/>
      <c r="AD220" s="111"/>
      <c r="AE220" s="111"/>
      <c r="AF220" s="29"/>
      <c r="AG220" s="102">
        <f t="shared" si="84"/>
        <v>0</v>
      </c>
    </row>
    <row r="221" spans="1:33" x14ac:dyDescent="0.3">
      <c r="A221" s="641" t="s">
        <v>170</v>
      </c>
      <c r="B221" s="642"/>
      <c r="C221" s="117"/>
      <c r="D221" s="118"/>
      <c r="E221" s="117"/>
      <c r="F221" s="116"/>
      <c r="G221" s="116"/>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29"/>
      <c r="AG221" s="102">
        <f t="shared" si="84"/>
        <v>0</v>
      </c>
    </row>
    <row r="222" spans="1:33" ht="42.75" customHeight="1" x14ac:dyDescent="0.3">
      <c r="A222" s="851" t="s">
        <v>306</v>
      </c>
      <c r="B222" s="642"/>
      <c r="C222" s="110"/>
      <c r="D222" s="110"/>
      <c r="E222" s="110"/>
      <c r="F222" s="110"/>
      <c r="G222" s="110"/>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29"/>
      <c r="AG222" s="102">
        <f t="shared" si="84"/>
        <v>0</v>
      </c>
    </row>
    <row r="223" spans="1:33" x14ac:dyDescent="0.3">
      <c r="A223" s="638" t="s">
        <v>31</v>
      </c>
      <c r="B223" s="639">
        <f>B225+B226+B224+B227</f>
        <v>150</v>
      </c>
      <c r="C223" s="113">
        <f>C225+C226+C224+C227</f>
        <v>0</v>
      </c>
      <c r="D223" s="114">
        <f>D225+D226+D224+D227</f>
        <v>0</v>
      </c>
      <c r="E223" s="113">
        <f>E225+E226+E224+E227</f>
        <v>0</v>
      </c>
      <c r="F223" s="113">
        <f>IFERROR(E223/B223*100,0)</f>
        <v>0</v>
      </c>
      <c r="G223" s="113">
        <f>IFERROR(E223/C223*100,0)</f>
        <v>0</v>
      </c>
      <c r="H223" s="113">
        <f t="shared" ref="H223:AE223" si="131">H225+H226+H224+H227</f>
        <v>0</v>
      </c>
      <c r="I223" s="113">
        <f t="shared" si="131"/>
        <v>0</v>
      </c>
      <c r="J223" s="113">
        <f t="shared" si="131"/>
        <v>0</v>
      </c>
      <c r="K223" s="113">
        <f t="shared" si="131"/>
        <v>0</v>
      </c>
      <c r="L223" s="113">
        <f t="shared" si="131"/>
        <v>0</v>
      </c>
      <c r="M223" s="113">
        <f t="shared" si="131"/>
        <v>0</v>
      </c>
      <c r="N223" s="113">
        <f t="shared" si="131"/>
        <v>0</v>
      </c>
      <c r="O223" s="113">
        <f t="shared" si="131"/>
        <v>0</v>
      </c>
      <c r="P223" s="113">
        <f t="shared" si="131"/>
        <v>0</v>
      </c>
      <c r="Q223" s="113">
        <f t="shared" si="131"/>
        <v>0</v>
      </c>
      <c r="R223" s="113">
        <f t="shared" si="131"/>
        <v>0</v>
      </c>
      <c r="S223" s="113">
        <f t="shared" si="131"/>
        <v>0</v>
      </c>
      <c r="T223" s="113">
        <f t="shared" si="131"/>
        <v>0</v>
      </c>
      <c r="U223" s="113">
        <f t="shared" si="131"/>
        <v>0</v>
      </c>
      <c r="V223" s="113">
        <f t="shared" si="131"/>
        <v>0</v>
      </c>
      <c r="W223" s="113">
        <f t="shared" si="131"/>
        <v>0</v>
      </c>
      <c r="X223" s="113">
        <f t="shared" si="131"/>
        <v>0</v>
      </c>
      <c r="Y223" s="113">
        <f t="shared" si="131"/>
        <v>0</v>
      </c>
      <c r="Z223" s="113">
        <f t="shared" si="131"/>
        <v>0</v>
      </c>
      <c r="AA223" s="113">
        <f t="shared" si="131"/>
        <v>0</v>
      </c>
      <c r="AB223" s="113">
        <f t="shared" si="131"/>
        <v>0</v>
      </c>
      <c r="AC223" s="113">
        <f t="shared" si="131"/>
        <v>0</v>
      </c>
      <c r="AD223" s="113">
        <f t="shared" si="131"/>
        <v>150</v>
      </c>
      <c r="AE223" s="113">
        <f t="shared" si="131"/>
        <v>0</v>
      </c>
      <c r="AF223" s="29"/>
      <c r="AG223" s="102">
        <f t="shared" si="84"/>
        <v>0</v>
      </c>
    </row>
    <row r="224" spans="1:33" x14ac:dyDescent="0.3">
      <c r="A224" s="641" t="s">
        <v>169</v>
      </c>
      <c r="B224" s="642">
        <f t="shared" ref="B224:B226" si="132">J224+L224+N224+P224+R224+T224+V224+X224+Z224+AB224+AD224+H224</f>
        <v>0</v>
      </c>
      <c r="C224" s="117">
        <f>SUM(H224)</f>
        <v>0</v>
      </c>
      <c r="D224" s="118">
        <f>E224</f>
        <v>0</v>
      </c>
      <c r="E224" s="117">
        <f>SUM(I224,K224,M224,O224,Q224,S224,U224,W224,Y224,AA224,AC224,AE224)</f>
        <v>0</v>
      </c>
      <c r="F224" s="116">
        <f>IFERROR(E224/B224*100,0)</f>
        <v>0</v>
      </c>
      <c r="G224" s="116">
        <f>IFERROR(E224/C224*100,0)</f>
        <v>0</v>
      </c>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29"/>
      <c r="AG224" s="102">
        <f t="shared" si="84"/>
        <v>0</v>
      </c>
    </row>
    <row r="225" spans="1:33" x14ac:dyDescent="0.3">
      <c r="A225" s="115" t="s">
        <v>32</v>
      </c>
      <c r="B225" s="116">
        <f t="shared" si="132"/>
        <v>0</v>
      </c>
      <c r="C225" s="117">
        <f>SUM(H225)</f>
        <v>0</v>
      </c>
      <c r="D225" s="118">
        <f>E225</f>
        <v>0</v>
      </c>
      <c r="E225" s="117">
        <f>SUM(I225,K225,M225,O225,Q225,S225,U225,W225,Y225,AA225,AC225,AE225)</f>
        <v>0</v>
      </c>
      <c r="F225" s="116">
        <f>IFERROR(E225/B225*100,0)</f>
        <v>0</v>
      </c>
      <c r="G225" s="116">
        <f>IFERROR(E225/C225*100,0)</f>
        <v>0</v>
      </c>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29"/>
      <c r="AG225" s="102">
        <f t="shared" si="84"/>
        <v>0</v>
      </c>
    </row>
    <row r="226" spans="1:33" x14ac:dyDescent="0.3">
      <c r="A226" s="641" t="s">
        <v>33</v>
      </c>
      <c r="B226" s="642">
        <f t="shared" si="132"/>
        <v>150</v>
      </c>
      <c r="C226" s="849">
        <f>SUM(H226)</f>
        <v>0</v>
      </c>
      <c r="D226" s="853">
        <f>E226</f>
        <v>0</v>
      </c>
      <c r="E226" s="849">
        <f>SUM(I226,K226,M226,O226,Q226,S226,U226,W226,Y226,AA226,AC226,AE226)</f>
        <v>0</v>
      </c>
      <c r="F226" s="642">
        <f>IFERROR(E226/B226*100,0)</f>
        <v>0</v>
      </c>
      <c r="G226" s="642">
        <f>IFERROR(E226/C226*100,0)</f>
        <v>0</v>
      </c>
      <c r="H226" s="529"/>
      <c r="I226" s="529"/>
      <c r="J226" s="111"/>
      <c r="K226" s="111"/>
      <c r="L226" s="111"/>
      <c r="M226" s="111"/>
      <c r="N226" s="111"/>
      <c r="O226" s="111"/>
      <c r="P226" s="111"/>
      <c r="Q226" s="111"/>
      <c r="R226" s="111"/>
      <c r="S226" s="111"/>
      <c r="T226" s="111"/>
      <c r="U226" s="111"/>
      <c r="V226" s="111"/>
      <c r="W226" s="111"/>
      <c r="X226" s="111"/>
      <c r="Y226" s="111"/>
      <c r="Z226" s="111"/>
      <c r="AA226" s="111"/>
      <c r="AB226" s="111"/>
      <c r="AC226" s="111"/>
      <c r="AD226" s="111">
        <v>150</v>
      </c>
      <c r="AE226" s="111"/>
      <c r="AF226" s="29"/>
      <c r="AG226" s="102">
        <f t="shared" si="84"/>
        <v>0</v>
      </c>
    </row>
    <row r="227" spans="1:33" x14ac:dyDescent="0.3">
      <c r="A227" s="641" t="s">
        <v>170</v>
      </c>
      <c r="B227" s="642"/>
      <c r="C227" s="849"/>
      <c r="D227" s="853"/>
      <c r="E227" s="849"/>
      <c r="F227" s="642"/>
      <c r="G227" s="642"/>
      <c r="H227" s="529"/>
      <c r="I227" s="529"/>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29"/>
      <c r="AG227" s="102">
        <f t="shared" si="84"/>
        <v>0</v>
      </c>
    </row>
    <row r="228" spans="1:33" ht="114.75" customHeight="1" x14ac:dyDescent="0.3">
      <c r="A228" s="851" t="s">
        <v>307</v>
      </c>
      <c r="B228" s="642"/>
      <c r="C228" s="650"/>
      <c r="D228" s="650"/>
      <c r="E228" s="650"/>
      <c r="F228" s="650"/>
      <c r="G228" s="650"/>
      <c r="H228" s="529"/>
      <c r="I228" s="529"/>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29"/>
      <c r="AG228" s="102">
        <f t="shared" si="84"/>
        <v>0</v>
      </c>
    </row>
    <row r="229" spans="1:33" x14ac:dyDescent="0.3">
      <c r="A229" s="638" t="s">
        <v>31</v>
      </c>
      <c r="B229" s="639">
        <f>B231+B232+B230+B233</f>
        <v>2992.1</v>
      </c>
      <c r="C229" s="639">
        <f>C231+C232+C230+C233</f>
        <v>2992.1</v>
      </c>
      <c r="D229" s="852">
        <f>D231+D232+D230+D233</f>
        <v>2992.1</v>
      </c>
      <c r="E229" s="639">
        <f>E231+E232+E230+E233</f>
        <v>2992.1</v>
      </c>
      <c r="F229" s="639">
        <f>IFERROR(E229/B229*100,0)</f>
        <v>100</v>
      </c>
      <c r="G229" s="639">
        <f>IFERROR(E229/C229*100,0)</f>
        <v>100</v>
      </c>
      <c r="H229" s="639">
        <f t="shared" ref="H229:AE229" si="133">H231+H232+H230+H233</f>
        <v>2992.1</v>
      </c>
      <c r="I229" s="639">
        <f t="shared" si="133"/>
        <v>2992.1</v>
      </c>
      <c r="J229" s="113">
        <f t="shared" si="133"/>
        <v>0</v>
      </c>
      <c r="K229" s="113">
        <f t="shared" si="133"/>
        <v>0</v>
      </c>
      <c r="L229" s="113">
        <f t="shared" si="133"/>
        <v>0</v>
      </c>
      <c r="M229" s="113">
        <f t="shared" si="133"/>
        <v>0</v>
      </c>
      <c r="N229" s="113">
        <f t="shared" si="133"/>
        <v>0</v>
      </c>
      <c r="O229" s="113">
        <f t="shared" si="133"/>
        <v>0</v>
      </c>
      <c r="P229" s="113">
        <f t="shared" si="133"/>
        <v>0</v>
      </c>
      <c r="Q229" s="113">
        <f t="shared" si="133"/>
        <v>0</v>
      </c>
      <c r="R229" s="113">
        <f t="shared" si="133"/>
        <v>0</v>
      </c>
      <c r="S229" s="113">
        <f t="shared" si="133"/>
        <v>0</v>
      </c>
      <c r="T229" s="113">
        <f t="shared" si="133"/>
        <v>0</v>
      </c>
      <c r="U229" s="113">
        <f t="shared" si="133"/>
        <v>0</v>
      </c>
      <c r="V229" s="113">
        <f t="shared" si="133"/>
        <v>0</v>
      </c>
      <c r="W229" s="113">
        <f t="shared" si="133"/>
        <v>0</v>
      </c>
      <c r="X229" s="113">
        <f t="shared" si="133"/>
        <v>0</v>
      </c>
      <c r="Y229" s="113">
        <f t="shared" si="133"/>
        <v>0</v>
      </c>
      <c r="Z229" s="113">
        <f t="shared" si="133"/>
        <v>0</v>
      </c>
      <c r="AA229" s="113">
        <f t="shared" si="133"/>
        <v>0</v>
      </c>
      <c r="AB229" s="113">
        <f t="shared" si="133"/>
        <v>0</v>
      </c>
      <c r="AC229" s="113">
        <f t="shared" si="133"/>
        <v>0</v>
      </c>
      <c r="AD229" s="113">
        <f t="shared" si="133"/>
        <v>0</v>
      </c>
      <c r="AE229" s="113">
        <f t="shared" si="133"/>
        <v>0</v>
      </c>
      <c r="AF229" s="29"/>
      <c r="AG229" s="102">
        <f t="shared" si="84"/>
        <v>0</v>
      </c>
    </row>
    <row r="230" spans="1:33" x14ac:dyDescent="0.3">
      <c r="A230" s="641" t="s">
        <v>169</v>
      </c>
      <c r="B230" s="642">
        <f t="shared" ref="B230:B232" si="134">J230+L230+N230+P230+R230+T230+V230+X230+Z230+AB230+AD230+H230</f>
        <v>0</v>
      </c>
      <c r="C230" s="849">
        <f>SUM(H230)</f>
        <v>0</v>
      </c>
      <c r="D230" s="853">
        <f>E230</f>
        <v>0</v>
      </c>
      <c r="E230" s="849">
        <f>SUM(I230,K230,M230,O230,Q230,S230,U230,W230,Y230,AA230,AC230,AE230)</f>
        <v>0</v>
      </c>
      <c r="F230" s="642">
        <f>IFERROR(E230/B230*100,0)</f>
        <v>0</v>
      </c>
      <c r="G230" s="642">
        <f>IFERROR(E230/C230*100,0)</f>
        <v>0</v>
      </c>
      <c r="H230" s="529"/>
      <c r="I230" s="529"/>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29"/>
      <c r="AG230" s="102">
        <f t="shared" si="84"/>
        <v>0</v>
      </c>
    </row>
    <row r="231" spans="1:33" x14ac:dyDescent="0.3">
      <c r="A231" s="641" t="s">
        <v>32</v>
      </c>
      <c r="B231" s="642">
        <f t="shared" si="134"/>
        <v>0</v>
      </c>
      <c r="C231" s="849">
        <f>SUM(H231)</f>
        <v>0</v>
      </c>
      <c r="D231" s="853">
        <f>E231</f>
        <v>0</v>
      </c>
      <c r="E231" s="849">
        <f>SUM(I231,K231,M231,O231,Q231,S231,U231,W231,Y231,AA231,AC231,AE231)</f>
        <v>0</v>
      </c>
      <c r="F231" s="642">
        <f>IFERROR(E231/B231*100,0)</f>
        <v>0</v>
      </c>
      <c r="G231" s="642">
        <f>IFERROR(E231/C231*100,0)</f>
        <v>0</v>
      </c>
      <c r="H231" s="529"/>
      <c r="I231" s="529"/>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29"/>
      <c r="AG231" s="102">
        <f t="shared" si="84"/>
        <v>0</v>
      </c>
    </row>
    <row r="232" spans="1:33" x14ac:dyDescent="0.3">
      <c r="A232" s="641" t="s">
        <v>33</v>
      </c>
      <c r="B232" s="642">
        <f t="shared" si="134"/>
        <v>2992.1</v>
      </c>
      <c r="C232" s="849">
        <f>SUM(H232)</f>
        <v>2992.1</v>
      </c>
      <c r="D232" s="853">
        <f>E232</f>
        <v>2992.1</v>
      </c>
      <c r="E232" s="849">
        <f>SUM(I232,K232,M232,O232,Q232,S232,U232,W232,Y232,AA232,AC232,AE232)</f>
        <v>2992.1</v>
      </c>
      <c r="F232" s="642">
        <f>IFERROR(E232/B232*100,0)</f>
        <v>100</v>
      </c>
      <c r="G232" s="642">
        <f>IFERROR(E232/C232*100,0)</f>
        <v>100</v>
      </c>
      <c r="H232" s="529">
        <v>2992.1</v>
      </c>
      <c r="I232" s="529">
        <v>2992.1</v>
      </c>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29"/>
      <c r="AG232" s="102">
        <f t="shared" si="84"/>
        <v>0</v>
      </c>
    </row>
    <row r="233" spans="1:33" x14ac:dyDescent="0.3">
      <c r="A233" s="115" t="s">
        <v>170</v>
      </c>
      <c r="B233" s="116"/>
      <c r="C233" s="117"/>
      <c r="D233" s="118"/>
      <c r="E233" s="117"/>
      <c r="F233" s="116"/>
      <c r="G233" s="116"/>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29"/>
      <c r="AG233" s="102">
        <f t="shared" si="84"/>
        <v>0</v>
      </c>
    </row>
    <row r="234" spans="1:33" ht="56.25" x14ac:dyDescent="0.3">
      <c r="A234" s="139" t="s">
        <v>308</v>
      </c>
      <c r="B234" s="140"/>
      <c r="C234" s="141"/>
      <c r="D234" s="141"/>
      <c r="E234" s="141"/>
      <c r="F234" s="141"/>
      <c r="G234" s="141"/>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01"/>
      <c r="AG234" s="102">
        <f t="shared" si="84"/>
        <v>0</v>
      </c>
    </row>
    <row r="235" spans="1:33" x14ac:dyDescent="0.3">
      <c r="A235" s="103" t="s">
        <v>31</v>
      </c>
      <c r="B235" s="104">
        <f>B236+B237+B238+B239</f>
        <v>62036.539440000008</v>
      </c>
      <c r="C235" s="104">
        <f>C236+C237+C238+C239</f>
        <v>17956.509860000002</v>
      </c>
      <c r="D235" s="104">
        <f>D236+D237+D238+D239</f>
        <v>15034.22</v>
      </c>
      <c r="E235" s="104">
        <f>E236+E237+E238+E239</f>
        <v>15034.22</v>
      </c>
      <c r="F235" s="107">
        <f>IFERROR(E235/B235*100,0)</f>
        <v>24.234459458430418</v>
      </c>
      <c r="G235" s="107">
        <f>IFERROR(E235/C235*100,0)</f>
        <v>83.725735776139288</v>
      </c>
      <c r="H235" s="104">
        <f>H236+H237+H238+H239</f>
        <v>4397.2366199999997</v>
      </c>
      <c r="I235" s="104">
        <f t="shared" ref="I235:AE235" si="135">I236+I237+I238+I239</f>
        <v>1472.63</v>
      </c>
      <c r="J235" s="104">
        <f t="shared" si="135"/>
        <v>4844.0766199999998</v>
      </c>
      <c r="K235" s="104">
        <f t="shared" si="135"/>
        <v>4844.08</v>
      </c>
      <c r="L235" s="104">
        <f t="shared" si="135"/>
        <v>8715.1966200000006</v>
      </c>
      <c r="M235" s="104">
        <f t="shared" si="135"/>
        <v>8717.51</v>
      </c>
      <c r="N235" s="104">
        <f t="shared" si="135"/>
        <v>12395.976619999999</v>
      </c>
      <c r="O235" s="104">
        <f t="shared" si="135"/>
        <v>0</v>
      </c>
      <c r="P235" s="104">
        <f t="shared" si="135"/>
        <v>4503.6915099999997</v>
      </c>
      <c r="Q235" s="104">
        <f t="shared" si="135"/>
        <v>0</v>
      </c>
      <c r="R235" s="104">
        <f t="shared" si="135"/>
        <v>4413.2422900000001</v>
      </c>
      <c r="S235" s="104">
        <f t="shared" si="135"/>
        <v>0</v>
      </c>
      <c r="T235" s="104">
        <f t="shared" si="135"/>
        <v>5320.5766200000007</v>
      </c>
      <c r="U235" s="104">
        <f t="shared" si="135"/>
        <v>0</v>
      </c>
      <c r="V235" s="104">
        <f t="shared" si="135"/>
        <v>3431.7408299999997</v>
      </c>
      <c r="W235" s="104">
        <f t="shared" si="135"/>
        <v>0</v>
      </c>
      <c r="X235" s="104">
        <f t="shared" si="135"/>
        <v>3464.87662</v>
      </c>
      <c r="Y235" s="104">
        <f t="shared" si="135"/>
        <v>0</v>
      </c>
      <c r="Z235" s="104">
        <f t="shared" si="135"/>
        <v>4740.8688499999998</v>
      </c>
      <c r="AA235" s="104">
        <f t="shared" si="135"/>
        <v>0</v>
      </c>
      <c r="AB235" s="104">
        <f t="shared" si="135"/>
        <v>4504.4196200000006</v>
      </c>
      <c r="AC235" s="104">
        <f t="shared" si="135"/>
        <v>0</v>
      </c>
      <c r="AD235" s="104">
        <f t="shared" si="135"/>
        <v>1304.63662</v>
      </c>
      <c r="AE235" s="104">
        <f t="shared" si="135"/>
        <v>0</v>
      </c>
      <c r="AF235" s="101"/>
      <c r="AG235" s="102">
        <f t="shared" si="84"/>
        <v>1.1141310096718371E-11</v>
      </c>
    </row>
    <row r="236" spans="1:33" x14ac:dyDescent="0.3">
      <c r="A236" s="106" t="s">
        <v>169</v>
      </c>
      <c r="B236" s="107">
        <f>B242+B248</f>
        <v>0</v>
      </c>
      <c r="C236" s="107">
        <f t="shared" ref="C236:E236" si="136">C242+C248</f>
        <v>0</v>
      </c>
      <c r="D236" s="107">
        <f t="shared" si="136"/>
        <v>0</v>
      </c>
      <c r="E236" s="107">
        <f t="shared" si="136"/>
        <v>0</v>
      </c>
      <c r="F236" s="107"/>
      <c r="G236" s="107"/>
      <c r="H236" s="107">
        <f t="shared" ref="H236:AE239" si="137">H242+H248</f>
        <v>0</v>
      </c>
      <c r="I236" s="107">
        <f t="shared" si="137"/>
        <v>0</v>
      </c>
      <c r="J236" s="107">
        <f t="shared" si="137"/>
        <v>0</v>
      </c>
      <c r="K236" s="107">
        <f t="shared" si="137"/>
        <v>0</v>
      </c>
      <c r="L236" s="107">
        <f t="shared" si="137"/>
        <v>0</v>
      </c>
      <c r="M236" s="107">
        <f t="shared" si="137"/>
        <v>0</v>
      </c>
      <c r="N236" s="107">
        <f t="shared" si="137"/>
        <v>0</v>
      </c>
      <c r="O236" s="107">
        <f t="shared" si="137"/>
        <v>0</v>
      </c>
      <c r="P236" s="107">
        <f t="shared" si="137"/>
        <v>0</v>
      </c>
      <c r="Q236" s="107">
        <f t="shared" si="137"/>
        <v>0</v>
      </c>
      <c r="R236" s="107">
        <f t="shared" si="137"/>
        <v>0</v>
      </c>
      <c r="S236" s="107">
        <f t="shared" si="137"/>
        <v>0</v>
      </c>
      <c r="T236" s="107">
        <f t="shared" si="137"/>
        <v>0</v>
      </c>
      <c r="U236" s="107">
        <f t="shared" si="137"/>
        <v>0</v>
      </c>
      <c r="V236" s="107">
        <f t="shared" si="137"/>
        <v>0</v>
      </c>
      <c r="W236" s="107">
        <f t="shared" si="137"/>
        <v>0</v>
      </c>
      <c r="X236" s="107">
        <f t="shared" si="137"/>
        <v>0</v>
      </c>
      <c r="Y236" s="107">
        <f t="shared" si="137"/>
        <v>0</v>
      </c>
      <c r="Z236" s="107">
        <f t="shared" si="137"/>
        <v>0</v>
      </c>
      <c r="AA236" s="107">
        <f t="shared" si="137"/>
        <v>0</v>
      </c>
      <c r="AB236" s="107">
        <f t="shared" si="137"/>
        <v>0</v>
      </c>
      <c r="AC236" s="107">
        <f t="shared" si="137"/>
        <v>0</v>
      </c>
      <c r="AD236" s="107">
        <f t="shared" si="137"/>
        <v>0</v>
      </c>
      <c r="AE236" s="107">
        <f t="shared" si="137"/>
        <v>0</v>
      </c>
      <c r="AF236" s="101"/>
      <c r="AG236" s="102">
        <f t="shared" si="84"/>
        <v>0</v>
      </c>
    </row>
    <row r="237" spans="1:33" x14ac:dyDescent="0.3">
      <c r="A237" s="106" t="s">
        <v>32</v>
      </c>
      <c r="B237" s="107">
        <f t="shared" ref="B237:E239" si="138">B243+B249</f>
        <v>0</v>
      </c>
      <c r="C237" s="107">
        <f t="shared" si="138"/>
        <v>0</v>
      </c>
      <c r="D237" s="107">
        <f t="shared" si="138"/>
        <v>0</v>
      </c>
      <c r="E237" s="107">
        <f t="shared" si="138"/>
        <v>0</v>
      </c>
      <c r="F237" s="107"/>
      <c r="G237" s="107"/>
      <c r="H237" s="107">
        <f t="shared" si="137"/>
        <v>0</v>
      </c>
      <c r="I237" s="107">
        <f t="shared" si="137"/>
        <v>0</v>
      </c>
      <c r="J237" s="107">
        <f t="shared" si="137"/>
        <v>0</v>
      </c>
      <c r="K237" s="107">
        <f t="shared" si="137"/>
        <v>0</v>
      </c>
      <c r="L237" s="107">
        <f t="shared" si="137"/>
        <v>0</v>
      </c>
      <c r="M237" s="107">
        <f t="shared" si="137"/>
        <v>0</v>
      </c>
      <c r="N237" s="107">
        <f t="shared" si="137"/>
        <v>0</v>
      </c>
      <c r="O237" s="107">
        <f t="shared" si="137"/>
        <v>0</v>
      </c>
      <c r="P237" s="107">
        <f t="shared" si="137"/>
        <v>0</v>
      </c>
      <c r="Q237" s="107">
        <f t="shared" si="137"/>
        <v>0</v>
      </c>
      <c r="R237" s="107">
        <f t="shared" si="137"/>
        <v>0</v>
      </c>
      <c r="S237" s="107">
        <f t="shared" si="137"/>
        <v>0</v>
      </c>
      <c r="T237" s="107">
        <f t="shared" si="137"/>
        <v>0</v>
      </c>
      <c r="U237" s="107">
        <f t="shared" si="137"/>
        <v>0</v>
      </c>
      <c r="V237" s="107">
        <f t="shared" si="137"/>
        <v>0</v>
      </c>
      <c r="W237" s="107">
        <f t="shared" si="137"/>
        <v>0</v>
      </c>
      <c r="X237" s="107">
        <f t="shared" si="137"/>
        <v>0</v>
      </c>
      <c r="Y237" s="107">
        <f t="shared" si="137"/>
        <v>0</v>
      </c>
      <c r="Z237" s="107">
        <f t="shared" si="137"/>
        <v>0</v>
      </c>
      <c r="AA237" s="107">
        <f t="shared" si="137"/>
        <v>0</v>
      </c>
      <c r="AB237" s="107">
        <f t="shared" si="137"/>
        <v>0</v>
      </c>
      <c r="AC237" s="107">
        <f t="shared" si="137"/>
        <v>0</v>
      </c>
      <c r="AD237" s="107">
        <f t="shared" si="137"/>
        <v>0</v>
      </c>
      <c r="AE237" s="107">
        <f t="shared" si="137"/>
        <v>0</v>
      </c>
      <c r="AF237" s="101"/>
      <c r="AG237" s="102">
        <f t="shared" si="84"/>
        <v>0</v>
      </c>
    </row>
    <row r="238" spans="1:33" x14ac:dyDescent="0.3">
      <c r="A238" s="106" t="s">
        <v>33</v>
      </c>
      <c r="B238" s="107">
        <f t="shared" si="138"/>
        <v>62036.539440000008</v>
      </c>
      <c r="C238" s="107">
        <f t="shared" si="138"/>
        <v>17956.509860000002</v>
      </c>
      <c r="D238" s="107">
        <f t="shared" si="138"/>
        <v>15034.22</v>
      </c>
      <c r="E238" s="107">
        <f t="shared" si="138"/>
        <v>15034.22</v>
      </c>
      <c r="F238" s="107">
        <f>IFERROR(E238/B238*100,0)</f>
        <v>24.234459458430418</v>
      </c>
      <c r="G238" s="107">
        <f>IFERROR(E238/C238*100,0)</f>
        <v>83.725735776139288</v>
      </c>
      <c r="H238" s="107">
        <f t="shared" si="137"/>
        <v>4397.2366199999997</v>
      </c>
      <c r="I238" s="107">
        <f t="shared" si="137"/>
        <v>1472.63</v>
      </c>
      <c r="J238" s="107">
        <f t="shared" si="137"/>
        <v>4844.0766199999998</v>
      </c>
      <c r="K238" s="107">
        <f t="shared" si="137"/>
        <v>4844.08</v>
      </c>
      <c r="L238" s="107">
        <f t="shared" si="137"/>
        <v>8715.1966200000006</v>
      </c>
      <c r="M238" s="107">
        <f t="shared" si="137"/>
        <v>8717.51</v>
      </c>
      <c r="N238" s="107">
        <f t="shared" si="137"/>
        <v>12395.976619999999</v>
      </c>
      <c r="O238" s="107">
        <f t="shared" si="137"/>
        <v>0</v>
      </c>
      <c r="P238" s="107">
        <f t="shared" si="137"/>
        <v>4503.6915099999997</v>
      </c>
      <c r="Q238" s="107">
        <f t="shared" si="137"/>
        <v>0</v>
      </c>
      <c r="R238" s="107">
        <f t="shared" si="137"/>
        <v>4413.2422900000001</v>
      </c>
      <c r="S238" s="107">
        <f t="shared" si="137"/>
        <v>0</v>
      </c>
      <c r="T238" s="107">
        <f t="shared" si="137"/>
        <v>5320.5766200000007</v>
      </c>
      <c r="U238" s="107">
        <f t="shared" si="137"/>
        <v>0</v>
      </c>
      <c r="V238" s="107">
        <f t="shared" si="137"/>
        <v>3431.7408299999997</v>
      </c>
      <c r="W238" s="107">
        <f t="shared" si="137"/>
        <v>0</v>
      </c>
      <c r="X238" s="107">
        <f t="shared" si="137"/>
        <v>3464.87662</v>
      </c>
      <c r="Y238" s="107">
        <f t="shared" si="137"/>
        <v>0</v>
      </c>
      <c r="Z238" s="107">
        <f t="shared" si="137"/>
        <v>4740.8688499999998</v>
      </c>
      <c r="AA238" s="107">
        <f t="shared" si="137"/>
        <v>0</v>
      </c>
      <c r="AB238" s="107">
        <f t="shared" si="137"/>
        <v>4504.4196200000006</v>
      </c>
      <c r="AC238" s="107">
        <f t="shared" si="137"/>
        <v>0</v>
      </c>
      <c r="AD238" s="107">
        <f t="shared" si="137"/>
        <v>1304.63662</v>
      </c>
      <c r="AE238" s="107">
        <f t="shared" si="137"/>
        <v>0</v>
      </c>
      <c r="AF238" s="101"/>
      <c r="AG238" s="102">
        <f t="shared" si="84"/>
        <v>1.1141310096718371E-11</v>
      </c>
    </row>
    <row r="239" spans="1:33" x14ac:dyDescent="0.3">
      <c r="A239" s="106" t="s">
        <v>170</v>
      </c>
      <c r="B239" s="107">
        <f t="shared" si="138"/>
        <v>0</v>
      </c>
      <c r="C239" s="107">
        <f t="shared" si="138"/>
        <v>0</v>
      </c>
      <c r="D239" s="107">
        <f t="shared" si="138"/>
        <v>0</v>
      </c>
      <c r="E239" s="107">
        <f t="shared" si="138"/>
        <v>0</v>
      </c>
      <c r="F239" s="107"/>
      <c r="G239" s="107"/>
      <c r="H239" s="107">
        <f t="shared" si="137"/>
        <v>0</v>
      </c>
      <c r="I239" s="107">
        <f t="shared" si="137"/>
        <v>0</v>
      </c>
      <c r="J239" s="107">
        <f t="shared" si="137"/>
        <v>0</v>
      </c>
      <c r="K239" s="107">
        <f t="shared" si="137"/>
        <v>0</v>
      </c>
      <c r="L239" s="107">
        <f t="shared" si="137"/>
        <v>0</v>
      </c>
      <c r="M239" s="107">
        <f t="shared" si="137"/>
        <v>0</v>
      </c>
      <c r="N239" s="107">
        <f t="shared" si="137"/>
        <v>0</v>
      </c>
      <c r="O239" s="107">
        <f t="shared" si="137"/>
        <v>0</v>
      </c>
      <c r="P239" s="107">
        <f t="shared" si="137"/>
        <v>0</v>
      </c>
      <c r="Q239" s="107">
        <f t="shared" si="137"/>
        <v>0</v>
      </c>
      <c r="R239" s="107">
        <f t="shared" si="137"/>
        <v>0</v>
      </c>
      <c r="S239" s="107">
        <f t="shared" si="137"/>
        <v>0</v>
      </c>
      <c r="T239" s="107">
        <f t="shared" si="137"/>
        <v>0</v>
      </c>
      <c r="U239" s="107">
        <f t="shared" si="137"/>
        <v>0</v>
      </c>
      <c r="V239" s="107">
        <f t="shared" si="137"/>
        <v>0</v>
      </c>
      <c r="W239" s="107">
        <f t="shared" si="137"/>
        <v>0</v>
      </c>
      <c r="X239" s="107">
        <f t="shared" si="137"/>
        <v>0</v>
      </c>
      <c r="Y239" s="107">
        <f t="shared" si="137"/>
        <v>0</v>
      </c>
      <c r="Z239" s="107">
        <f t="shared" si="137"/>
        <v>0</v>
      </c>
      <c r="AA239" s="107">
        <f t="shared" si="137"/>
        <v>0</v>
      </c>
      <c r="AB239" s="107">
        <f t="shared" si="137"/>
        <v>0</v>
      </c>
      <c r="AC239" s="107">
        <f t="shared" si="137"/>
        <v>0</v>
      </c>
      <c r="AD239" s="107">
        <f t="shared" si="137"/>
        <v>0</v>
      </c>
      <c r="AE239" s="107">
        <f t="shared" si="137"/>
        <v>0</v>
      </c>
      <c r="AF239" s="101"/>
      <c r="AG239" s="102">
        <f t="shared" si="84"/>
        <v>0</v>
      </c>
    </row>
    <row r="240" spans="1:33" ht="78.75" customHeight="1" x14ac:dyDescent="0.3">
      <c r="A240" s="851" t="s">
        <v>309</v>
      </c>
      <c r="B240" s="109"/>
      <c r="C240" s="110"/>
      <c r="D240" s="110"/>
      <c r="E240" s="110"/>
      <c r="F240" s="110"/>
      <c r="G240" s="110"/>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29"/>
      <c r="AG240" s="102">
        <f t="shared" si="84"/>
        <v>0</v>
      </c>
    </row>
    <row r="241" spans="1:33" x14ac:dyDescent="0.3">
      <c r="A241" s="112" t="s">
        <v>31</v>
      </c>
      <c r="B241" s="113">
        <f>B243+B244+B242+B245</f>
        <v>49526.600000000006</v>
      </c>
      <c r="C241" s="113">
        <f>C243+C244+C242+C245</f>
        <v>15262.220000000001</v>
      </c>
      <c r="D241" s="114">
        <f>D243+D244+D242+D245</f>
        <v>12873.05</v>
      </c>
      <c r="E241" s="113">
        <f>E243+E244+E242+E245</f>
        <v>12873.05</v>
      </c>
      <c r="F241" s="113">
        <f>IFERROR(E241/B241*100,0)</f>
        <v>25.99219409367895</v>
      </c>
      <c r="G241" s="113">
        <f>IFERROR(E241/C241*100,0)</f>
        <v>84.345855321178689</v>
      </c>
      <c r="H241" s="113">
        <f t="shared" ref="H241:AE241" si="139">H243+H244+H242+H245</f>
        <v>3736.9</v>
      </c>
      <c r="I241" s="113">
        <f t="shared" si="139"/>
        <v>1347.73</v>
      </c>
      <c r="J241" s="113">
        <f t="shared" si="139"/>
        <v>3827.1</v>
      </c>
      <c r="K241" s="113">
        <f t="shared" si="139"/>
        <v>3827.1</v>
      </c>
      <c r="L241" s="113">
        <f t="shared" si="139"/>
        <v>7698.22</v>
      </c>
      <c r="M241" s="113">
        <f t="shared" si="139"/>
        <v>7698.22</v>
      </c>
      <c r="N241" s="113">
        <f t="shared" si="139"/>
        <v>11246.5</v>
      </c>
      <c r="O241" s="113">
        <f t="shared" si="139"/>
        <v>0</v>
      </c>
      <c r="P241" s="113">
        <f t="shared" si="139"/>
        <v>3322.2</v>
      </c>
      <c r="Q241" s="113">
        <f t="shared" si="139"/>
        <v>0</v>
      </c>
      <c r="R241" s="113">
        <f t="shared" si="139"/>
        <v>3386.5</v>
      </c>
      <c r="S241" s="113">
        <f t="shared" si="139"/>
        <v>0</v>
      </c>
      <c r="T241" s="113">
        <f t="shared" si="139"/>
        <v>4303.6000000000004</v>
      </c>
      <c r="U241" s="113">
        <f t="shared" si="139"/>
        <v>0</v>
      </c>
      <c r="V241" s="113">
        <f t="shared" si="139"/>
        <v>2401.1999999999998</v>
      </c>
      <c r="W241" s="113">
        <f t="shared" si="139"/>
        <v>0</v>
      </c>
      <c r="X241" s="113">
        <f t="shared" si="139"/>
        <v>2447.9</v>
      </c>
      <c r="Y241" s="113">
        <f t="shared" si="139"/>
        <v>0</v>
      </c>
      <c r="Z241" s="113">
        <f t="shared" si="139"/>
        <v>3713.5</v>
      </c>
      <c r="AA241" s="113">
        <f t="shared" si="139"/>
        <v>0</v>
      </c>
      <c r="AB241" s="113">
        <f t="shared" si="139"/>
        <v>3442.98</v>
      </c>
      <c r="AC241" s="113">
        <f t="shared" si="139"/>
        <v>0</v>
      </c>
      <c r="AD241" s="113">
        <f t="shared" si="139"/>
        <v>0</v>
      </c>
      <c r="AE241" s="113">
        <f t="shared" si="139"/>
        <v>0</v>
      </c>
      <c r="AF241" s="29"/>
      <c r="AG241" s="102">
        <f t="shared" si="84"/>
        <v>5.0022208597511053E-12</v>
      </c>
    </row>
    <row r="242" spans="1:33" x14ac:dyDescent="0.3">
      <c r="A242" s="115" t="s">
        <v>169</v>
      </c>
      <c r="B242" s="116">
        <f t="shared" ref="B242:B244" si="140">J242+L242+N242+P242+R242+T242+V242+X242+Z242+AB242+AD242+H242</f>
        <v>0</v>
      </c>
      <c r="C242" s="117">
        <f>SUM(H242)</f>
        <v>0</v>
      </c>
      <c r="D242" s="118">
        <f>E242</f>
        <v>0</v>
      </c>
      <c r="E242" s="117">
        <f>SUM(I242,K242,M242,O242,Q242,S242,U242,W242,Y242,AA242,AC242,AE242)</f>
        <v>0</v>
      </c>
      <c r="F242" s="116">
        <f>IFERROR(E242/B242*100,0)</f>
        <v>0</v>
      </c>
      <c r="G242" s="116">
        <f>IFERROR(E242/C242*100,0)</f>
        <v>0</v>
      </c>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29"/>
      <c r="AG242" s="102">
        <f t="shared" si="84"/>
        <v>0</v>
      </c>
    </row>
    <row r="243" spans="1:33" x14ac:dyDescent="0.3">
      <c r="A243" s="115" t="s">
        <v>32</v>
      </c>
      <c r="B243" s="116">
        <f t="shared" si="140"/>
        <v>0</v>
      </c>
      <c r="C243" s="117">
        <f>SUM(H243)</f>
        <v>0</v>
      </c>
      <c r="D243" s="118">
        <f>E243</f>
        <v>0</v>
      </c>
      <c r="E243" s="117">
        <f>SUM(I243,K243,M243,O243,Q243,S243,U243,W243,Y243,AA243,AC243,AE243)</f>
        <v>0</v>
      </c>
      <c r="F243" s="116">
        <f>IFERROR(E243/B243*100,0)</f>
        <v>0</v>
      </c>
      <c r="G243" s="116">
        <f>IFERROR(E243/C243*100,0)</f>
        <v>0</v>
      </c>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29"/>
      <c r="AG243" s="102">
        <f t="shared" si="84"/>
        <v>0</v>
      </c>
    </row>
    <row r="244" spans="1:33" x14ac:dyDescent="0.3">
      <c r="A244" s="115" t="s">
        <v>33</v>
      </c>
      <c r="B244" s="116">
        <f t="shared" si="140"/>
        <v>49526.600000000006</v>
      </c>
      <c r="C244" s="117">
        <f>H244+J244+L244</f>
        <v>15262.220000000001</v>
      </c>
      <c r="D244" s="118">
        <f>E244</f>
        <v>12873.05</v>
      </c>
      <c r="E244" s="117">
        <f>SUM(I244,K244,M244,O244,Q244,S244,U244,W244,Y244,AA244,AC244,AE244)</f>
        <v>12873.05</v>
      </c>
      <c r="F244" s="116">
        <f>IFERROR(E244/B244*100,0)</f>
        <v>25.99219409367895</v>
      </c>
      <c r="G244" s="116">
        <f>IFERROR(E244/C244*100,0)</f>
        <v>84.345855321178689</v>
      </c>
      <c r="H244" s="529">
        <v>3736.9</v>
      </c>
      <c r="I244" s="529">
        <v>1347.73</v>
      </c>
      <c r="J244" s="529">
        <v>3827.1</v>
      </c>
      <c r="K244" s="111">
        <v>3827.1</v>
      </c>
      <c r="L244" s="111">
        <v>7698.22</v>
      </c>
      <c r="M244" s="111">
        <v>7698.22</v>
      </c>
      <c r="N244" s="111">
        <f>3541.6+7704.9</f>
        <v>11246.5</v>
      </c>
      <c r="O244" s="111"/>
      <c r="P244" s="111">
        <v>3322.2</v>
      </c>
      <c r="Q244" s="111"/>
      <c r="R244" s="111">
        <v>3386.5</v>
      </c>
      <c r="S244" s="111"/>
      <c r="T244" s="111">
        <v>4303.6000000000004</v>
      </c>
      <c r="U244" s="111"/>
      <c r="V244" s="111">
        <v>2401.1999999999998</v>
      </c>
      <c r="W244" s="111"/>
      <c r="X244" s="111">
        <v>2447.9</v>
      </c>
      <c r="Y244" s="111"/>
      <c r="Z244" s="111">
        <v>3713.5</v>
      </c>
      <c r="AA244" s="111"/>
      <c r="AB244" s="111">
        <f>3619.9-176.92</f>
        <v>3442.98</v>
      </c>
      <c r="AC244" s="111"/>
      <c r="AD244" s="111"/>
      <c r="AE244" s="111"/>
      <c r="AF244" s="29"/>
      <c r="AG244" s="102">
        <f t="shared" si="84"/>
        <v>5.0022208597511053E-12</v>
      </c>
    </row>
    <row r="245" spans="1:33" x14ac:dyDescent="0.3">
      <c r="A245" s="115" t="s">
        <v>170</v>
      </c>
      <c r="B245" s="116"/>
      <c r="C245" s="117"/>
      <c r="D245" s="118"/>
      <c r="E245" s="117"/>
      <c r="F245" s="116"/>
      <c r="G245" s="116"/>
      <c r="H245" s="529"/>
      <c r="I245" s="529"/>
      <c r="J245" s="529"/>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29"/>
      <c r="AG245" s="102">
        <f t="shared" si="84"/>
        <v>0</v>
      </c>
    </row>
    <row r="246" spans="1:33" ht="64.5" customHeight="1" x14ac:dyDescent="0.3">
      <c r="A246" s="851" t="s">
        <v>310</v>
      </c>
      <c r="B246" s="109"/>
      <c r="C246" s="110"/>
      <c r="D246" s="110"/>
      <c r="E246" s="110"/>
      <c r="F246" s="110"/>
      <c r="G246" s="110"/>
      <c r="H246" s="529"/>
      <c r="I246" s="529"/>
      <c r="J246" s="529"/>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29"/>
      <c r="AG246" s="102">
        <f t="shared" si="84"/>
        <v>0</v>
      </c>
    </row>
    <row r="247" spans="1:33" x14ac:dyDescent="0.3">
      <c r="A247" s="112" t="s">
        <v>31</v>
      </c>
      <c r="B247" s="113">
        <f>B249+B250+B248+B251</f>
        <v>12509.939440000002</v>
      </c>
      <c r="C247" s="113">
        <f>C249+C250+C248+C251</f>
        <v>2694.2898599999999</v>
      </c>
      <c r="D247" s="114">
        <f>D249+D250+D248+D251</f>
        <v>2161.17</v>
      </c>
      <c r="E247" s="113">
        <f>E249+E250+E248+E251</f>
        <v>2161.17</v>
      </c>
      <c r="F247" s="113">
        <f>IFERROR(E247/B247*100,0)</f>
        <v>17.275623198380565</v>
      </c>
      <c r="G247" s="113">
        <f>IFERROR(E247/C247*100,0)</f>
        <v>80.212973076326705</v>
      </c>
      <c r="H247" s="856">
        <f t="shared" ref="H247:AE247" si="141">H249+H250+H248+H251</f>
        <v>660.33662000000004</v>
      </c>
      <c r="I247" s="856">
        <f t="shared" si="141"/>
        <v>124.9</v>
      </c>
      <c r="J247" s="856">
        <f t="shared" si="141"/>
        <v>1016.97662</v>
      </c>
      <c r="K247" s="113">
        <f t="shared" si="141"/>
        <v>1016.98</v>
      </c>
      <c r="L247" s="113">
        <f t="shared" si="141"/>
        <v>1016.97662</v>
      </c>
      <c r="M247" s="113">
        <f t="shared" si="141"/>
        <v>1019.29</v>
      </c>
      <c r="N247" s="113">
        <f t="shared" si="141"/>
        <v>1149.4766199999999</v>
      </c>
      <c r="O247" s="113">
        <f t="shared" si="141"/>
        <v>0</v>
      </c>
      <c r="P247" s="113">
        <f t="shared" si="141"/>
        <v>1181.4915100000001</v>
      </c>
      <c r="Q247" s="113">
        <f t="shared" si="141"/>
        <v>0</v>
      </c>
      <c r="R247" s="113">
        <f t="shared" si="141"/>
        <v>1026.7422899999999</v>
      </c>
      <c r="S247" s="113">
        <f t="shared" si="141"/>
        <v>0</v>
      </c>
      <c r="T247" s="113">
        <f t="shared" si="141"/>
        <v>1016.97662</v>
      </c>
      <c r="U247" s="113">
        <f t="shared" si="141"/>
        <v>0</v>
      </c>
      <c r="V247" s="113">
        <f t="shared" si="141"/>
        <v>1030.5408299999999</v>
      </c>
      <c r="W247" s="113">
        <f t="shared" si="141"/>
        <v>0</v>
      </c>
      <c r="X247" s="113">
        <f t="shared" si="141"/>
        <v>1016.97662</v>
      </c>
      <c r="Y247" s="113">
        <f t="shared" si="141"/>
        <v>0</v>
      </c>
      <c r="Z247" s="113">
        <f t="shared" si="141"/>
        <v>1027.3688500000001</v>
      </c>
      <c r="AA247" s="113">
        <f t="shared" si="141"/>
        <v>0</v>
      </c>
      <c r="AB247" s="113">
        <f t="shared" si="141"/>
        <v>1061.4396200000001</v>
      </c>
      <c r="AC247" s="113">
        <f t="shared" si="141"/>
        <v>0</v>
      </c>
      <c r="AD247" s="113">
        <f t="shared" si="141"/>
        <v>1304.63662</v>
      </c>
      <c r="AE247" s="113">
        <f t="shared" si="141"/>
        <v>0</v>
      </c>
      <c r="AF247" s="29"/>
      <c r="AG247" s="102">
        <f t="shared" si="84"/>
        <v>2.9558577807620168E-12</v>
      </c>
    </row>
    <row r="248" spans="1:33" x14ac:dyDescent="0.3">
      <c r="A248" s="115" t="s">
        <v>169</v>
      </c>
      <c r="B248" s="116">
        <f t="shared" ref="B248:B250" si="142">J248+L248+N248+P248+R248+T248+V248+X248+Z248+AB248+AD248+H248</f>
        <v>0</v>
      </c>
      <c r="C248" s="117">
        <f>SUM(H248)</f>
        <v>0</v>
      </c>
      <c r="D248" s="118">
        <f>E248</f>
        <v>0</v>
      </c>
      <c r="E248" s="117">
        <f>SUM(I248,K248,M248,O248,Q248,S248,U248,W248,Y248,AA248,AC248,AE248)</f>
        <v>0</v>
      </c>
      <c r="F248" s="116">
        <f>IFERROR(E248/B248*100,0)</f>
        <v>0</v>
      </c>
      <c r="G248" s="116">
        <f>IFERROR(E248/C248*100,0)</f>
        <v>0</v>
      </c>
      <c r="H248" s="529"/>
      <c r="I248" s="529"/>
      <c r="J248" s="529"/>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29"/>
      <c r="AG248" s="102">
        <f t="shared" si="84"/>
        <v>0</v>
      </c>
    </row>
    <row r="249" spans="1:33" x14ac:dyDescent="0.3">
      <c r="A249" s="115" t="s">
        <v>32</v>
      </c>
      <c r="B249" s="116">
        <f t="shared" si="142"/>
        <v>0</v>
      </c>
      <c r="C249" s="117">
        <f>SUM(H249)</f>
        <v>0</v>
      </c>
      <c r="D249" s="118">
        <f>E249</f>
        <v>0</v>
      </c>
      <c r="E249" s="117">
        <f>SUM(I249,K249,M249,O249,Q249,S249,U249,W249,Y249,AA249,AC249,AE249)</f>
        <v>0</v>
      </c>
      <c r="F249" s="116">
        <f>IFERROR(E249/B249*100,0)</f>
        <v>0</v>
      </c>
      <c r="G249" s="116">
        <f>IFERROR(E249/C249*100,0)</f>
        <v>0</v>
      </c>
      <c r="H249" s="529"/>
      <c r="I249" s="529"/>
      <c r="J249" s="529"/>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29"/>
      <c r="AG249" s="102">
        <f t="shared" si="84"/>
        <v>0</v>
      </c>
    </row>
    <row r="250" spans="1:33" x14ac:dyDescent="0.3">
      <c r="A250" s="115" t="s">
        <v>33</v>
      </c>
      <c r="B250" s="642">
        <f t="shared" si="142"/>
        <v>12509.939440000002</v>
      </c>
      <c r="C250" s="117">
        <f>H250+J250+L250</f>
        <v>2694.2898599999999</v>
      </c>
      <c r="D250" s="118">
        <f>E250</f>
        <v>2161.17</v>
      </c>
      <c r="E250" s="117">
        <f>SUM(I250,K250,M250,O250,Q250,S250,U250,W250,Y250,AA250,AC250,AE250)</f>
        <v>2161.17</v>
      </c>
      <c r="F250" s="116">
        <f>IFERROR(E250/B250*100,0)</f>
        <v>17.275623198380565</v>
      </c>
      <c r="G250" s="116">
        <f>IFERROR(E250/C250*100,0)</f>
        <v>80.212973076326705</v>
      </c>
      <c r="H250" s="529">
        <v>660.33662000000004</v>
      </c>
      <c r="I250" s="529">
        <v>124.9</v>
      </c>
      <c r="J250" s="529">
        <v>1016.97662</v>
      </c>
      <c r="K250" s="111">
        <v>1016.98</v>
      </c>
      <c r="L250" s="111">
        <v>1016.97662</v>
      </c>
      <c r="M250" s="111">
        <f>2.31+1016.98</f>
        <v>1019.29</v>
      </c>
      <c r="N250" s="111">
        <v>1149.4766199999999</v>
      </c>
      <c r="O250" s="111"/>
      <c r="P250" s="111">
        <v>1181.4915100000001</v>
      </c>
      <c r="Q250" s="111"/>
      <c r="R250" s="111">
        <v>1026.7422899999999</v>
      </c>
      <c r="S250" s="111"/>
      <c r="T250" s="111">
        <v>1016.97662</v>
      </c>
      <c r="U250" s="111"/>
      <c r="V250" s="111">
        <v>1030.5408299999999</v>
      </c>
      <c r="W250" s="111"/>
      <c r="X250" s="111">
        <v>1016.97662</v>
      </c>
      <c r="Y250" s="111"/>
      <c r="Z250" s="111">
        <v>1027.3688500000001</v>
      </c>
      <c r="AA250" s="111"/>
      <c r="AB250" s="111">
        <v>1061.4396200000001</v>
      </c>
      <c r="AC250" s="111"/>
      <c r="AD250" s="111">
        <v>1304.63662</v>
      </c>
      <c r="AE250" s="111"/>
      <c r="AF250" s="29"/>
      <c r="AG250" s="102">
        <f t="shared" si="84"/>
        <v>2.9558577807620168E-12</v>
      </c>
    </row>
    <row r="251" spans="1:33" x14ac:dyDescent="0.3">
      <c r="A251" s="115" t="s">
        <v>170</v>
      </c>
      <c r="B251" s="116"/>
      <c r="C251" s="117"/>
      <c r="D251" s="118"/>
      <c r="E251" s="117"/>
      <c r="F251" s="116"/>
      <c r="G251" s="116"/>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29"/>
      <c r="AG251" s="102">
        <f t="shared" si="84"/>
        <v>0</v>
      </c>
    </row>
    <row r="252" spans="1:33" x14ac:dyDescent="0.3">
      <c r="A252" s="908" t="s">
        <v>311</v>
      </c>
      <c r="B252" s="909"/>
      <c r="C252" s="909"/>
      <c r="D252" s="909"/>
      <c r="E252" s="909"/>
      <c r="F252" s="909"/>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10"/>
      <c r="AG252" s="102">
        <f t="shared" si="84"/>
        <v>0</v>
      </c>
    </row>
    <row r="253" spans="1:33" s="97" customFormat="1" x14ac:dyDescent="0.3">
      <c r="A253" s="908" t="s">
        <v>167</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10"/>
    </row>
    <row r="254" spans="1:33" ht="56.25" customHeight="1" x14ac:dyDescent="0.3">
      <c r="A254" s="98" t="s">
        <v>312</v>
      </c>
      <c r="B254" s="99"/>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1"/>
      <c r="AG254" s="102">
        <f>B254-H254-J254-L254-N254-P254-R254-T254-V254-X254-Z254-AB254-AD254</f>
        <v>0</v>
      </c>
    </row>
    <row r="255" spans="1:33" x14ac:dyDescent="0.3">
      <c r="A255" s="103" t="s">
        <v>31</v>
      </c>
      <c r="B255" s="104">
        <f>B256+B257+B258+B259</f>
        <v>1651094.7242699999</v>
      </c>
      <c r="C255" s="104">
        <f>C256+C257+C258+C259</f>
        <v>0</v>
      </c>
      <c r="D255" s="104">
        <f>D256+D257+D258+D259</f>
        <v>0</v>
      </c>
      <c r="E255" s="104">
        <f>E256+E257+E258+E259</f>
        <v>0</v>
      </c>
      <c r="F255" s="105">
        <f t="shared" ref="F255:F259" si="143">IFERROR(E255/B255*100,0)</f>
        <v>0</v>
      </c>
      <c r="G255" s="105">
        <f t="shared" ref="G255:G259" si="144">IFERROR(E255/C255*100,0)</f>
        <v>0</v>
      </c>
      <c r="H255" s="104">
        <f>H256+H257+H258+H259</f>
        <v>0</v>
      </c>
      <c r="I255" s="104">
        <f t="shared" ref="I255:AE255" si="145">I256+I257+I258+I259</f>
        <v>0</v>
      </c>
      <c r="J255" s="104">
        <f t="shared" si="145"/>
        <v>0</v>
      </c>
      <c r="K255" s="104">
        <f t="shared" si="145"/>
        <v>0</v>
      </c>
      <c r="L255" s="104">
        <f t="shared" si="145"/>
        <v>0</v>
      </c>
      <c r="M255" s="104">
        <f t="shared" si="145"/>
        <v>0</v>
      </c>
      <c r="N255" s="104">
        <f t="shared" si="145"/>
        <v>25239.244389999996</v>
      </c>
      <c r="O255" s="104">
        <f t="shared" si="145"/>
        <v>0</v>
      </c>
      <c r="P255" s="104">
        <f t="shared" si="145"/>
        <v>142689.00386</v>
      </c>
      <c r="Q255" s="104">
        <f t="shared" si="145"/>
        <v>0</v>
      </c>
      <c r="R255" s="104">
        <f t="shared" si="145"/>
        <v>29744.008529999999</v>
      </c>
      <c r="S255" s="104">
        <f t="shared" si="145"/>
        <v>0</v>
      </c>
      <c r="T255" s="104">
        <f t="shared" si="145"/>
        <v>59488.017070000002</v>
      </c>
      <c r="U255" s="104">
        <f t="shared" si="145"/>
        <v>0</v>
      </c>
      <c r="V255" s="104">
        <f t="shared" si="145"/>
        <v>59488.017070000002</v>
      </c>
      <c r="W255" s="104">
        <f t="shared" si="145"/>
        <v>0</v>
      </c>
      <c r="X255" s="104">
        <f t="shared" si="145"/>
        <v>86683.52191000001</v>
      </c>
      <c r="Y255" s="104">
        <f t="shared" si="145"/>
        <v>0</v>
      </c>
      <c r="Z255" s="104">
        <f t="shared" si="145"/>
        <v>59488.017070000002</v>
      </c>
      <c r="AA255" s="104">
        <f t="shared" si="145"/>
        <v>0</v>
      </c>
      <c r="AB255" s="104">
        <f t="shared" si="145"/>
        <v>139211.59836999999</v>
      </c>
      <c r="AC255" s="104">
        <f t="shared" si="145"/>
        <v>0</v>
      </c>
      <c r="AD255" s="104">
        <f t="shared" si="145"/>
        <v>1049063.2960000001</v>
      </c>
      <c r="AE255" s="104">
        <f t="shared" si="145"/>
        <v>0</v>
      </c>
      <c r="AF255" s="101"/>
      <c r="AG255" s="102">
        <f t="shared" ref="AG255:AG265" si="146">B255-H255-J255-L255-N255-P255-R255-T255-V255-X255-Z255-AB255-AD255</f>
        <v>0</v>
      </c>
    </row>
    <row r="256" spans="1:33" x14ac:dyDescent="0.3">
      <c r="A256" s="106" t="s">
        <v>169</v>
      </c>
      <c r="B256" s="107">
        <f>B262</f>
        <v>221676.3</v>
      </c>
      <c r="C256" s="107">
        <f t="shared" ref="C256:E256" si="147">C262</f>
        <v>0</v>
      </c>
      <c r="D256" s="107">
        <f t="shared" si="147"/>
        <v>0</v>
      </c>
      <c r="E256" s="107">
        <f t="shared" si="147"/>
        <v>0</v>
      </c>
      <c r="F256" s="107">
        <f t="shared" si="143"/>
        <v>0</v>
      </c>
      <c r="G256" s="107">
        <f t="shared" si="144"/>
        <v>0</v>
      </c>
      <c r="H256" s="107">
        <f t="shared" ref="H256:AE259" si="148">H262</f>
        <v>0</v>
      </c>
      <c r="I256" s="107">
        <f t="shared" si="148"/>
        <v>0</v>
      </c>
      <c r="J256" s="107">
        <f t="shared" si="148"/>
        <v>0</v>
      </c>
      <c r="K256" s="107">
        <f t="shared" si="148"/>
        <v>0</v>
      </c>
      <c r="L256" s="107">
        <f t="shared" si="148"/>
        <v>0</v>
      </c>
      <c r="M256" s="107">
        <f t="shared" si="148"/>
        <v>0</v>
      </c>
      <c r="N256" s="107">
        <f t="shared" si="148"/>
        <v>9633.1983099999998</v>
      </c>
      <c r="O256" s="107">
        <f t="shared" si="148"/>
        <v>0</v>
      </c>
      <c r="P256" s="107">
        <f t="shared" si="148"/>
        <v>54460.880420000001</v>
      </c>
      <c r="Q256" s="107">
        <f t="shared" si="148"/>
        <v>0</v>
      </c>
      <c r="R256" s="107">
        <f t="shared" si="148"/>
        <v>11352.555899999999</v>
      </c>
      <c r="S256" s="107">
        <f t="shared" si="148"/>
        <v>0</v>
      </c>
      <c r="T256" s="107">
        <f t="shared" si="148"/>
        <v>22705.111789999999</v>
      </c>
      <c r="U256" s="107">
        <f t="shared" si="148"/>
        <v>0</v>
      </c>
      <c r="V256" s="107">
        <f t="shared" si="148"/>
        <v>22705.111789999999</v>
      </c>
      <c r="W256" s="107">
        <f t="shared" si="148"/>
        <v>0</v>
      </c>
      <c r="X256" s="107">
        <f t="shared" si="148"/>
        <v>33084.966560000001</v>
      </c>
      <c r="Y256" s="107">
        <f t="shared" si="148"/>
        <v>0</v>
      </c>
      <c r="Z256" s="107">
        <f t="shared" si="148"/>
        <v>22705.111789999999</v>
      </c>
      <c r="AA256" s="107">
        <f t="shared" si="148"/>
        <v>0</v>
      </c>
      <c r="AB256" s="107">
        <f t="shared" si="148"/>
        <v>45029.363440000001</v>
      </c>
      <c r="AC256" s="107">
        <f t="shared" si="148"/>
        <v>0</v>
      </c>
      <c r="AD256" s="107">
        <f t="shared" si="148"/>
        <v>0</v>
      </c>
      <c r="AE256" s="107">
        <f t="shared" si="148"/>
        <v>0</v>
      </c>
      <c r="AF256" s="101"/>
      <c r="AG256" s="102">
        <f t="shared" si="146"/>
        <v>-1.4551915228366852E-11</v>
      </c>
    </row>
    <row r="257" spans="1:33" x14ac:dyDescent="0.3">
      <c r="A257" s="106" t="s">
        <v>32</v>
      </c>
      <c r="B257" s="107">
        <f t="shared" ref="B257:E259" si="149">B263</f>
        <v>930861.99944000004</v>
      </c>
      <c r="C257" s="107">
        <f t="shared" si="149"/>
        <v>0</v>
      </c>
      <c r="D257" s="107">
        <f t="shared" si="149"/>
        <v>0</v>
      </c>
      <c r="E257" s="107">
        <f t="shared" si="149"/>
        <v>0</v>
      </c>
      <c r="F257" s="107">
        <f t="shared" si="143"/>
        <v>0</v>
      </c>
      <c r="G257" s="107">
        <f t="shared" si="144"/>
        <v>0</v>
      </c>
      <c r="H257" s="107">
        <f t="shared" si="148"/>
        <v>0</v>
      </c>
      <c r="I257" s="107">
        <f t="shared" si="148"/>
        <v>0</v>
      </c>
      <c r="J257" s="107">
        <f t="shared" si="148"/>
        <v>0</v>
      </c>
      <c r="K257" s="107">
        <f t="shared" si="148"/>
        <v>0</v>
      </c>
      <c r="L257" s="107">
        <f t="shared" si="148"/>
        <v>0</v>
      </c>
      <c r="M257" s="107">
        <f t="shared" si="148"/>
        <v>0</v>
      </c>
      <c r="N257" s="107">
        <f t="shared" si="148"/>
        <v>13082.121639999999</v>
      </c>
      <c r="O257" s="107">
        <f t="shared" si="148"/>
        <v>0</v>
      </c>
      <c r="P257" s="107">
        <f t="shared" si="148"/>
        <v>73959.223050000001</v>
      </c>
      <c r="Q257" s="107">
        <f t="shared" si="148"/>
        <v>0</v>
      </c>
      <c r="R257" s="107">
        <f t="shared" si="148"/>
        <v>15417.05178</v>
      </c>
      <c r="S257" s="107">
        <f t="shared" si="148"/>
        <v>0</v>
      </c>
      <c r="T257" s="107">
        <f t="shared" si="148"/>
        <v>30834.103569999999</v>
      </c>
      <c r="U257" s="107">
        <f t="shared" si="148"/>
        <v>0</v>
      </c>
      <c r="V257" s="107">
        <f t="shared" si="148"/>
        <v>30834.103569999999</v>
      </c>
      <c r="W257" s="107">
        <f t="shared" si="148"/>
        <v>0</v>
      </c>
      <c r="X257" s="107">
        <f t="shared" si="148"/>
        <v>44930.203159999997</v>
      </c>
      <c r="Y257" s="107">
        <f t="shared" si="148"/>
        <v>0</v>
      </c>
      <c r="Z257" s="107">
        <f t="shared" si="148"/>
        <v>30834.103569999999</v>
      </c>
      <c r="AA257" s="107">
        <f t="shared" si="148"/>
        <v>0</v>
      </c>
      <c r="AB257" s="107">
        <f t="shared" si="148"/>
        <v>71208.929099999994</v>
      </c>
      <c r="AC257" s="107">
        <f t="shared" si="148"/>
        <v>0</v>
      </c>
      <c r="AD257" s="107">
        <f t="shared" si="148"/>
        <v>619762.16</v>
      </c>
      <c r="AE257" s="107">
        <f t="shared" si="148"/>
        <v>0</v>
      </c>
      <c r="AF257" s="101"/>
      <c r="AG257" s="102">
        <f t="shared" si="146"/>
        <v>0</v>
      </c>
    </row>
    <row r="258" spans="1:33" x14ac:dyDescent="0.3">
      <c r="A258" s="106" t="s">
        <v>33</v>
      </c>
      <c r="B258" s="107">
        <f t="shared" si="149"/>
        <v>176767.42483</v>
      </c>
      <c r="C258" s="107">
        <f t="shared" si="149"/>
        <v>0</v>
      </c>
      <c r="D258" s="107">
        <f t="shared" si="149"/>
        <v>0</v>
      </c>
      <c r="E258" s="107">
        <f t="shared" si="149"/>
        <v>0</v>
      </c>
      <c r="F258" s="107">
        <f t="shared" si="143"/>
        <v>0</v>
      </c>
      <c r="G258" s="107">
        <f t="shared" si="144"/>
        <v>0</v>
      </c>
      <c r="H258" s="107">
        <f t="shared" si="148"/>
        <v>0</v>
      </c>
      <c r="I258" s="107">
        <f t="shared" si="148"/>
        <v>0</v>
      </c>
      <c r="J258" s="107">
        <f t="shared" si="148"/>
        <v>0</v>
      </c>
      <c r="K258" s="107">
        <f t="shared" si="148"/>
        <v>0</v>
      </c>
      <c r="L258" s="107">
        <f t="shared" si="148"/>
        <v>0</v>
      </c>
      <c r="M258" s="107">
        <f t="shared" si="148"/>
        <v>0</v>
      </c>
      <c r="N258" s="107">
        <f t="shared" si="148"/>
        <v>2523.9244399999998</v>
      </c>
      <c r="O258" s="107">
        <f t="shared" si="148"/>
        <v>0</v>
      </c>
      <c r="P258" s="107">
        <f t="shared" si="148"/>
        <v>14268.900390000001</v>
      </c>
      <c r="Q258" s="107">
        <f t="shared" si="148"/>
        <v>0</v>
      </c>
      <c r="R258" s="107">
        <f t="shared" si="148"/>
        <v>2974.40085</v>
      </c>
      <c r="S258" s="107">
        <f t="shared" si="148"/>
        <v>0</v>
      </c>
      <c r="T258" s="107">
        <f t="shared" si="148"/>
        <v>5948.8017099999997</v>
      </c>
      <c r="U258" s="107">
        <f t="shared" si="148"/>
        <v>0</v>
      </c>
      <c r="V258" s="107">
        <f t="shared" si="148"/>
        <v>5948.8017099999997</v>
      </c>
      <c r="W258" s="107">
        <f t="shared" si="148"/>
        <v>0</v>
      </c>
      <c r="X258" s="107">
        <f t="shared" si="148"/>
        <v>8668.3521899999996</v>
      </c>
      <c r="Y258" s="107">
        <f t="shared" si="148"/>
        <v>0</v>
      </c>
      <c r="Z258" s="107">
        <f t="shared" si="148"/>
        <v>5948.8017099999997</v>
      </c>
      <c r="AA258" s="107">
        <f t="shared" si="148"/>
        <v>0</v>
      </c>
      <c r="AB258" s="107">
        <f t="shared" si="148"/>
        <v>12915.365830000001</v>
      </c>
      <c r="AC258" s="107">
        <f t="shared" si="148"/>
        <v>0</v>
      </c>
      <c r="AD258" s="107">
        <f>AD264</f>
        <v>117570.076</v>
      </c>
      <c r="AE258" s="107">
        <f t="shared" si="148"/>
        <v>0</v>
      </c>
      <c r="AF258" s="101"/>
      <c r="AG258" s="102">
        <f t="shared" si="146"/>
        <v>0</v>
      </c>
    </row>
    <row r="259" spans="1:33" x14ac:dyDescent="0.3">
      <c r="A259" s="106" t="s">
        <v>170</v>
      </c>
      <c r="B259" s="107">
        <f t="shared" si="149"/>
        <v>321789</v>
      </c>
      <c r="C259" s="107">
        <f t="shared" si="149"/>
        <v>0</v>
      </c>
      <c r="D259" s="107">
        <f t="shared" si="149"/>
        <v>0</v>
      </c>
      <c r="E259" s="107">
        <f t="shared" si="149"/>
        <v>0</v>
      </c>
      <c r="F259" s="107">
        <f t="shared" si="143"/>
        <v>0</v>
      </c>
      <c r="G259" s="107">
        <f t="shared" si="144"/>
        <v>0</v>
      </c>
      <c r="H259" s="107">
        <f t="shared" si="148"/>
        <v>0</v>
      </c>
      <c r="I259" s="107">
        <f t="shared" si="148"/>
        <v>0</v>
      </c>
      <c r="J259" s="107">
        <f t="shared" si="148"/>
        <v>0</v>
      </c>
      <c r="K259" s="107">
        <f t="shared" si="148"/>
        <v>0</v>
      </c>
      <c r="L259" s="107">
        <f t="shared" si="148"/>
        <v>0</v>
      </c>
      <c r="M259" s="107">
        <f t="shared" si="148"/>
        <v>0</v>
      </c>
      <c r="N259" s="107">
        <f t="shared" si="148"/>
        <v>0</v>
      </c>
      <c r="O259" s="107">
        <f t="shared" si="148"/>
        <v>0</v>
      </c>
      <c r="P259" s="107">
        <f t="shared" si="148"/>
        <v>0</v>
      </c>
      <c r="Q259" s="107">
        <f t="shared" si="148"/>
        <v>0</v>
      </c>
      <c r="R259" s="107">
        <f t="shared" si="148"/>
        <v>0</v>
      </c>
      <c r="S259" s="107">
        <f t="shared" si="148"/>
        <v>0</v>
      </c>
      <c r="T259" s="107">
        <f t="shared" si="148"/>
        <v>0</v>
      </c>
      <c r="U259" s="107">
        <f t="shared" si="148"/>
        <v>0</v>
      </c>
      <c r="V259" s="107">
        <f t="shared" si="148"/>
        <v>0</v>
      </c>
      <c r="W259" s="107">
        <f t="shared" si="148"/>
        <v>0</v>
      </c>
      <c r="X259" s="107">
        <f t="shared" si="148"/>
        <v>0</v>
      </c>
      <c r="Y259" s="107">
        <f t="shared" si="148"/>
        <v>0</v>
      </c>
      <c r="Z259" s="107">
        <f t="shared" si="148"/>
        <v>0</v>
      </c>
      <c r="AA259" s="107">
        <f t="shared" si="148"/>
        <v>0</v>
      </c>
      <c r="AB259" s="107">
        <f t="shared" si="148"/>
        <v>10057.94</v>
      </c>
      <c r="AC259" s="107">
        <f t="shared" si="148"/>
        <v>0</v>
      </c>
      <c r="AD259" s="107">
        <f t="shared" si="148"/>
        <v>311731.06</v>
      </c>
      <c r="AE259" s="107">
        <f t="shared" si="148"/>
        <v>0</v>
      </c>
      <c r="AF259" s="101"/>
      <c r="AG259" s="102">
        <f t="shared" si="146"/>
        <v>0</v>
      </c>
    </row>
    <row r="260" spans="1:33" ht="203.25" customHeight="1" x14ac:dyDescent="0.3">
      <c r="A260" s="851" t="s">
        <v>313</v>
      </c>
      <c r="B260" s="109"/>
      <c r="C260" s="110"/>
      <c r="D260" s="110"/>
      <c r="E260" s="110"/>
      <c r="F260" s="110"/>
      <c r="G260" s="110"/>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530" t="s">
        <v>530</v>
      </c>
      <c r="AG260" s="102">
        <f t="shared" si="146"/>
        <v>0</v>
      </c>
    </row>
    <row r="261" spans="1:33" x14ac:dyDescent="0.3">
      <c r="A261" s="112" t="s">
        <v>31</v>
      </c>
      <c r="B261" s="113">
        <f>B263+B264+B262+B265</f>
        <v>1651094.7242700001</v>
      </c>
      <c r="C261" s="113">
        <f>C263+C264+C262+C265</f>
        <v>0</v>
      </c>
      <c r="D261" s="114">
        <f>D263+D264+D262+D265</f>
        <v>0</v>
      </c>
      <c r="E261" s="113">
        <f>E263+E264+E262+E265</f>
        <v>0</v>
      </c>
      <c r="F261" s="113">
        <f>IFERROR(E261/B261*100,0)</f>
        <v>0</v>
      </c>
      <c r="G261" s="113">
        <f>IFERROR(E261/C261*100,0)</f>
        <v>0</v>
      </c>
      <c r="H261" s="113">
        <f t="shared" ref="H261:AE261" si="150">H263+H264+H262+H265</f>
        <v>0</v>
      </c>
      <c r="I261" s="113">
        <f t="shared" si="150"/>
        <v>0</v>
      </c>
      <c r="J261" s="113">
        <f t="shared" si="150"/>
        <v>0</v>
      </c>
      <c r="K261" s="113">
        <f t="shared" si="150"/>
        <v>0</v>
      </c>
      <c r="L261" s="113">
        <f t="shared" si="150"/>
        <v>0</v>
      </c>
      <c r="M261" s="113">
        <f t="shared" si="150"/>
        <v>0</v>
      </c>
      <c r="N261" s="113">
        <f t="shared" si="150"/>
        <v>25239.24439</v>
      </c>
      <c r="O261" s="113">
        <f t="shared" si="150"/>
        <v>0</v>
      </c>
      <c r="P261" s="113">
        <f t="shared" si="150"/>
        <v>142689.00386</v>
      </c>
      <c r="Q261" s="113">
        <f t="shared" si="150"/>
        <v>0</v>
      </c>
      <c r="R261" s="113">
        <f t="shared" si="150"/>
        <v>29744.008529999999</v>
      </c>
      <c r="S261" s="113">
        <f t="shared" si="150"/>
        <v>0</v>
      </c>
      <c r="T261" s="113">
        <f t="shared" si="150"/>
        <v>59488.017070000002</v>
      </c>
      <c r="U261" s="113">
        <f t="shared" si="150"/>
        <v>0</v>
      </c>
      <c r="V261" s="113">
        <f t="shared" si="150"/>
        <v>59488.017070000002</v>
      </c>
      <c r="W261" s="113">
        <f t="shared" si="150"/>
        <v>0</v>
      </c>
      <c r="X261" s="113">
        <f t="shared" si="150"/>
        <v>86683.521909999996</v>
      </c>
      <c r="Y261" s="113">
        <f t="shared" si="150"/>
        <v>0</v>
      </c>
      <c r="Z261" s="113">
        <f t="shared" si="150"/>
        <v>59488.017070000002</v>
      </c>
      <c r="AA261" s="113">
        <f t="shared" si="150"/>
        <v>0</v>
      </c>
      <c r="AB261" s="113">
        <f>AB263+AB264+AB262+AB265</f>
        <v>139211.59836999999</v>
      </c>
      <c r="AC261" s="113">
        <f t="shared" si="150"/>
        <v>0</v>
      </c>
      <c r="AD261" s="113">
        <f t="shared" si="150"/>
        <v>1049063.2960000001</v>
      </c>
      <c r="AE261" s="113">
        <f t="shared" si="150"/>
        <v>0</v>
      </c>
      <c r="AF261" s="29"/>
      <c r="AG261" s="102">
        <f t="shared" si="146"/>
        <v>0</v>
      </c>
    </row>
    <row r="262" spans="1:33" x14ac:dyDescent="0.3">
      <c r="A262" s="115" t="s">
        <v>169</v>
      </c>
      <c r="B262" s="116">
        <f t="shared" ref="B262:B265" si="151">J262+L262+N262+P262+R262+T262+V262+X262+Z262+AB262+AD262+H262</f>
        <v>221676.3</v>
      </c>
      <c r="C262" s="117">
        <f>SUM(H262)</f>
        <v>0</v>
      </c>
      <c r="D262" s="118">
        <f>E262</f>
        <v>0</v>
      </c>
      <c r="E262" s="117">
        <f>SUM(I262,K262,M262,O262,Q262,S262,U262,W262,Y262,AA262,AC262,AE262)</f>
        <v>0</v>
      </c>
      <c r="F262" s="116">
        <f>IFERROR(E262/B262*100,0)</f>
        <v>0</v>
      </c>
      <c r="G262" s="116">
        <f>IFERROR(E262/C262*100,0)</f>
        <v>0</v>
      </c>
      <c r="H262" s="111"/>
      <c r="I262" s="111"/>
      <c r="J262" s="111"/>
      <c r="K262" s="111"/>
      <c r="L262" s="111"/>
      <c r="M262" s="111"/>
      <c r="N262" s="111">
        <v>9633.1983099999998</v>
      </c>
      <c r="O262" s="111"/>
      <c r="P262" s="111">
        <v>54460.880420000001</v>
      </c>
      <c r="Q262" s="111"/>
      <c r="R262" s="111">
        <v>11352.555899999999</v>
      </c>
      <c r="S262" s="111"/>
      <c r="T262" s="111">
        <v>22705.111789999999</v>
      </c>
      <c r="U262" s="111"/>
      <c r="V262" s="111">
        <v>22705.111789999999</v>
      </c>
      <c r="W262" s="111"/>
      <c r="X262" s="111">
        <v>33084.966560000001</v>
      </c>
      <c r="Y262" s="111"/>
      <c r="Z262" s="111">
        <v>22705.111789999999</v>
      </c>
      <c r="AA262" s="111"/>
      <c r="AB262" s="111">
        <v>45029.363440000001</v>
      </c>
      <c r="AC262" s="111"/>
      <c r="AD262" s="111"/>
      <c r="AE262" s="111"/>
      <c r="AF262" s="29"/>
      <c r="AG262" s="102">
        <f t="shared" si="146"/>
        <v>-1.4551915228366852E-11</v>
      </c>
    </row>
    <row r="263" spans="1:33" x14ac:dyDescent="0.3">
      <c r="A263" s="115" t="s">
        <v>32</v>
      </c>
      <c r="B263" s="116">
        <f t="shared" si="151"/>
        <v>930861.99944000004</v>
      </c>
      <c r="C263" s="117">
        <f>SUM(H263)</f>
        <v>0</v>
      </c>
      <c r="D263" s="118">
        <f>E263</f>
        <v>0</v>
      </c>
      <c r="E263" s="117">
        <f>SUM(I263,K263,M263,O263,Q263,S263,U263,W263,Y263,AA263,AC263,AE263)</f>
        <v>0</v>
      </c>
      <c r="F263" s="116">
        <f>IFERROR(E263/B263*100,0)</f>
        <v>0</v>
      </c>
      <c r="G263" s="116">
        <f>IFERROR(E263/C263*100,0)</f>
        <v>0</v>
      </c>
      <c r="H263" s="111"/>
      <c r="I263" s="111"/>
      <c r="J263" s="111"/>
      <c r="K263" s="111"/>
      <c r="L263" s="111"/>
      <c r="M263" s="111"/>
      <c r="N263" s="111">
        <v>13082.121639999999</v>
      </c>
      <c r="O263" s="111"/>
      <c r="P263" s="111">
        <v>73959.223050000001</v>
      </c>
      <c r="Q263" s="111"/>
      <c r="R263" s="111">
        <v>15417.05178</v>
      </c>
      <c r="S263" s="111"/>
      <c r="T263" s="111">
        <v>30834.103569999999</v>
      </c>
      <c r="U263" s="111"/>
      <c r="V263" s="111">
        <v>30834.103569999999</v>
      </c>
      <c r="W263" s="111"/>
      <c r="X263" s="111">
        <v>44930.203159999997</v>
      </c>
      <c r="Y263" s="111"/>
      <c r="Z263" s="111">
        <v>30834.103569999999</v>
      </c>
      <c r="AA263" s="111"/>
      <c r="AB263" s="111">
        <f>61150.98966+10057.93944</f>
        <v>71208.929099999994</v>
      </c>
      <c r="AC263" s="111"/>
      <c r="AD263" s="111">
        <v>619762.16</v>
      </c>
      <c r="AE263" s="111"/>
      <c r="AF263" s="29"/>
      <c r="AG263" s="102">
        <f t="shared" si="146"/>
        <v>0</v>
      </c>
    </row>
    <row r="264" spans="1:33" x14ac:dyDescent="0.3">
      <c r="A264" s="115" t="s">
        <v>33</v>
      </c>
      <c r="B264" s="642">
        <f t="shared" si="151"/>
        <v>176767.42483</v>
      </c>
      <c r="C264" s="117">
        <f>SUM(H264)</f>
        <v>0</v>
      </c>
      <c r="D264" s="118">
        <f>E264</f>
        <v>0</v>
      </c>
      <c r="E264" s="117">
        <f>SUM(I264,K264,M264,O264,Q264,S264,U264,W264,Y264,AA264,AC264,AE264)</f>
        <v>0</v>
      </c>
      <c r="F264" s="116">
        <f>IFERROR(E264/B264*100,0)</f>
        <v>0</v>
      </c>
      <c r="G264" s="116">
        <f>IFERROR(E264/C264*100,0)</f>
        <v>0</v>
      </c>
      <c r="H264" s="111"/>
      <c r="I264" s="111"/>
      <c r="J264" s="111"/>
      <c r="K264" s="111"/>
      <c r="L264" s="111"/>
      <c r="M264" s="111"/>
      <c r="N264" s="111">
        <v>2523.9244399999998</v>
      </c>
      <c r="O264" s="111"/>
      <c r="P264" s="111">
        <v>14268.900390000001</v>
      </c>
      <c r="Q264" s="111"/>
      <c r="R264" s="111">
        <v>2974.40085</v>
      </c>
      <c r="S264" s="111"/>
      <c r="T264" s="111">
        <f>5948.80171</f>
        <v>5948.8017099999997</v>
      </c>
      <c r="U264" s="111"/>
      <c r="V264" s="111">
        <v>5948.8017099999997</v>
      </c>
      <c r="W264" s="111"/>
      <c r="X264" s="111">
        <v>8668.3521899999996</v>
      </c>
      <c r="Y264" s="111"/>
      <c r="Z264" s="111">
        <v>5948.8017099999997</v>
      </c>
      <c r="AA264" s="111"/>
      <c r="AB264" s="111">
        <v>12915.365830000001</v>
      </c>
      <c r="AC264" s="111"/>
      <c r="AD264" s="111">
        <v>117570.076</v>
      </c>
      <c r="AE264" s="111"/>
      <c r="AF264" s="29"/>
      <c r="AG264" s="102">
        <f t="shared" si="146"/>
        <v>0</v>
      </c>
    </row>
    <row r="265" spans="1:33" x14ac:dyDescent="0.3">
      <c r="A265" s="115" t="s">
        <v>170</v>
      </c>
      <c r="B265" s="116">
        <f t="shared" si="151"/>
        <v>321789</v>
      </c>
      <c r="C265" s="117"/>
      <c r="D265" s="118"/>
      <c r="E265" s="117"/>
      <c r="F265" s="116"/>
      <c r="G265" s="116"/>
      <c r="H265" s="111"/>
      <c r="I265" s="111"/>
      <c r="J265" s="111"/>
      <c r="K265" s="111"/>
      <c r="L265" s="111"/>
      <c r="M265" s="111"/>
      <c r="N265" s="111"/>
      <c r="O265" s="111"/>
      <c r="P265" s="111"/>
      <c r="Q265" s="111"/>
      <c r="R265" s="111"/>
      <c r="S265" s="111"/>
      <c r="T265" s="111"/>
      <c r="U265" s="111"/>
      <c r="V265" s="111"/>
      <c r="W265" s="111"/>
      <c r="X265" s="111"/>
      <c r="Y265" s="111"/>
      <c r="Z265" s="111"/>
      <c r="AA265" s="111"/>
      <c r="AB265" s="111">
        <v>10057.94</v>
      </c>
      <c r="AC265" s="111"/>
      <c r="AD265" s="111">
        <v>311731.06</v>
      </c>
      <c r="AE265" s="111"/>
      <c r="AF265" s="29"/>
      <c r="AG265" s="102">
        <f t="shared" si="146"/>
        <v>0</v>
      </c>
    </row>
    <row r="266" spans="1:33" ht="56.25" customHeight="1" x14ac:dyDescent="0.3">
      <c r="A266" s="98" t="s">
        <v>314</v>
      </c>
      <c r="B266" s="99"/>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1"/>
      <c r="AG266" s="102">
        <f>B266-H266-J266-L266-N266-P266-R266-T266-V266-X266-Z266-AB266-AD266</f>
        <v>0</v>
      </c>
    </row>
    <row r="267" spans="1:33" x14ac:dyDescent="0.3">
      <c r="A267" s="103" t="s">
        <v>31</v>
      </c>
      <c r="B267" s="104">
        <f>B268+B269+B270+B271</f>
        <v>0</v>
      </c>
      <c r="C267" s="104">
        <f>C268+C269+C270+C271</f>
        <v>0</v>
      </c>
      <c r="D267" s="104">
        <f>D268+D269+D270+D271</f>
        <v>0</v>
      </c>
      <c r="E267" s="104">
        <f>E268+E269+E270+E271</f>
        <v>0</v>
      </c>
      <c r="F267" s="105">
        <f t="shared" ref="F267:F271" si="152">IFERROR(E267/B267*100,0)</f>
        <v>0</v>
      </c>
      <c r="G267" s="105">
        <f t="shared" ref="G267:G271" si="153">IFERROR(E267/C267*100,0)</f>
        <v>0</v>
      </c>
      <c r="H267" s="104">
        <f>H268+H269+H270+H271</f>
        <v>0</v>
      </c>
      <c r="I267" s="104">
        <f t="shared" ref="I267:AE267" si="154">I268+I269+I270+I271</f>
        <v>0</v>
      </c>
      <c r="J267" s="104">
        <f t="shared" si="154"/>
        <v>0</v>
      </c>
      <c r="K267" s="104">
        <f t="shared" si="154"/>
        <v>0</v>
      </c>
      <c r="L267" s="104">
        <f t="shared" si="154"/>
        <v>0</v>
      </c>
      <c r="M267" s="104">
        <f t="shared" si="154"/>
        <v>0</v>
      </c>
      <c r="N267" s="104">
        <f t="shared" si="154"/>
        <v>0</v>
      </c>
      <c r="O267" s="104">
        <f t="shared" si="154"/>
        <v>0</v>
      </c>
      <c r="P267" s="104">
        <f t="shared" si="154"/>
        <v>0</v>
      </c>
      <c r="Q267" s="104">
        <f t="shared" si="154"/>
        <v>0</v>
      </c>
      <c r="R267" s="104">
        <f t="shared" si="154"/>
        <v>0</v>
      </c>
      <c r="S267" s="104">
        <f t="shared" si="154"/>
        <v>0</v>
      </c>
      <c r="T267" s="104">
        <f t="shared" si="154"/>
        <v>0</v>
      </c>
      <c r="U267" s="104">
        <f t="shared" si="154"/>
        <v>0</v>
      </c>
      <c r="V267" s="104">
        <f t="shared" si="154"/>
        <v>0</v>
      </c>
      <c r="W267" s="104">
        <f t="shared" si="154"/>
        <v>0</v>
      </c>
      <c r="X267" s="104">
        <f t="shared" si="154"/>
        <v>0</v>
      </c>
      <c r="Y267" s="104">
        <f t="shared" si="154"/>
        <v>0</v>
      </c>
      <c r="Z267" s="104">
        <f t="shared" si="154"/>
        <v>0</v>
      </c>
      <c r="AA267" s="104">
        <f t="shared" si="154"/>
        <v>0</v>
      </c>
      <c r="AB267" s="104">
        <f t="shared" si="154"/>
        <v>0</v>
      </c>
      <c r="AC267" s="104">
        <f t="shared" si="154"/>
        <v>0</v>
      </c>
      <c r="AD267" s="104">
        <f t="shared" si="154"/>
        <v>0</v>
      </c>
      <c r="AE267" s="104">
        <f t="shared" si="154"/>
        <v>0</v>
      </c>
      <c r="AF267" s="101"/>
      <c r="AG267" s="102">
        <f t="shared" ref="AG267:AG271" si="155">B267-H267-J267-L267-N267-P267-R267-T267-V267-X267-Z267-AB267-AD267</f>
        <v>0</v>
      </c>
    </row>
    <row r="268" spans="1:33" x14ac:dyDescent="0.3">
      <c r="A268" s="106" t="s">
        <v>169</v>
      </c>
      <c r="B268" s="107">
        <f t="shared" ref="B268:B271" si="156">J268+L268+N268+P268+R268+T268+V268+X268+Z268+AB268+AD268+H268</f>
        <v>0</v>
      </c>
      <c r="C268" s="107">
        <f t="shared" ref="C268:C271" si="157">SUM(H268)</f>
        <v>0</v>
      </c>
      <c r="D268" s="107">
        <f t="shared" ref="D268:D271" si="158">E268</f>
        <v>0</v>
      </c>
      <c r="E268" s="107">
        <f t="shared" ref="E268:E271" si="159">SUM(I268,K268,M268,O268,Q268,S268,U268,W268,Y268,AA268,AC268,AE268)</f>
        <v>0</v>
      </c>
      <c r="F268" s="107">
        <f t="shared" si="152"/>
        <v>0</v>
      </c>
      <c r="G268" s="107">
        <f t="shared" si="153"/>
        <v>0</v>
      </c>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1"/>
      <c r="AG268" s="102">
        <f t="shared" si="155"/>
        <v>0</v>
      </c>
    </row>
    <row r="269" spans="1:33" x14ac:dyDescent="0.3">
      <c r="A269" s="106" t="s">
        <v>32</v>
      </c>
      <c r="B269" s="107">
        <f t="shared" si="156"/>
        <v>0</v>
      </c>
      <c r="C269" s="107">
        <f t="shared" si="157"/>
        <v>0</v>
      </c>
      <c r="D269" s="107">
        <f t="shared" si="158"/>
        <v>0</v>
      </c>
      <c r="E269" s="107">
        <f t="shared" si="159"/>
        <v>0</v>
      </c>
      <c r="F269" s="107">
        <f t="shared" si="152"/>
        <v>0</v>
      </c>
      <c r="G269" s="107">
        <f t="shared" si="153"/>
        <v>0</v>
      </c>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1"/>
      <c r="AG269" s="102">
        <f t="shared" si="155"/>
        <v>0</v>
      </c>
    </row>
    <row r="270" spans="1:33" x14ac:dyDescent="0.3">
      <c r="A270" s="106" t="s">
        <v>33</v>
      </c>
      <c r="B270" s="107">
        <f t="shared" si="156"/>
        <v>0</v>
      </c>
      <c r="C270" s="107">
        <f t="shared" si="157"/>
        <v>0</v>
      </c>
      <c r="D270" s="107">
        <f t="shared" si="158"/>
        <v>0</v>
      </c>
      <c r="E270" s="107">
        <f t="shared" si="159"/>
        <v>0</v>
      </c>
      <c r="F270" s="107">
        <f t="shared" si="152"/>
        <v>0</v>
      </c>
      <c r="G270" s="107">
        <f t="shared" si="153"/>
        <v>0</v>
      </c>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1"/>
      <c r="AG270" s="102">
        <f t="shared" si="155"/>
        <v>0</v>
      </c>
    </row>
    <row r="271" spans="1:33" x14ac:dyDescent="0.3">
      <c r="A271" s="106" t="s">
        <v>170</v>
      </c>
      <c r="B271" s="107">
        <f t="shared" si="156"/>
        <v>0</v>
      </c>
      <c r="C271" s="107">
        <f t="shared" si="157"/>
        <v>0</v>
      </c>
      <c r="D271" s="107">
        <f t="shared" si="158"/>
        <v>0</v>
      </c>
      <c r="E271" s="107">
        <f t="shared" si="159"/>
        <v>0</v>
      </c>
      <c r="F271" s="107">
        <f t="shared" si="152"/>
        <v>0</v>
      </c>
      <c r="G271" s="107">
        <f t="shared" si="153"/>
        <v>0</v>
      </c>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1"/>
      <c r="AG271" s="102">
        <f t="shared" si="155"/>
        <v>0</v>
      </c>
    </row>
    <row r="272" spans="1:33" x14ac:dyDescent="0.3">
      <c r="A272" s="908" t="s">
        <v>54</v>
      </c>
      <c r="B272" s="909"/>
      <c r="C272" s="909"/>
      <c r="D272" s="909"/>
      <c r="E272" s="909"/>
      <c r="F272" s="909"/>
      <c r="G272" s="909"/>
      <c r="H272" s="909"/>
      <c r="I272" s="909"/>
      <c r="J272" s="909"/>
      <c r="K272" s="909"/>
      <c r="L272" s="909"/>
      <c r="M272" s="909"/>
      <c r="N272" s="909"/>
      <c r="O272" s="909"/>
      <c r="P272" s="909"/>
      <c r="Q272" s="909"/>
      <c r="R272" s="909"/>
      <c r="S272" s="909"/>
      <c r="T272" s="909"/>
      <c r="U272" s="909"/>
      <c r="V272" s="909"/>
      <c r="W272" s="909"/>
      <c r="X272" s="909"/>
      <c r="Y272" s="909"/>
      <c r="Z272" s="909"/>
      <c r="AA272" s="909"/>
      <c r="AB272" s="909"/>
      <c r="AC272" s="909"/>
      <c r="AD272" s="909"/>
      <c r="AE272" s="909"/>
      <c r="AF272" s="910"/>
      <c r="AG272" s="102">
        <f t="shared" si="84"/>
        <v>0</v>
      </c>
    </row>
    <row r="273" spans="1:33" ht="56.25" x14ac:dyDescent="0.3">
      <c r="A273" s="98" t="s">
        <v>315</v>
      </c>
      <c r="B273" s="144"/>
      <c r="C273" s="145"/>
      <c r="D273" s="145"/>
      <c r="E273" s="145"/>
      <c r="F273" s="145"/>
      <c r="G273" s="145"/>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01"/>
      <c r="AG273" s="102">
        <f t="shared" si="84"/>
        <v>0</v>
      </c>
    </row>
    <row r="274" spans="1:33" x14ac:dyDescent="0.3">
      <c r="A274" s="146" t="s">
        <v>31</v>
      </c>
      <c r="B274" s="104">
        <f>B275+B276+B277+B278</f>
        <v>66146.999999999985</v>
      </c>
      <c r="C274" s="104">
        <f>C275+C276+C277+C278</f>
        <v>18637.671000000002</v>
      </c>
      <c r="D274" s="104">
        <f>D275+D276+D277+D278</f>
        <v>17082.71</v>
      </c>
      <c r="E274" s="104">
        <f>E275+E276+E277+E278</f>
        <v>17082.71</v>
      </c>
      <c r="F274" s="107">
        <f>IFERROR(E274/B274*100,0)</f>
        <v>25.825373788682786</v>
      </c>
      <c r="G274" s="107">
        <f>IFERROR(E274/C274*100,0)</f>
        <v>91.656892108461392</v>
      </c>
      <c r="H274" s="104">
        <f t="shared" ref="H274:AE274" si="160">H275+H276+H277+H278</f>
        <v>5906.3990000000003</v>
      </c>
      <c r="I274" s="104">
        <f t="shared" si="160"/>
        <v>4337.3</v>
      </c>
      <c r="J274" s="104">
        <f t="shared" si="160"/>
        <v>7622.0030000000006</v>
      </c>
      <c r="K274" s="104">
        <f t="shared" si="160"/>
        <v>8336</v>
      </c>
      <c r="L274" s="104">
        <f t="shared" si="160"/>
        <v>5109.2690000000002</v>
      </c>
      <c r="M274" s="104">
        <f t="shared" si="160"/>
        <v>4409.41</v>
      </c>
      <c r="N274" s="104">
        <f t="shared" si="160"/>
        <v>4554.3779999999997</v>
      </c>
      <c r="O274" s="104">
        <f t="shared" si="160"/>
        <v>0</v>
      </c>
      <c r="P274" s="104">
        <f t="shared" si="160"/>
        <v>10177.451000000001</v>
      </c>
      <c r="Q274" s="104">
        <f t="shared" si="160"/>
        <v>0</v>
      </c>
      <c r="R274" s="104">
        <f t="shared" si="160"/>
        <v>8592.6113999999998</v>
      </c>
      <c r="S274" s="104">
        <f t="shared" si="160"/>
        <v>0</v>
      </c>
      <c r="T274" s="104">
        <f t="shared" si="160"/>
        <v>4383.4030000000002</v>
      </c>
      <c r="U274" s="104">
        <f t="shared" si="160"/>
        <v>0</v>
      </c>
      <c r="V274" s="104">
        <f t="shared" si="160"/>
        <v>4911.7543999999998</v>
      </c>
      <c r="W274" s="104">
        <f t="shared" si="160"/>
        <v>0</v>
      </c>
      <c r="X274" s="104">
        <f t="shared" si="160"/>
        <v>3066.8019999999997</v>
      </c>
      <c r="Y274" s="104">
        <f t="shared" si="160"/>
        <v>0</v>
      </c>
      <c r="Z274" s="104">
        <f t="shared" si="160"/>
        <v>5205.683</v>
      </c>
      <c r="AA274" s="104">
        <f t="shared" si="160"/>
        <v>0</v>
      </c>
      <c r="AB274" s="104">
        <f t="shared" si="160"/>
        <v>3151.2849999999999</v>
      </c>
      <c r="AC274" s="104">
        <f t="shared" si="160"/>
        <v>0</v>
      </c>
      <c r="AD274" s="104">
        <f t="shared" si="160"/>
        <v>3465.9612000000002</v>
      </c>
      <c r="AE274" s="104">
        <f t="shared" si="160"/>
        <v>0</v>
      </c>
      <c r="AF274" s="101"/>
      <c r="AG274" s="102">
        <f t="shared" si="84"/>
        <v>-1.4097167877480388E-11</v>
      </c>
    </row>
    <row r="275" spans="1:33" x14ac:dyDescent="0.3">
      <c r="A275" s="147" t="s">
        <v>169</v>
      </c>
      <c r="B275" s="107">
        <f t="shared" ref="B275:B278" si="161">J275+L275+N275+P275+R275+T275+V275+X275+Z275+AB275+AD275+H275</f>
        <v>0</v>
      </c>
      <c r="C275" s="107">
        <f t="shared" ref="C275:C278" si="162">SUM(H275)</f>
        <v>0</v>
      </c>
      <c r="D275" s="107">
        <f t="shared" ref="D275:D278" si="163">E275</f>
        <v>0</v>
      </c>
      <c r="E275" s="107">
        <f t="shared" ref="E275:E278" si="164">SUM(I275,K275,M275,O275,Q275,S275,U275,W275,Y275,AA275,AC275,AE275)</f>
        <v>0</v>
      </c>
      <c r="F275" s="107">
        <f t="shared" ref="F275:F276" si="165">IFERROR(E275/B275*100,0)</f>
        <v>0</v>
      </c>
      <c r="G275" s="107">
        <f t="shared" ref="G275:G276" si="166">IFERROR(E275/C275*100,0)</f>
        <v>0</v>
      </c>
      <c r="H275" s="107">
        <f>H281+H287+H293</f>
        <v>0</v>
      </c>
      <c r="I275" s="107">
        <f t="shared" ref="I275:AE278" si="167">I281+I287+I293</f>
        <v>0</v>
      </c>
      <c r="J275" s="107">
        <f t="shared" si="167"/>
        <v>0</v>
      </c>
      <c r="K275" s="107">
        <f t="shared" si="167"/>
        <v>0</v>
      </c>
      <c r="L275" s="107">
        <f t="shared" si="167"/>
        <v>0</v>
      </c>
      <c r="M275" s="107">
        <f t="shared" si="167"/>
        <v>0</v>
      </c>
      <c r="N275" s="107">
        <f t="shared" si="167"/>
        <v>0</v>
      </c>
      <c r="O275" s="107">
        <f t="shared" si="167"/>
        <v>0</v>
      </c>
      <c r="P275" s="107">
        <f t="shared" si="167"/>
        <v>0</v>
      </c>
      <c r="Q275" s="107">
        <f t="shared" si="167"/>
        <v>0</v>
      </c>
      <c r="R275" s="107">
        <f t="shared" si="167"/>
        <v>0</v>
      </c>
      <c r="S275" s="107">
        <f t="shared" si="167"/>
        <v>0</v>
      </c>
      <c r="T275" s="107">
        <f t="shared" si="167"/>
        <v>0</v>
      </c>
      <c r="U275" s="107">
        <f t="shared" si="167"/>
        <v>0</v>
      </c>
      <c r="V275" s="107">
        <f t="shared" si="167"/>
        <v>0</v>
      </c>
      <c r="W275" s="107">
        <f t="shared" si="167"/>
        <v>0</v>
      </c>
      <c r="X275" s="107">
        <f t="shared" si="167"/>
        <v>0</v>
      </c>
      <c r="Y275" s="107">
        <f t="shared" si="167"/>
        <v>0</v>
      </c>
      <c r="Z275" s="107">
        <f t="shared" si="167"/>
        <v>0</v>
      </c>
      <c r="AA275" s="107">
        <f t="shared" si="167"/>
        <v>0</v>
      </c>
      <c r="AB275" s="107">
        <f t="shared" si="167"/>
        <v>0</v>
      </c>
      <c r="AC275" s="107">
        <f t="shared" si="167"/>
        <v>0</v>
      </c>
      <c r="AD275" s="107">
        <f t="shared" si="167"/>
        <v>0</v>
      </c>
      <c r="AE275" s="107">
        <f t="shared" si="167"/>
        <v>0</v>
      </c>
      <c r="AF275" s="101"/>
      <c r="AG275" s="102">
        <f t="shared" si="84"/>
        <v>0</v>
      </c>
    </row>
    <row r="276" spans="1:33" x14ac:dyDescent="0.3">
      <c r="A276" s="147" t="s">
        <v>32</v>
      </c>
      <c r="B276" s="107">
        <f t="shared" si="161"/>
        <v>0</v>
      </c>
      <c r="C276" s="107">
        <f t="shared" si="162"/>
        <v>0</v>
      </c>
      <c r="D276" s="107">
        <f t="shared" si="163"/>
        <v>0</v>
      </c>
      <c r="E276" s="107">
        <f t="shared" si="164"/>
        <v>0</v>
      </c>
      <c r="F276" s="107">
        <f t="shared" si="165"/>
        <v>0</v>
      </c>
      <c r="G276" s="107">
        <f t="shared" si="166"/>
        <v>0</v>
      </c>
      <c r="H276" s="107">
        <f t="shared" ref="H276:W278" si="168">H282+H288+H294</f>
        <v>0</v>
      </c>
      <c r="I276" s="107">
        <f t="shared" si="168"/>
        <v>0</v>
      </c>
      <c r="J276" s="107">
        <f t="shared" si="168"/>
        <v>0</v>
      </c>
      <c r="K276" s="107">
        <f t="shared" si="168"/>
        <v>0</v>
      </c>
      <c r="L276" s="107">
        <f t="shared" si="168"/>
        <v>0</v>
      </c>
      <c r="M276" s="107">
        <f t="shared" si="168"/>
        <v>0</v>
      </c>
      <c r="N276" s="107">
        <f t="shared" si="168"/>
        <v>0</v>
      </c>
      <c r="O276" s="107">
        <f t="shared" si="168"/>
        <v>0</v>
      </c>
      <c r="P276" s="107">
        <f t="shared" si="168"/>
        <v>0</v>
      </c>
      <c r="Q276" s="107">
        <f t="shared" si="168"/>
        <v>0</v>
      </c>
      <c r="R276" s="107">
        <f t="shared" si="168"/>
        <v>0</v>
      </c>
      <c r="S276" s="107">
        <f t="shared" si="168"/>
        <v>0</v>
      </c>
      <c r="T276" s="107">
        <f t="shared" si="168"/>
        <v>0</v>
      </c>
      <c r="U276" s="107">
        <f t="shared" si="168"/>
        <v>0</v>
      </c>
      <c r="V276" s="107">
        <f t="shared" si="168"/>
        <v>0</v>
      </c>
      <c r="W276" s="107">
        <f t="shared" si="168"/>
        <v>0</v>
      </c>
      <c r="X276" s="107">
        <f t="shared" si="167"/>
        <v>0</v>
      </c>
      <c r="Y276" s="107">
        <f t="shared" si="167"/>
        <v>0</v>
      </c>
      <c r="Z276" s="107">
        <f t="shared" si="167"/>
        <v>0</v>
      </c>
      <c r="AA276" s="107">
        <f t="shared" si="167"/>
        <v>0</v>
      </c>
      <c r="AB276" s="107">
        <f t="shared" si="167"/>
        <v>0</v>
      </c>
      <c r="AC276" s="107">
        <f t="shared" si="167"/>
        <v>0</v>
      </c>
      <c r="AD276" s="107">
        <f t="shared" si="167"/>
        <v>0</v>
      </c>
      <c r="AE276" s="107">
        <f t="shared" si="167"/>
        <v>0</v>
      </c>
      <c r="AF276" s="101"/>
      <c r="AG276" s="102">
        <f t="shared" si="84"/>
        <v>0</v>
      </c>
    </row>
    <row r="277" spans="1:33" x14ac:dyDescent="0.3">
      <c r="A277" s="147" t="s">
        <v>33</v>
      </c>
      <c r="B277" s="107">
        <f t="shared" si="161"/>
        <v>66146.999999999985</v>
      </c>
      <c r="C277" s="107">
        <f>SUM(H277+J277+L277)</f>
        <v>18637.671000000002</v>
      </c>
      <c r="D277" s="107">
        <f t="shared" si="163"/>
        <v>17082.71</v>
      </c>
      <c r="E277" s="107">
        <f t="shared" si="164"/>
        <v>17082.71</v>
      </c>
      <c r="F277" s="107">
        <f>IFERROR(E277/B277*100,0)</f>
        <v>25.825373788682786</v>
      </c>
      <c r="G277" s="107">
        <f>IFERROR(E277/C277*100,0)</f>
        <v>91.656892108461392</v>
      </c>
      <c r="H277" s="107">
        <f t="shared" si="168"/>
        <v>5906.3990000000003</v>
      </c>
      <c r="I277" s="107">
        <f t="shared" si="167"/>
        <v>4337.3</v>
      </c>
      <c r="J277" s="107">
        <f t="shared" si="167"/>
        <v>7622.0030000000006</v>
      </c>
      <c r="K277" s="107">
        <f t="shared" si="167"/>
        <v>8336</v>
      </c>
      <c r="L277" s="107">
        <f t="shared" si="167"/>
        <v>5109.2690000000002</v>
      </c>
      <c r="M277" s="107">
        <f t="shared" si="167"/>
        <v>4409.41</v>
      </c>
      <c r="N277" s="107">
        <f t="shared" si="167"/>
        <v>4554.3779999999997</v>
      </c>
      <c r="O277" s="107">
        <f t="shared" si="167"/>
        <v>0</v>
      </c>
      <c r="P277" s="107">
        <f t="shared" si="167"/>
        <v>10177.451000000001</v>
      </c>
      <c r="Q277" s="107">
        <f t="shared" si="167"/>
        <v>0</v>
      </c>
      <c r="R277" s="107">
        <f t="shared" si="167"/>
        <v>8592.6113999999998</v>
      </c>
      <c r="S277" s="107">
        <f t="shared" si="167"/>
        <v>0</v>
      </c>
      <c r="T277" s="107">
        <f t="shared" si="167"/>
        <v>4383.4030000000002</v>
      </c>
      <c r="U277" s="107">
        <f t="shared" si="167"/>
        <v>0</v>
      </c>
      <c r="V277" s="107">
        <f t="shared" si="167"/>
        <v>4911.7543999999998</v>
      </c>
      <c r="W277" s="107">
        <f t="shared" si="167"/>
        <v>0</v>
      </c>
      <c r="X277" s="107">
        <f t="shared" si="167"/>
        <v>3066.8019999999997</v>
      </c>
      <c r="Y277" s="107">
        <f t="shared" si="167"/>
        <v>0</v>
      </c>
      <c r="Z277" s="107">
        <f t="shared" si="167"/>
        <v>5205.683</v>
      </c>
      <c r="AA277" s="107">
        <f t="shared" si="167"/>
        <v>0</v>
      </c>
      <c r="AB277" s="107">
        <f t="shared" si="167"/>
        <v>3151.2849999999999</v>
      </c>
      <c r="AC277" s="107">
        <f t="shared" si="167"/>
        <v>0</v>
      </c>
      <c r="AD277" s="107">
        <f t="shared" si="167"/>
        <v>3465.9612000000002</v>
      </c>
      <c r="AE277" s="107">
        <f t="shared" si="167"/>
        <v>0</v>
      </c>
      <c r="AF277" s="101"/>
      <c r="AG277" s="102">
        <f t="shared" si="84"/>
        <v>-1.4097167877480388E-11</v>
      </c>
    </row>
    <row r="278" spans="1:33" x14ac:dyDescent="0.3">
      <c r="A278" s="147" t="s">
        <v>170</v>
      </c>
      <c r="B278" s="107">
        <f t="shared" si="161"/>
        <v>0</v>
      </c>
      <c r="C278" s="107">
        <f t="shared" si="162"/>
        <v>0</v>
      </c>
      <c r="D278" s="107">
        <f t="shared" si="163"/>
        <v>0</v>
      </c>
      <c r="E278" s="107">
        <f t="shared" si="164"/>
        <v>0</v>
      </c>
      <c r="F278" s="107">
        <f t="shared" ref="F278" si="169">IFERROR(E278/B278*100,0)</f>
        <v>0</v>
      </c>
      <c r="G278" s="107">
        <f t="shared" ref="G278" si="170">IFERROR(E278/C278*100,0)</f>
        <v>0</v>
      </c>
      <c r="H278" s="107">
        <f t="shared" si="168"/>
        <v>0</v>
      </c>
      <c r="I278" s="107">
        <f t="shared" si="167"/>
        <v>0</v>
      </c>
      <c r="J278" s="107">
        <f t="shared" si="167"/>
        <v>0</v>
      </c>
      <c r="K278" s="107">
        <f t="shared" si="167"/>
        <v>0</v>
      </c>
      <c r="L278" s="107">
        <f t="shared" si="167"/>
        <v>0</v>
      </c>
      <c r="M278" s="107">
        <f t="shared" si="167"/>
        <v>0</v>
      </c>
      <c r="N278" s="107">
        <f t="shared" si="167"/>
        <v>0</v>
      </c>
      <c r="O278" s="107">
        <f t="shared" si="167"/>
        <v>0</v>
      </c>
      <c r="P278" s="107">
        <f t="shared" si="167"/>
        <v>0</v>
      </c>
      <c r="Q278" s="107">
        <f t="shared" si="167"/>
        <v>0</v>
      </c>
      <c r="R278" s="107">
        <f t="shared" si="167"/>
        <v>0</v>
      </c>
      <c r="S278" s="107">
        <f t="shared" si="167"/>
        <v>0</v>
      </c>
      <c r="T278" s="107">
        <f t="shared" si="167"/>
        <v>0</v>
      </c>
      <c r="U278" s="107">
        <f t="shared" si="167"/>
        <v>0</v>
      </c>
      <c r="V278" s="107">
        <f t="shared" si="167"/>
        <v>0</v>
      </c>
      <c r="W278" s="107">
        <f t="shared" si="167"/>
        <v>0</v>
      </c>
      <c r="X278" s="107">
        <f t="shared" si="167"/>
        <v>0</v>
      </c>
      <c r="Y278" s="107">
        <f t="shared" si="167"/>
        <v>0</v>
      </c>
      <c r="Z278" s="107">
        <f t="shared" si="167"/>
        <v>0</v>
      </c>
      <c r="AA278" s="107">
        <f t="shared" si="167"/>
        <v>0</v>
      </c>
      <c r="AB278" s="107">
        <f t="shared" si="167"/>
        <v>0</v>
      </c>
      <c r="AC278" s="107">
        <f t="shared" si="167"/>
        <v>0</v>
      </c>
      <c r="AD278" s="107">
        <f t="shared" si="167"/>
        <v>0</v>
      </c>
      <c r="AE278" s="107">
        <f t="shared" si="167"/>
        <v>0</v>
      </c>
      <c r="AF278" s="101"/>
      <c r="AG278" s="102">
        <f t="shared" si="84"/>
        <v>0</v>
      </c>
    </row>
    <row r="279" spans="1:33" ht="93" customHeight="1" x14ac:dyDescent="0.3">
      <c r="A279" s="851" t="s">
        <v>316</v>
      </c>
      <c r="B279" s="642"/>
      <c r="C279" s="650"/>
      <c r="D279" s="110"/>
      <c r="E279" s="110"/>
      <c r="F279" s="110"/>
      <c r="G279" s="110"/>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29"/>
      <c r="AG279" s="102">
        <f t="shared" si="84"/>
        <v>0</v>
      </c>
    </row>
    <row r="280" spans="1:33" x14ac:dyDescent="0.3">
      <c r="A280" s="638" t="s">
        <v>31</v>
      </c>
      <c r="B280" s="639">
        <f>B282+B283+B281+B284</f>
        <v>49088.500000000007</v>
      </c>
      <c r="C280" s="639">
        <f>C282+C283+C281+C284</f>
        <v>12532.88</v>
      </c>
      <c r="D280" s="114">
        <f>D282+D283+D281+D284</f>
        <v>11017.919999999998</v>
      </c>
      <c r="E280" s="113">
        <f>E282+E283+E281+E284</f>
        <v>11017.919999999998</v>
      </c>
      <c r="F280" s="113">
        <f>IFERROR(E280/B280*100,0)</f>
        <v>22.445012579321016</v>
      </c>
      <c r="G280" s="113">
        <f>IFERROR(E280/C280*100,0)</f>
        <v>87.912115970152101</v>
      </c>
      <c r="H280" s="113">
        <f t="shared" ref="H280:AE280" si="171">H282+H283+H281+H284</f>
        <v>4939</v>
      </c>
      <c r="I280" s="113">
        <f t="shared" si="171"/>
        <v>3369.9</v>
      </c>
      <c r="J280" s="113">
        <f t="shared" si="171"/>
        <v>3643.4</v>
      </c>
      <c r="K280" s="113">
        <f t="shared" si="171"/>
        <v>4397.3999999999996</v>
      </c>
      <c r="L280" s="113">
        <f t="shared" si="171"/>
        <v>3950.48</v>
      </c>
      <c r="M280" s="113">
        <f>M282+M283+M281+M284</f>
        <v>3250.62</v>
      </c>
      <c r="N280" s="113">
        <f t="shared" si="171"/>
        <v>3420.2</v>
      </c>
      <c r="O280" s="113">
        <f t="shared" si="171"/>
        <v>0</v>
      </c>
      <c r="P280" s="113">
        <f t="shared" si="171"/>
        <v>8062</v>
      </c>
      <c r="Q280" s="113">
        <f t="shared" si="171"/>
        <v>0</v>
      </c>
      <c r="R280" s="113">
        <f t="shared" si="171"/>
        <v>7244.6084000000001</v>
      </c>
      <c r="S280" s="113">
        <f t="shared" si="171"/>
        <v>0</v>
      </c>
      <c r="T280" s="113">
        <f t="shared" si="171"/>
        <v>3461</v>
      </c>
      <c r="U280" s="113">
        <f t="shared" si="171"/>
        <v>0</v>
      </c>
      <c r="V280" s="113">
        <f t="shared" si="171"/>
        <v>3890.1163999999999</v>
      </c>
      <c r="W280" s="113">
        <f t="shared" si="171"/>
        <v>0</v>
      </c>
      <c r="X280" s="113">
        <f t="shared" si="171"/>
        <v>2024</v>
      </c>
      <c r="Y280" s="113">
        <f t="shared" si="171"/>
        <v>0</v>
      </c>
      <c r="Z280" s="113">
        <f t="shared" si="171"/>
        <v>4084</v>
      </c>
      <c r="AA280" s="113">
        <f t="shared" si="171"/>
        <v>0</v>
      </c>
      <c r="AB280" s="113">
        <f t="shared" si="171"/>
        <v>1969</v>
      </c>
      <c r="AC280" s="113">
        <f t="shared" si="171"/>
        <v>0</v>
      </c>
      <c r="AD280" s="113">
        <f t="shared" si="171"/>
        <v>2400.6952000000001</v>
      </c>
      <c r="AE280" s="113">
        <f t="shared" si="171"/>
        <v>0</v>
      </c>
      <c r="AF280" s="29"/>
      <c r="AG280" s="102">
        <f t="shared" si="84"/>
        <v>5.4569682106375694E-12</v>
      </c>
    </row>
    <row r="281" spans="1:33" x14ac:dyDescent="0.3">
      <c r="A281" s="641" t="s">
        <v>169</v>
      </c>
      <c r="B281" s="642">
        <f t="shared" ref="B281:B283" si="172">J281+L281+N281+P281+R281+T281+V281+X281+Z281+AB281+AD281+H281</f>
        <v>0</v>
      </c>
      <c r="C281" s="849">
        <f>SUM(H281)</f>
        <v>0</v>
      </c>
      <c r="D281" s="118">
        <f>E281</f>
        <v>0</v>
      </c>
      <c r="E281" s="117">
        <f>SUM(I281,K281,M281,O281,Q281,S281,U281,W281,Y281,AA281,AC281,AE281)</f>
        <v>0</v>
      </c>
      <c r="F281" s="116">
        <f>IFERROR(E281/B281*100,0)</f>
        <v>0</v>
      </c>
      <c r="G281" s="116">
        <f>IFERROR(E281/C281*100,0)</f>
        <v>0</v>
      </c>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29"/>
      <c r="AG281" s="102">
        <f t="shared" si="84"/>
        <v>0</v>
      </c>
    </row>
    <row r="282" spans="1:33" x14ac:dyDescent="0.3">
      <c r="A282" s="641" t="s">
        <v>32</v>
      </c>
      <c r="B282" s="642">
        <f t="shared" si="172"/>
        <v>0</v>
      </c>
      <c r="C282" s="849">
        <f>SUM(H282)</f>
        <v>0</v>
      </c>
      <c r="D282" s="118">
        <f>E282</f>
        <v>0</v>
      </c>
      <c r="E282" s="117">
        <f>SUM(I282,K282,M282,O282,Q282,S282,U282,W282,Y282,AA282,AC282,AE282)</f>
        <v>0</v>
      </c>
      <c r="F282" s="116">
        <f>IFERROR(E282/B282*100,0)</f>
        <v>0</v>
      </c>
      <c r="G282" s="116">
        <f>IFERROR(E282/C282*100,0)</f>
        <v>0</v>
      </c>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29"/>
      <c r="AG282" s="102">
        <f t="shared" si="84"/>
        <v>0</v>
      </c>
    </row>
    <row r="283" spans="1:33" x14ac:dyDescent="0.3">
      <c r="A283" s="641" t="s">
        <v>33</v>
      </c>
      <c r="B283" s="642">
        <f t="shared" si="172"/>
        <v>49088.500000000007</v>
      </c>
      <c r="C283" s="849">
        <f>H283+J283+L283</f>
        <v>12532.88</v>
      </c>
      <c r="D283" s="118">
        <f>E283</f>
        <v>11017.919999999998</v>
      </c>
      <c r="E283" s="117">
        <f>SUM(I283,K283,M283,O283,Q283,S283,U283,W283,Y283,AA283,AC283,AE283)</f>
        <v>11017.919999999998</v>
      </c>
      <c r="F283" s="116">
        <f>IFERROR(E283/B283*100,0)</f>
        <v>22.445012579321016</v>
      </c>
      <c r="G283" s="116">
        <f>IFERROR(E283/C283*100,0)</f>
        <v>87.912115970152101</v>
      </c>
      <c r="H283" s="111">
        <v>4939</v>
      </c>
      <c r="I283" s="111">
        <v>3369.9</v>
      </c>
      <c r="J283" s="111">
        <f>1024.4+2619</f>
        <v>3643.4</v>
      </c>
      <c r="K283" s="111">
        <v>4397.3999999999996</v>
      </c>
      <c r="L283" s="111">
        <f>20.48+3930</f>
        <v>3950.48</v>
      </c>
      <c r="M283" s="111">
        <v>3250.62</v>
      </c>
      <c r="N283" s="111">
        <v>3420.2</v>
      </c>
      <c r="O283" s="111"/>
      <c r="P283" s="111">
        <v>8062</v>
      </c>
      <c r="Q283" s="111"/>
      <c r="R283" s="111">
        <f>7265.0884-20.48</f>
        <v>7244.6084000000001</v>
      </c>
      <c r="S283" s="111"/>
      <c r="T283" s="111">
        <v>3461</v>
      </c>
      <c r="U283" s="111"/>
      <c r="V283" s="111">
        <v>3890.1163999999999</v>
      </c>
      <c r="W283" s="111"/>
      <c r="X283" s="111">
        <v>2024</v>
      </c>
      <c r="Y283" s="111"/>
      <c r="Z283" s="111">
        <v>4084</v>
      </c>
      <c r="AA283" s="111"/>
      <c r="AB283" s="111">
        <v>1969</v>
      </c>
      <c r="AC283" s="111"/>
      <c r="AD283" s="111">
        <f>3425.0952-1024.4</f>
        <v>2400.6952000000001</v>
      </c>
      <c r="AE283" s="111"/>
      <c r="AF283" s="29"/>
      <c r="AG283" s="102">
        <f t="shared" si="84"/>
        <v>5.4569682106375694E-12</v>
      </c>
    </row>
    <row r="284" spans="1:33" x14ac:dyDescent="0.3">
      <c r="A284" s="641" t="s">
        <v>170</v>
      </c>
      <c r="B284" s="642"/>
      <c r="C284" s="849"/>
      <c r="D284" s="118"/>
      <c r="E284" s="117"/>
      <c r="F284" s="116"/>
      <c r="G284" s="116"/>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29"/>
      <c r="AG284" s="102">
        <f t="shared" si="84"/>
        <v>0</v>
      </c>
    </row>
    <row r="285" spans="1:33" ht="41.25" customHeight="1" x14ac:dyDescent="0.3">
      <c r="A285" s="851" t="s">
        <v>317</v>
      </c>
      <c r="B285" s="642"/>
      <c r="C285" s="650"/>
      <c r="D285" s="110"/>
      <c r="E285" s="110"/>
      <c r="F285" s="110"/>
      <c r="G285" s="110"/>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29"/>
      <c r="AG285" s="102">
        <f t="shared" si="84"/>
        <v>0</v>
      </c>
    </row>
    <row r="286" spans="1:33" x14ac:dyDescent="0.3">
      <c r="A286" s="638" t="s">
        <v>31</v>
      </c>
      <c r="B286" s="639">
        <f>B288+B289+B287+B290</f>
        <v>100</v>
      </c>
      <c r="C286" s="639">
        <f>C288+C289+C287+C290</f>
        <v>40</v>
      </c>
      <c r="D286" s="114">
        <f>D288+D289+D287+D290</f>
        <v>0</v>
      </c>
      <c r="E286" s="113">
        <f>E288+E289+E287+E290</f>
        <v>0</v>
      </c>
      <c r="F286" s="113">
        <f>IFERROR(E286/B286*100,0)</f>
        <v>0</v>
      </c>
      <c r="G286" s="113">
        <f>IFERROR(E286/C286*100,0)</f>
        <v>0</v>
      </c>
      <c r="H286" s="113">
        <f t="shared" ref="H286:AE286" si="173">H288+H289+H287+H290</f>
        <v>0</v>
      </c>
      <c r="I286" s="113">
        <f t="shared" si="173"/>
        <v>0</v>
      </c>
      <c r="J286" s="113">
        <f t="shared" si="173"/>
        <v>40</v>
      </c>
      <c r="K286" s="113">
        <f t="shared" si="173"/>
        <v>0</v>
      </c>
      <c r="L286" s="113">
        <f t="shared" si="173"/>
        <v>0</v>
      </c>
      <c r="M286" s="113">
        <f t="shared" si="173"/>
        <v>0</v>
      </c>
      <c r="N286" s="113">
        <f t="shared" si="173"/>
        <v>0</v>
      </c>
      <c r="O286" s="113">
        <f t="shared" si="173"/>
        <v>0</v>
      </c>
      <c r="P286" s="113">
        <f t="shared" si="173"/>
        <v>0</v>
      </c>
      <c r="Q286" s="113">
        <f t="shared" si="173"/>
        <v>0</v>
      </c>
      <c r="R286" s="113">
        <f t="shared" si="173"/>
        <v>0</v>
      </c>
      <c r="S286" s="113">
        <f t="shared" si="173"/>
        <v>0</v>
      </c>
      <c r="T286" s="113">
        <f t="shared" si="173"/>
        <v>0</v>
      </c>
      <c r="U286" s="113">
        <f t="shared" si="173"/>
        <v>0</v>
      </c>
      <c r="V286" s="113">
        <f t="shared" si="173"/>
        <v>40</v>
      </c>
      <c r="W286" s="113">
        <f t="shared" si="173"/>
        <v>0</v>
      </c>
      <c r="X286" s="113">
        <f t="shared" si="173"/>
        <v>0</v>
      </c>
      <c r="Y286" s="113">
        <f t="shared" si="173"/>
        <v>0</v>
      </c>
      <c r="Z286" s="113">
        <f t="shared" si="173"/>
        <v>0</v>
      </c>
      <c r="AA286" s="113">
        <f t="shared" si="173"/>
        <v>0</v>
      </c>
      <c r="AB286" s="113">
        <f t="shared" si="173"/>
        <v>20</v>
      </c>
      <c r="AC286" s="113">
        <f t="shared" si="173"/>
        <v>0</v>
      </c>
      <c r="AD286" s="113">
        <f t="shared" si="173"/>
        <v>0</v>
      </c>
      <c r="AE286" s="113">
        <f t="shared" si="173"/>
        <v>0</v>
      </c>
      <c r="AF286" s="29"/>
      <c r="AG286" s="102">
        <f t="shared" si="84"/>
        <v>0</v>
      </c>
    </row>
    <row r="287" spans="1:33" x14ac:dyDescent="0.3">
      <c r="A287" s="641" t="s">
        <v>169</v>
      </c>
      <c r="B287" s="642">
        <f t="shared" ref="B287:B289" si="174">J287+L287+N287+P287+R287+T287+V287+X287+Z287+AB287+AD287+H287</f>
        <v>0</v>
      </c>
      <c r="C287" s="849">
        <f>SUM(H287)</f>
        <v>0</v>
      </c>
      <c r="D287" s="118">
        <f>E287</f>
        <v>0</v>
      </c>
      <c r="E287" s="117">
        <f>SUM(I287,K287,M287,O287,Q287,S287,U287,W287,Y287,AA287,AC287,AE287)</f>
        <v>0</v>
      </c>
      <c r="F287" s="116">
        <f>IFERROR(E287/B287*100,0)</f>
        <v>0</v>
      </c>
      <c r="G287" s="116">
        <f>IFERROR(E287/C287*100,0)</f>
        <v>0</v>
      </c>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29"/>
      <c r="AG287" s="102">
        <f t="shared" si="84"/>
        <v>0</v>
      </c>
    </row>
    <row r="288" spans="1:33" x14ac:dyDescent="0.3">
      <c r="A288" s="641" t="s">
        <v>32</v>
      </c>
      <c r="B288" s="642">
        <f t="shared" si="174"/>
        <v>0</v>
      </c>
      <c r="C288" s="849">
        <f>SUM(H288)</f>
        <v>0</v>
      </c>
      <c r="D288" s="118">
        <f>E288</f>
        <v>0</v>
      </c>
      <c r="E288" s="117">
        <f>SUM(I288,K288,M288,O288,Q288,S288,U288,W288,Y288,AA288,AC288,AE288)</f>
        <v>0</v>
      </c>
      <c r="F288" s="116">
        <f>IFERROR(E288/B288*100,0)</f>
        <v>0</v>
      </c>
      <c r="G288" s="116">
        <f>IFERROR(E288/C288*100,0)</f>
        <v>0</v>
      </c>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29"/>
      <c r="AG288" s="102">
        <f t="shared" si="84"/>
        <v>0</v>
      </c>
    </row>
    <row r="289" spans="1:33" x14ac:dyDescent="0.3">
      <c r="A289" s="641" t="s">
        <v>33</v>
      </c>
      <c r="B289" s="642">
        <f t="shared" si="174"/>
        <v>100</v>
      </c>
      <c r="C289" s="849">
        <f>H289+J289+L289</f>
        <v>40</v>
      </c>
      <c r="D289" s="118">
        <f>E289</f>
        <v>0</v>
      </c>
      <c r="E289" s="117">
        <f>SUM(I289,K289,M289,O289,Q289,S289,U289,W289,Y289,AA289,AC289,AE289)</f>
        <v>0</v>
      </c>
      <c r="F289" s="116">
        <f>IFERROR(E289/B289*100,0)</f>
        <v>0</v>
      </c>
      <c r="G289" s="116">
        <f>IFERROR(E289/C289*100,0)</f>
        <v>0</v>
      </c>
      <c r="H289" s="111"/>
      <c r="I289" s="111"/>
      <c r="J289" s="111">
        <v>40</v>
      </c>
      <c r="K289" s="111"/>
      <c r="L289" s="111"/>
      <c r="M289" s="111"/>
      <c r="N289" s="111"/>
      <c r="O289" s="111"/>
      <c r="P289" s="111"/>
      <c r="Q289" s="111"/>
      <c r="R289" s="111"/>
      <c r="S289" s="111"/>
      <c r="T289" s="111"/>
      <c r="U289" s="111"/>
      <c r="V289" s="111">
        <v>40</v>
      </c>
      <c r="W289" s="111"/>
      <c r="X289" s="111"/>
      <c r="Y289" s="111"/>
      <c r="Z289" s="111"/>
      <c r="AA289" s="111"/>
      <c r="AB289" s="111">
        <v>20</v>
      </c>
      <c r="AC289" s="111"/>
      <c r="AD289" s="111"/>
      <c r="AE289" s="111"/>
      <c r="AF289" s="29"/>
      <c r="AG289" s="102">
        <f t="shared" si="84"/>
        <v>0</v>
      </c>
    </row>
    <row r="290" spans="1:33" x14ac:dyDescent="0.3">
      <c r="A290" s="641" t="s">
        <v>170</v>
      </c>
      <c r="B290" s="642"/>
      <c r="C290" s="849"/>
      <c r="D290" s="118"/>
      <c r="E290" s="117"/>
      <c r="F290" s="116"/>
      <c r="G290" s="116"/>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29"/>
      <c r="AG290" s="102">
        <f t="shared" si="84"/>
        <v>0</v>
      </c>
    </row>
    <row r="291" spans="1:33" ht="83.25" customHeight="1" x14ac:dyDescent="0.3">
      <c r="A291" s="851" t="s">
        <v>318</v>
      </c>
      <c r="B291" s="642"/>
      <c r="C291" s="650"/>
      <c r="D291" s="110"/>
      <c r="E291" s="110"/>
      <c r="F291" s="110"/>
      <c r="G291" s="110"/>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29"/>
      <c r="AG291" s="102">
        <f t="shared" si="84"/>
        <v>0</v>
      </c>
    </row>
    <row r="292" spans="1:33" x14ac:dyDescent="0.3">
      <c r="A292" s="638" t="s">
        <v>31</v>
      </c>
      <c r="B292" s="639">
        <f>B294+B295+B293+B296</f>
        <v>16958.500000000004</v>
      </c>
      <c r="C292" s="639">
        <f>C294+C295+C293+C296</f>
        <v>6064.7910000000002</v>
      </c>
      <c r="D292" s="114">
        <f>D294+D295+D293+D296</f>
        <v>6064.79</v>
      </c>
      <c r="E292" s="113">
        <f>E294+E295+E293+E296</f>
        <v>6064.79</v>
      </c>
      <c r="F292" s="113">
        <f>IFERROR(E292/B292*100,0)</f>
        <v>35.76253796031488</v>
      </c>
      <c r="G292" s="113">
        <f>IFERROR(E292/C292*100,0)</f>
        <v>99.999983511385636</v>
      </c>
      <c r="H292" s="113">
        <f t="shared" ref="H292:AE292" si="175">H294+H295+H293+H296</f>
        <v>967.399</v>
      </c>
      <c r="I292" s="113">
        <f t="shared" si="175"/>
        <v>967.4</v>
      </c>
      <c r="J292" s="113">
        <f t="shared" si="175"/>
        <v>3938.6030000000001</v>
      </c>
      <c r="K292" s="113">
        <f t="shared" si="175"/>
        <v>3938.6</v>
      </c>
      <c r="L292" s="113">
        <f t="shared" si="175"/>
        <v>1158.789</v>
      </c>
      <c r="M292" s="113">
        <f t="shared" si="175"/>
        <v>1158.79</v>
      </c>
      <c r="N292" s="113">
        <f t="shared" si="175"/>
        <v>1134.1780000000001</v>
      </c>
      <c r="O292" s="113">
        <f t="shared" si="175"/>
        <v>0</v>
      </c>
      <c r="P292" s="113">
        <f t="shared" si="175"/>
        <v>2115.451</v>
      </c>
      <c r="Q292" s="113">
        <f t="shared" si="175"/>
        <v>0</v>
      </c>
      <c r="R292" s="113">
        <f t="shared" si="175"/>
        <v>1348.0029999999999</v>
      </c>
      <c r="S292" s="113">
        <f t="shared" si="175"/>
        <v>0</v>
      </c>
      <c r="T292" s="113">
        <f t="shared" si="175"/>
        <v>922.40300000000002</v>
      </c>
      <c r="U292" s="113">
        <f t="shared" si="175"/>
        <v>0</v>
      </c>
      <c r="V292" s="113">
        <f t="shared" si="175"/>
        <v>981.63800000000003</v>
      </c>
      <c r="W292" s="113">
        <f t="shared" si="175"/>
        <v>0</v>
      </c>
      <c r="X292" s="113">
        <f t="shared" si="175"/>
        <v>1042.8019999999999</v>
      </c>
      <c r="Y292" s="113">
        <f t="shared" si="175"/>
        <v>0</v>
      </c>
      <c r="Z292" s="113">
        <f t="shared" si="175"/>
        <v>1121.683</v>
      </c>
      <c r="AA292" s="113">
        <f t="shared" si="175"/>
        <v>0</v>
      </c>
      <c r="AB292" s="113">
        <f t="shared" si="175"/>
        <v>1162.2850000000001</v>
      </c>
      <c r="AC292" s="113">
        <f t="shared" si="175"/>
        <v>0</v>
      </c>
      <c r="AD292" s="113">
        <f t="shared" si="175"/>
        <v>1065.2660000000001</v>
      </c>
      <c r="AE292" s="113">
        <f t="shared" si="175"/>
        <v>0</v>
      </c>
      <c r="AF292" s="29"/>
      <c r="AG292" s="102">
        <f t="shared" si="84"/>
        <v>2.9558577807620168E-12</v>
      </c>
    </row>
    <row r="293" spans="1:33" x14ac:dyDescent="0.3">
      <c r="A293" s="641" t="s">
        <v>169</v>
      </c>
      <c r="B293" s="642">
        <f t="shared" ref="B293:B295" si="176">J293+L293+N293+P293+R293+T293+V293+X293+Z293+AB293+AD293+H293</f>
        <v>0</v>
      </c>
      <c r="C293" s="849">
        <f>SUM(H293)</f>
        <v>0</v>
      </c>
      <c r="D293" s="118">
        <f>E293</f>
        <v>0</v>
      </c>
      <c r="E293" s="117">
        <f>SUM(I293,K293,M293,O293,Q293,S293,U293,W293,Y293,AA293,AC293,AE293)</f>
        <v>0</v>
      </c>
      <c r="F293" s="116">
        <f>IFERROR(E293/B293*100,0)</f>
        <v>0</v>
      </c>
      <c r="G293" s="116">
        <f>IFERROR(E293/C293*100,0)</f>
        <v>0</v>
      </c>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29"/>
      <c r="AG293" s="102">
        <f t="shared" si="84"/>
        <v>0</v>
      </c>
    </row>
    <row r="294" spans="1:33" x14ac:dyDescent="0.3">
      <c r="A294" s="641" t="s">
        <v>32</v>
      </c>
      <c r="B294" s="642">
        <f t="shared" si="176"/>
        <v>0</v>
      </c>
      <c r="C294" s="849">
        <f>SUM(H294)</f>
        <v>0</v>
      </c>
      <c r="D294" s="118">
        <f>E294</f>
        <v>0</v>
      </c>
      <c r="E294" s="117">
        <f>SUM(I294,K294,M294,O294,Q294,S294,U294,W294,Y294,AA294,AC294,AE294)</f>
        <v>0</v>
      </c>
      <c r="F294" s="116">
        <f>IFERROR(E294/B294*100,0)</f>
        <v>0</v>
      </c>
      <c r="G294" s="116">
        <f>IFERROR(E294/C294*100,0)</f>
        <v>0</v>
      </c>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29"/>
      <c r="AG294" s="102">
        <f t="shared" si="84"/>
        <v>0</v>
      </c>
    </row>
    <row r="295" spans="1:33" x14ac:dyDescent="0.3">
      <c r="A295" s="641" t="s">
        <v>33</v>
      </c>
      <c r="B295" s="642">
        <f t="shared" si="176"/>
        <v>16958.500000000004</v>
      </c>
      <c r="C295" s="849">
        <f>H295+J295+L295</f>
        <v>6064.7910000000002</v>
      </c>
      <c r="D295" s="118">
        <f>E295</f>
        <v>6064.79</v>
      </c>
      <c r="E295" s="117">
        <f>SUM(I295,K295,M295,O295,Q295,S295,U295,W295,Y295,AA295,AC295,AE295)</f>
        <v>6064.79</v>
      </c>
      <c r="F295" s="116">
        <f>IFERROR(E295/B295*100,0)</f>
        <v>35.76253796031488</v>
      </c>
      <c r="G295" s="116">
        <f>IFERROR(E295/C295*100,0)</f>
        <v>99.999983511385636</v>
      </c>
      <c r="H295" s="111">
        <v>967.399</v>
      </c>
      <c r="I295" s="111">
        <v>967.4</v>
      </c>
      <c r="J295" s="111">
        <v>3938.6030000000001</v>
      </c>
      <c r="K295" s="111">
        <v>3938.6</v>
      </c>
      <c r="L295" s="111">
        <v>1158.789</v>
      </c>
      <c r="M295" s="111">
        <v>1158.79</v>
      </c>
      <c r="N295" s="111">
        <v>1134.1780000000001</v>
      </c>
      <c r="O295" s="111"/>
      <c r="P295" s="111">
        <v>2115.451</v>
      </c>
      <c r="Q295" s="111"/>
      <c r="R295" s="111">
        <v>1348.0029999999999</v>
      </c>
      <c r="S295" s="111"/>
      <c r="T295" s="111">
        <v>922.40300000000002</v>
      </c>
      <c r="U295" s="111"/>
      <c r="V295" s="111">
        <v>981.63800000000003</v>
      </c>
      <c r="W295" s="111"/>
      <c r="X295" s="111">
        <v>1042.8019999999999</v>
      </c>
      <c r="Y295" s="111"/>
      <c r="Z295" s="111">
        <v>1121.683</v>
      </c>
      <c r="AA295" s="111"/>
      <c r="AB295" s="111">
        <v>1162.2850000000001</v>
      </c>
      <c r="AC295" s="111"/>
      <c r="AD295" s="111">
        <v>1065.2660000000001</v>
      </c>
      <c r="AE295" s="111"/>
      <c r="AF295" s="29"/>
      <c r="AG295" s="102">
        <f t="shared" si="84"/>
        <v>2.9558577807620168E-12</v>
      </c>
    </row>
    <row r="296" spans="1:33" x14ac:dyDescent="0.3">
      <c r="A296" s="641" t="s">
        <v>170</v>
      </c>
      <c r="B296" s="642"/>
      <c r="C296" s="849"/>
      <c r="D296" s="118"/>
      <c r="E296" s="117"/>
      <c r="F296" s="116"/>
      <c r="G296" s="116"/>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29"/>
      <c r="AG296" s="102">
        <f t="shared" si="84"/>
        <v>0</v>
      </c>
    </row>
    <row r="297" spans="1:33" ht="83.25" customHeight="1" x14ac:dyDescent="0.3">
      <c r="A297" s="98" t="s">
        <v>319</v>
      </c>
      <c r="B297" s="144"/>
      <c r="C297" s="145"/>
      <c r="D297" s="145"/>
      <c r="E297" s="145"/>
      <c r="F297" s="145"/>
      <c r="G297" s="145"/>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01"/>
      <c r="AG297" s="102">
        <f t="shared" si="84"/>
        <v>0</v>
      </c>
    </row>
    <row r="298" spans="1:33" x14ac:dyDescent="0.3">
      <c r="A298" s="146" t="s">
        <v>31</v>
      </c>
      <c r="B298" s="104">
        <f>B299+B300+B301+B302</f>
        <v>274859.80290000001</v>
      </c>
      <c r="C298" s="104">
        <f>C299+C300+C301+C302</f>
        <v>72857.47</v>
      </c>
      <c r="D298" s="104">
        <f>D299+D300+D301+D302</f>
        <v>67368.700000000012</v>
      </c>
      <c r="E298" s="104">
        <f>E299+E300+E301+E302</f>
        <v>67368.700000000012</v>
      </c>
      <c r="F298" s="107">
        <f>IFERROR(E298/B298*100,0)</f>
        <v>24.510204580373003</v>
      </c>
      <c r="G298" s="107">
        <f>IFERROR(E298/C298*100,0)</f>
        <v>92.466427944862772</v>
      </c>
      <c r="H298" s="104">
        <f t="shared" ref="H298:AE298" si="177">H299+H300+H301+H302</f>
        <v>15729.4</v>
      </c>
      <c r="I298" s="104">
        <f t="shared" si="177"/>
        <v>9416.6</v>
      </c>
      <c r="J298" s="104">
        <f t="shared" si="177"/>
        <v>28820.74</v>
      </c>
      <c r="K298" s="104">
        <f t="shared" si="177"/>
        <v>28921.500000000004</v>
      </c>
      <c r="L298" s="104">
        <f t="shared" si="177"/>
        <v>28307.33</v>
      </c>
      <c r="M298" s="104">
        <f t="shared" si="177"/>
        <v>29030.600000000002</v>
      </c>
      <c r="N298" s="104">
        <f t="shared" si="177"/>
        <v>24835.831750000005</v>
      </c>
      <c r="O298" s="104">
        <f t="shared" si="177"/>
        <v>0</v>
      </c>
      <c r="P298" s="104">
        <f t="shared" si="177"/>
        <v>27268.412199999999</v>
      </c>
      <c r="Q298" s="104">
        <f t="shared" si="177"/>
        <v>0</v>
      </c>
      <c r="R298" s="104">
        <f t="shared" si="177"/>
        <v>10387.387600000002</v>
      </c>
      <c r="S298" s="104">
        <f t="shared" si="177"/>
        <v>0</v>
      </c>
      <c r="T298" s="104">
        <f t="shared" si="177"/>
        <v>43000</v>
      </c>
      <c r="U298" s="104">
        <f t="shared" si="177"/>
        <v>0</v>
      </c>
      <c r="V298" s="104">
        <f t="shared" si="177"/>
        <v>2992.8</v>
      </c>
      <c r="W298" s="104">
        <f t="shared" si="177"/>
        <v>0</v>
      </c>
      <c r="X298" s="104">
        <f t="shared" si="177"/>
        <v>19801.435900000004</v>
      </c>
      <c r="Y298" s="104">
        <f t="shared" si="177"/>
        <v>0</v>
      </c>
      <c r="Z298" s="104">
        <f t="shared" si="177"/>
        <v>30231.689699999995</v>
      </c>
      <c r="AA298" s="104">
        <f t="shared" si="177"/>
        <v>0</v>
      </c>
      <c r="AB298" s="104">
        <f t="shared" si="177"/>
        <v>23648.635700000003</v>
      </c>
      <c r="AC298" s="104">
        <f t="shared" si="177"/>
        <v>0</v>
      </c>
      <c r="AD298" s="104">
        <f t="shared" si="177"/>
        <v>19836.140050000002</v>
      </c>
      <c r="AE298" s="104">
        <f t="shared" si="177"/>
        <v>0</v>
      </c>
      <c r="AF298" s="101"/>
      <c r="AG298" s="102">
        <f t="shared" si="84"/>
        <v>4.7293724492192268E-11</v>
      </c>
    </row>
    <row r="299" spans="1:33" x14ac:dyDescent="0.3">
      <c r="A299" s="147" t="s">
        <v>169</v>
      </c>
      <c r="B299" s="107">
        <f t="shared" ref="B299:B302" si="178">J299+L299+N299+P299+R299+T299+V299+X299+Z299+AB299+AD299+H299</f>
        <v>25292.802340000002</v>
      </c>
      <c r="C299" s="107">
        <f>SUM(H299+J299+L299)</f>
        <v>6914.1</v>
      </c>
      <c r="D299" s="107">
        <f t="shared" ref="D299:D302" si="179">E299</f>
        <v>6914.1</v>
      </c>
      <c r="E299" s="107">
        <f t="shared" ref="E299:E302" si="180">SUM(I299,K299,M299,O299,Q299,S299,U299,W299,Y299,AA299,AC299,AE299)</f>
        <v>6914.1</v>
      </c>
      <c r="F299" s="107"/>
      <c r="G299" s="107"/>
      <c r="H299" s="107">
        <f>H305+H311</f>
        <v>1301.9000000000001</v>
      </c>
      <c r="I299" s="107">
        <f t="shared" ref="I299:AE302" si="181">I305+I311</f>
        <v>1301.9000000000001</v>
      </c>
      <c r="J299" s="107">
        <f t="shared" si="181"/>
        <v>2713.7</v>
      </c>
      <c r="K299" s="107">
        <f t="shared" si="181"/>
        <v>2713.7</v>
      </c>
      <c r="L299" s="107">
        <f t="shared" si="181"/>
        <v>2898.5</v>
      </c>
      <c r="M299" s="107">
        <f t="shared" si="181"/>
        <v>2898.5</v>
      </c>
      <c r="N299" s="107">
        <f t="shared" si="181"/>
        <v>2772.9767499999998</v>
      </c>
      <c r="O299" s="107">
        <f t="shared" si="181"/>
        <v>0</v>
      </c>
      <c r="P299" s="107">
        <f t="shared" si="181"/>
        <v>2860.0432000000001</v>
      </c>
      <c r="Q299" s="107">
        <f t="shared" si="181"/>
        <v>0</v>
      </c>
      <c r="R299" s="107">
        <f t="shared" si="181"/>
        <v>914.33019999999999</v>
      </c>
      <c r="S299" s="107">
        <f t="shared" si="181"/>
        <v>0</v>
      </c>
      <c r="T299" s="107">
        <f t="shared" si="181"/>
        <v>0</v>
      </c>
      <c r="U299" s="107">
        <f t="shared" si="181"/>
        <v>0</v>
      </c>
      <c r="V299" s="107">
        <f t="shared" si="181"/>
        <v>0</v>
      </c>
      <c r="W299" s="107">
        <f t="shared" si="181"/>
        <v>0</v>
      </c>
      <c r="X299" s="107">
        <f t="shared" si="181"/>
        <v>2028.7748999999999</v>
      </c>
      <c r="Y299" s="107">
        <f t="shared" si="181"/>
        <v>0</v>
      </c>
      <c r="Z299" s="107">
        <f t="shared" si="181"/>
        <v>4295.6216999999997</v>
      </c>
      <c r="AA299" s="107">
        <f t="shared" si="181"/>
        <v>0</v>
      </c>
      <c r="AB299" s="107">
        <f t="shared" si="181"/>
        <v>2846.4506999999999</v>
      </c>
      <c r="AC299" s="107">
        <f t="shared" si="181"/>
        <v>0</v>
      </c>
      <c r="AD299" s="107">
        <f t="shared" si="181"/>
        <v>2660.5048900000002</v>
      </c>
      <c r="AE299" s="107">
        <f t="shared" si="181"/>
        <v>0</v>
      </c>
      <c r="AF299" s="101"/>
      <c r="AG299" s="102">
        <f t="shared" si="84"/>
        <v>0</v>
      </c>
    </row>
    <row r="300" spans="1:33" x14ac:dyDescent="0.3">
      <c r="A300" s="147" t="s">
        <v>32</v>
      </c>
      <c r="B300" s="107">
        <f t="shared" si="178"/>
        <v>172665.29884999999</v>
      </c>
      <c r="C300" s="107">
        <f>SUM(H300+J300+L300)</f>
        <v>55910.81</v>
      </c>
      <c r="D300" s="107">
        <f t="shared" si="179"/>
        <v>50422.040000000008</v>
      </c>
      <c r="E300" s="107">
        <f t="shared" si="180"/>
        <v>50422.040000000008</v>
      </c>
      <c r="F300" s="107"/>
      <c r="G300" s="107"/>
      <c r="H300" s="107">
        <f t="shared" ref="H300:W302" si="182">H306+H312</f>
        <v>11954.5</v>
      </c>
      <c r="I300" s="107">
        <f t="shared" si="182"/>
        <v>5641.7</v>
      </c>
      <c r="J300" s="107">
        <f t="shared" si="182"/>
        <v>22154.04</v>
      </c>
      <c r="K300" s="107">
        <f t="shared" si="182"/>
        <v>22254.800000000003</v>
      </c>
      <c r="L300" s="107">
        <f t="shared" si="182"/>
        <v>21802.27</v>
      </c>
      <c r="M300" s="107">
        <f t="shared" si="182"/>
        <v>22525.54</v>
      </c>
      <c r="N300" s="107">
        <f t="shared" si="182"/>
        <v>18869.836750000002</v>
      </c>
      <c r="O300" s="107">
        <f t="shared" si="182"/>
        <v>0</v>
      </c>
      <c r="P300" s="107">
        <f t="shared" si="182"/>
        <v>20941.074399999998</v>
      </c>
      <c r="Q300" s="107">
        <f t="shared" si="182"/>
        <v>0</v>
      </c>
      <c r="R300" s="107">
        <f t="shared" si="182"/>
        <v>7903.5174000000006</v>
      </c>
      <c r="S300" s="107">
        <f t="shared" si="182"/>
        <v>0</v>
      </c>
      <c r="T300" s="107">
        <f t="shared" si="182"/>
        <v>0</v>
      </c>
      <c r="U300" s="107">
        <f t="shared" si="182"/>
        <v>0</v>
      </c>
      <c r="V300" s="107">
        <f t="shared" si="182"/>
        <v>0</v>
      </c>
      <c r="W300" s="107">
        <f t="shared" si="182"/>
        <v>0</v>
      </c>
      <c r="X300" s="107">
        <f t="shared" si="181"/>
        <v>15657.958300000002</v>
      </c>
      <c r="Y300" s="107">
        <f t="shared" si="181"/>
        <v>0</v>
      </c>
      <c r="Z300" s="107">
        <f t="shared" si="181"/>
        <v>21989.971899999997</v>
      </c>
      <c r="AA300" s="107">
        <f t="shared" si="181"/>
        <v>0</v>
      </c>
      <c r="AB300" s="107">
        <f t="shared" si="181"/>
        <v>17676.175900000002</v>
      </c>
      <c r="AC300" s="107">
        <f t="shared" si="181"/>
        <v>0</v>
      </c>
      <c r="AD300" s="107">
        <f t="shared" si="181"/>
        <v>13715.9542</v>
      </c>
      <c r="AE300" s="107">
        <f t="shared" si="181"/>
        <v>0</v>
      </c>
      <c r="AF300" s="101"/>
      <c r="AG300" s="102">
        <f t="shared" si="84"/>
        <v>-1.4551915228366852E-11</v>
      </c>
    </row>
    <row r="301" spans="1:33" x14ac:dyDescent="0.3">
      <c r="A301" s="147" t="s">
        <v>33</v>
      </c>
      <c r="B301" s="805">
        <f t="shared" si="178"/>
        <v>76901.701709999994</v>
      </c>
      <c r="C301" s="107">
        <f>SUM(H301+J301+L301)</f>
        <v>10032.56</v>
      </c>
      <c r="D301" s="107">
        <f>E301</f>
        <v>10032.56</v>
      </c>
      <c r="E301" s="107">
        <f>SUM(I301,K301,M301,O301,Q301,S301,U301,W301,Y301,AA301,AC301,AE301)</f>
        <v>10032.56</v>
      </c>
      <c r="F301" s="107">
        <f>IFERROR(E301/B301*100,0)</f>
        <v>13.045953180377287</v>
      </c>
      <c r="G301" s="107">
        <f>IFERROR(E301/C301*100,0)</f>
        <v>100</v>
      </c>
      <c r="H301" s="107">
        <f t="shared" si="182"/>
        <v>2473</v>
      </c>
      <c r="I301" s="107">
        <f t="shared" si="181"/>
        <v>2473</v>
      </c>
      <c r="J301" s="107">
        <f t="shared" si="181"/>
        <v>3953</v>
      </c>
      <c r="K301" s="107">
        <f t="shared" si="181"/>
        <v>3953</v>
      </c>
      <c r="L301" s="107">
        <f t="shared" si="181"/>
        <v>3606.56</v>
      </c>
      <c r="M301" s="107">
        <f t="shared" si="181"/>
        <v>3606.56</v>
      </c>
      <c r="N301" s="107">
        <f t="shared" si="181"/>
        <v>3193.0182500000001</v>
      </c>
      <c r="O301" s="107">
        <f t="shared" si="181"/>
        <v>0</v>
      </c>
      <c r="P301" s="107">
        <f t="shared" si="181"/>
        <v>3467.2946000000002</v>
      </c>
      <c r="Q301" s="107">
        <f t="shared" si="181"/>
        <v>0</v>
      </c>
      <c r="R301" s="107">
        <f t="shared" si="181"/>
        <v>1569.54</v>
      </c>
      <c r="S301" s="107">
        <f t="shared" si="181"/>
        <v>0</v>
      </c>
      <c r="T301" s="107">
        <f t="shared" si="181"/>
        <v>43000</v>
      </c>
      <c r="U301" s="107">
        <f t="shared" si="181"/>
        <v>0</v>
      </c>
      <c r="V301" s="107">
        <f t="shared" si="181"/>
        <v>2992.8</v>
      </c>
      <c r="W301" s="107">
        <f t="shared" si="181"/>
        <v>0</v>
      </c>
      <c r="X301" s="107">
        <f t="shared" si="181"/>
        <v>2114.7026999999998</v>
      </c>
      <c r="Y301" s="107">
        <f t="shared" si="181"/>
        <v>0</v>
      </c>
      <c r="Z301" s="107">
        <f t="shared" si="181"/>
        <v>3946.0960999999998</v>
      </c>
      <c r="AA301" s="107">
        <f t="shared" si="181"/>
        <v>0</v>
      </c>
      <c r="AB301" s="107">
        <f t="shared" si="181"/>
        <v>3126.0090999999998</v>
      </c>
      <c r="AC301" s="107">
        <f t="shared" si="181"/>
        <v>0</v>
      </c>
      <c r="AD301" s="107">
        <f t="shared" si="181"/>
        <v>3459.6809600000001</v>
      </c>
      <c r="AE301" s="107">
        <f t="shared" si="181"/>
        <v>0</v>
      </c>
      <c r="AF301" s="101"/>
      <c r="AG301" s="102">
        <f t="shared" si="84"/>
        <v>-5.4569682106375694E-12</v>
      </c>
    </row>
    <row r="302" spans="1:33" x14ac:dyDescent="0.3">
      <c r="A302" s="147" t="s">
        <v>170</v>
      </c>
      <c r="B302" s="107">
        <f t="shared" si="178"/>
        <v>0</v>
      </c>
      <c r="C302" s="107">
        <f t="shared" ref="C302" si="183">SUM(H302)</f>
        <v>0</v>
      </c>
      <c r="D302" s="107">
        <f t="shared" si="179"/>
        <v>0</v>
      </c>
      <c r="E302" s="107">
        <f t="shared" si="180"/>
        <v>0</v>
      </c>
      <c r="F302" s="107"/>
      <c r="G302" s="107"/>
      <c r="H302" s="107">
        <f t="shared" si="182"/>
        <v>0</v>
      </c>
      <c r="I302" s="107">
        <f t="shared" si="181"/>
        <v>0</v>
      </c>
      <c r="J302" s="107">
        <f t="shared" si="181"/>
        <v>0</v>
      </c>
      <c r="K302" s="107">
        <f t="shared" si="181"/>
        <v>0</v>
      </c>
      <c r="L302" s="107">
        <f t="shared" si="181"/>
        <v>0</v>
      </c>
      <c r="M302" s="107">
        <f t="shared" si="181"/>
        <v>0</v>
      </c>
      <c r="N302" s="107">
        <f t="shared" si="181"/>
        <v>0</v>
      </c>
      <c r="O302" s="107">
        <f t="shared" si="181"/>
        <v>0</v>
      </c>
      <c r="P302" s="107">
        <f t="shared" si="181"/>
        <v>0</v>
      </c>
      <c r="Q302" s="107">
        <f t="shared" si="181"/>
        <v>0</v>
      </c>
      <c r="R302" s="107">
        <f t="shared" si="181"/>
        <v>0</v>
      </c>
      <c r="S302" s="107">
        <f t="shared" si="181"/>
        <v>0</v>
      </c>
      <c r="T302" s="107">
        <f t="shared" si="181"/>
        <v>0</v>
      </c>
      <c r="U302" s="107">
        <f t="shared" si="181"/>
        <v>0</v>
      </c>
      <c r="V302" s="107">
        <f t="shared" si="181"/>
        <v>0</v>
      </c>
      <c r="W302" s="107">
        <f t="shared" si="181"/>
        <v>0</v>
      </c>
      <c r="X302" s="107">
        <f t="shared" si="181"/>
        <v>0</v>
      </c>
      <c r="Y302" s="107">
        <f t="shared" si="181"/>
        <v>0</v>
      </c>
      <c r="Z302" s="107">
        <f t="shared" si="181"/>
        <v>0</v>
      </c>
      <c r="AA302" s="107">
        <f t="shared" si="181"/>
        <v>0</v>
      </c>
      <c r="AB302" s="107">
        <f t="shared" si="181"/>
        <v>0</v>
      </c>
      <c r="AC302" s="107">
        <f t="shared" si="181"/>
        <v>0</v>
      </c>
      <c r="AD302" s="107">
        <f t="shared" si="181"/>
        <v>0</v>
      </c>
      <c r="AE302" s="107">
        <f t="shared" si="181"/>
        <v>0</v>
      </c>
      <c r="AF302" s="101"/>
      <c r="AG302" s="102">
        <f t="shared" si="84"/>
        <v>0</v>
      </c>
    </row>
    <row r="303" spans="1:33" ht="83.25" customHeight="1" x14ac:dyDescent="0.3">
      <c r="A303" s="851" t="s">
        <v>320</v>
      </c>
      <c r="B303" s="642"/>
      <c r="C303" s="110"/>
      <c r="D303" s="110"/>
      <c r="E303" s="110"/>
      <c r="F303" s="110"/>
      <c r="G303" s="110"/>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29"/>
      <c r="AG303" s="102">
        <f t="shared" si="84"/>
        <v>0</v>
      </c>
    </row>
    <row r="304" spans="1:33" x14ac:dyDescent="0.3">
      <c r="A304" s="638" t="s">
        <v>31</v>
      </c>
      <c r="B304" s="639">
        <f>B306+B307+B305+B308</f>
        <v>45992.800000000003</v>
      </c>
      <c r="C304" s="113">
        <f>C306+C307+C305+C308</f>
        <v>0</v>
      </c>
      <c r="D304" s="114">
        <f>D306+D307+D305+D308</f>
        <v>0</v>
      </c>
      <c r="E304" s="113">
        <f>E306+E307+E305+E308</f>
        <v>0</v>
      </c>
      <c r="F304" s="113">
        <f>IFERROR(E304/B304*100,0)</f>
        <v>0</v>
      </c>
      <c r="G304" s="113">
        <f>IFERROR(E304/C304*100,0)</f>
        <v>0</v>
      </c>
      <c r="H304" s="113">
        <f t="shared" ref="H304:AE304" si="184">H306+H307+H305+H308</f>
        <v>0</v>
      </c>
      <c r="I304" s="113">
        <f t="shared" si="184"/>
        <v>0</v>
      </c>
      <c r="J304" s="113">
        <f t="shared" si="184"/>
        <v>0</v>
      </c>
      <c r="K304" s="113">
        <f t="shared" si="184"/>
        <v>0</v>
      </c>
      <c r="L304" s="113">
        <f t="shared" si="184"/>
        <v>0</v>
      </c>
      <c r="M304" s="113">
        <f t="shared" si="184"/>
        <v>0</v>
      </c>
      <c r="N304" s="113">
        <f t="shared" si="184"/>
        <v>0</v>
      </c>
      <c r="O304" s="113">
        <f t="shared" si="184"/>
        <v>0</v>
      </c>
      <c r="P304" s="113">
        <f t="shared" si="184"/>
        <v>0</v>
      </c>
      <c r="Q304" s="113">
        <f t="shared" si="184"/>
        <v>0</v>
      </c>
      <c r="R304" s="113">
        <f t="shared" si="184"/>
        <v>0</v>
      </c>
      <c r="S304" s="113">
        <f t="shared" si="184"/>
        <v>0</v>
      </c>
      <c r="T304" s="113">
        <f t="shared" si="184"/>
        <v>43000</v>
      </c>
      <c r="U304" s="113">
        <f t="shared" si="184"/>
        <v>0</v>
      </c>
      <c r="V304" s="113">
        <f t="shared" si="184"/>
        <v>2992.8</v>
      </c>
      <c r="W304" s="113">
        <f t="shared" si="184"/>
        <v>0</v>
      </c>
      <c r="X304" s="113">
        <f t="shared" si="184"/>
        <v>0</v>
      </c>
      <c r="Y304" s="113">
        <f t="shared" si="184"/>
        <v>0</v>
      </c>
      <c r="Z304" s="113">
        <f t="shared" si="184"/>
        <v>0</v>
      </c>
      <c r="AA304" s="113">
        <f t="shared" si="184"/>
        <v>0</v>
      </c>
      <c r="AB304" s="113">
        <f t="shared" si="184"/>
        <v>0</v>
      </c>
      <c r="AC304" s="113">
        <f t="shared" si="184"/>
        <v>0</v>
      </c>
      <c r="AD304" s="113">
        <f t="shared" si="184"/>
        <v>0</v>
      </c>
      <c r="AE304" s="113">
        <f t="shared" si="184"/>
        <v>0</v>
      </c>
      <c r="AF304" s="29"/>
      <c r="AG304" s="102">
        <f t="shared" si="84"/>
        <v>2.7284841053187847E-12</v>
      </c>
    </row>
    <row r="305" spans="1:33" x14ac:dyDescent="0.3">
      <c r="A305" s="641" t="s">
        <v>169</v>
      </c>
      <c r="B305" s="642">
        <f t="shared" ref="B305:B307" si="185">J305+L305+N305+P305+R305+T305+V305+X305+Z305+AB305+AD305+H305</f>
        <v>0</v>
      </c>
      <c r="C305" s="117">
        <f>SUM(H305)</f>
        <v>0</v>
      </c>
      <c r="D305" s="118">
        <f>E305</f>
        <v>0</v>
      </c>
      <c r="E305" s="117">
        <f>SUM(I305,K305,M305,O305,Q305,S305,U305,W305,Y305,AA305,AC305,AE305)</f>
        <v>0</v>
      </c>
      <c r="F305" s="116">
        <f>IFERROR(E305/B305*100,0)</f>
        <v>0</v>
      </c>
      <c r="G305" s="116">
        <f>IFERROR(E305/C305*100,0)</f>
        <v>0</v>
      </c>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29"/>
      <c r="AG305" s="102">
        <f t="shared" si="84"/>
        <v>0</v>
      </c>
    </row>
    <row r="306" spans="1:33" x14ac:dyDescent="0.3">
      <c r="A306" s="641" t="s">
        <v>32</v>
      </c>
      <c r="B306" s="642">
        <f t="shared" si="185"/>
        <v>0</v>
      </c>
      <c r="C306" s="117">
        <f>SUM(H306)</f>
        <v>0</v>
      </c>
      <c r="D306" s="118">
        <f>E306</f>
        <v>0</v>
      </c>
      <c r="E306" s="117">
        <f>SUM(I306,K306,M306,O306,Q306,S306,U306,W306,Y306,AA306,AC306,AE306)</f>
        <v>0</v>
      </c>
      <c r="F306" s="116">
        <f>IFERROR(E306/B306*100,0)</f>
        <v>0</v>
      </c>
      <c r="G306" s="116">
        <f>IFERROR(E306/C306*100,0)</f>
        <v>0</v>
      </c>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29"/>
      <c r="AG306" s="102">
        <f t="shared" si="84"/>
        <v>0</v>
      </c>
    </row>
    <row r="307" spans="1:33" x14ac:dyDescent="0.3">
      <c r="A307" s="641" t="s">
        <v>33</v>
      </c>
      <c r="B307" s="642">
        <f t="shared" si="185"/>
        <v>45992.800000000003</v>
      </c>
      <c r="C307" s="117">
        <f>SUM(H307)</f>
        <v>0</v>
      </c>
      <c r="D307" s="118">
        <f>E307</f>
        <v>0</v>
      </c>
      <c r="E307" s="117">
        <f>SUM(I307,K307,M307,O307,Q307,S307,U307,W307,Y307,AA307,AC307,AE307)</f>
        <v>0</v>
      </c>
      <c r="F307" s="116">
        <f>IFERROR(E307/B307*100,0)</f>
        <v>0</v>
      </c>
      <c r="G307" s="116">
        <f>IFERROR(E307/C307*100,0)</f>
        <v>0</v>
      </c>
      <c r="H307" s="111"/>
      <c r="I307" s="111"/>
      <c r="J307" s="111"/>
      <c r="K307" s="111"/>
      <c r="L307" s="111"/>
      <c r="M307" s="111"/>
      <c r="N307" s="111"/>
      <c r="O307" s="111"/>
      <c r="P307" s="111"/>
      <c r="Q307" s="111"/>
      <c r="R307" s="111"/>
      <c r="S307" s="111"/>
      <c r="T307" s="111">
        <v>43000</v>
      </c>
      <c r="U307" s="111"/>
      <c r="V307" s="111">
        <v>2992.8</v>
      </c>
      <c r="W307" s="111"/>
      <c r="X307" s="111"/>
      <c r="Y307" s="111"/>
      <c r="Z307" s="111"/>
      <c r="AA307" s="111"/>
      <c r="AB307" s="111"/>
      <c r="AC307" s="111"/>
      <c r="AD307" s="111"/>
      <c r="AE307" s="111"/>
      <c r="AF307" s="29"/>
      <c r="AG307" s="102">
        <f t="shared" si="84"/>
        <v>2.7284841053187847E-12</v>
      </c>
    </row>
    <row r="308" spans="1:33" x14ac:dyDescent="0.3">
      <c r="A308" s="641" t="s">
        <v>170</v>
      </c>
      <c r="B308" s="642"/>
      <c r="C308" s="117"/>
      <c r="D308" s="118"/>
      <c r="E308" s="117"/>
      <c r="F308" s="116"/>
      <c r="G308" s="116"/>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29"/>
      <c r="AG308" s="102">
        <f t="shared" si="84"/>
        <v>0</v>
      </c>
    </row>
    <row r="309" spans="1:33" s="97" customFormat="1" ht="61.5" customHeight="1" x14ac:dyDescent="0.3">
      <c r="A309" s="644" t="s">
        <v>321</v>
      </c>
      <c r="B309" s="639"/>
      <c r="C309" s="132"/>
      <c r="D309" s="132"/>
      <c r="E309" s="132"/>
      <c r="F309" s="132"/>
      <c r="G309" s="132"/>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5"/>
      <c r="AG309" s="216">
        <f t="shared" si="84"/>
        <v>0</v>
      </c>
    </row>
    <row r="310" spans="1:33" s="97" customFormat="1" x14ac:dyDescent="0.3">
      <c r="A310" s="638" t="s">
        <v>31</v>
      </c>
      <c r="B310" s="639">
        <f>B312+B313+B311+B314</f>
        <v>228867.00289999999</v>
      </c>
      <c r="C310" s="113">
        <f>C312+C313+C311+C314</f>
        <v>59685.71</v>
      </c>
      <c r="D310" s="114">
        <f>D312+D313+D311+D314</f>
        <v>67368.700000000012</v>
      </c>
      <c r="E310" s="113">
        <f>E312+E313+E311+E314</f>
        <v>67368.700000000012</v>
      </c>
      <c r="F310" s="113">
        <f>IFERROR(E310/B310*100,0)</f>
        <v>29.435741782940966</v>
      </c>
      <c r="G310" s="113">
        <f>IFERROR(E310/C310*100,0)</f>
        <v>112.87241116843548</v>
      </c>
      <c r="H310" s="113">
        <f t="shared" ref="H310:AE310" si="186">H312+H313+H311+H314</f>
        <v>15729.4</v>
      </c>
      <c r="I310" s="113">
        <f t="shared" si="186"/>
        <v>9416.6</v>
      </c>
      <c r="J310" s="113">
        <f t="shared" si="186"/>
        <v>28820.74</v>
      </c>
      <c r="K310" s="113">
        <f t="shared" si="186"/>
        <v>28921.500000000004</v>
      </c>
      <c r="L310" s="113">
        <f t="shared" si="186"/>
        <v>28307.33</v>
      </c>
      <c r="M310" s="113">
        <f t="shared" si="186"/>
        <v>29030.600000000002</v>
      </c>
      <c r="N310" s="113">
        <f t="shared" si="186"/>
        <v>24835.831750000005</v>
      </c>
      <c r="O310" s="113">
        <f t="shared" si="186"/>
        <v>0</v>
      </c>
      <c r="P310" s="113">
        <f t="shared" si="186"/>
        <v>27268.412199999999</v>
      </c>
      <c r="Q310" s="113">
        <f t="shared" si="186"/>
        <v>0</v>
      </c>
      <c r="R310" s="113">
        <f t="shared" si="186"/>
        <v>10387.387600000002</v>
      </c>
      <c r="S310" s="113">
        <f t="shared" si="186"/>
        <v>0</v>
      </c>
      <c r="T310" s="113">
        <f t="shared" si="186"/>
        <v>0</v>
      </c>
      <c r="U310" s="113">
        <f t="shared" si="186"/>
        <v>0</v>
      </c>
      <c r="V310" s="113">
        <f t="shared" si="186"/>
        <v>0</v>
      </c>
      <c r="W310" s="113">
        <f t="shared" si="186"/>
        <v>0</v>
      </c>
      <c r="X310" s="113">
        <f t="shared" si="186"/>
        <v>19801.4359</v>
      </c>
      <c r="Y310" s="113">
        <f t="shared" si="186"/>
        <v>0</v>
      </c>
      <c r="Z310" s="113">
        <f t="shared" si="186"/>
        <v>30231.689699999995</v>
      </c>
      <c r="AA310" s="113">
        <f t="shared" si="186"/>
        <v>0</v>
      </c>
      <c r="AB310" s="113">
        <f t="shared" si="186"/>
        <v>23648.635700000003</v>
      </c>
      <c r="AC310" s="113">
        <f t="shared" si="186"/>
        <v>0</v>
      </c>
      <c r="AD310" s="113">
        <f t="shared" si="186"/>
        <v>19836.140050000002</v>
      </c>
      <c r="AE310" s="113">
        <f t="shared" si="186"/>
        <v>0</v>
      </c>
      <c r="AF310" s="215"/>
      <c r="AG310" s="216">
        <f t="shared" si="84"/>
        <v>0</v>
      </c>
    </row>
    <row r="311" spans="1:33" s="97" customFormat="1" x14ac:dyDescent="0.3">
      <c r="A311" s="638" t="s">
        <v>169</v>
      </c>
      <c r="B311" s="639">
        <f t="shared" ref="B311:B313" si="187">J311+L311+N311+P311+R311+T311+V311+X311+Z311+AB311+AD311+H311</f>
        <v>25292.802340000002</v>
      </c>
      <c r="C311" s="217">
        <f>SUM(H311)</f>
        <v>1301.9000000000001</v>
      </c>
      <c r="D311" s="218">
        <f>E311</f>
        <v>6914.1</v>
      </c>
      <c r="E311" s="217">
        <f>SUM(I311,K311,M311,O311,Q311,S311,U311,W311,Y311,AA311,AC311,AE311)</f>
        <v>6914.1</v>
      </c>
      <c r="F311" s="113">
        <f>IFERROR(E311/B311*100,0)</f>
        <v>27.336235451717844</v>
      </c>
      <c r="G311" s="113">
        <f>IFERROR(E311/C311*100,0)</f>
        <v>531.07765573392726</v>
      </c>
      <c r="H311" s="214">
        <f>H317+H323+H329</f>
        <v>1301.9000000000001</v>
      </c>
      <c r="I311" s="214">
        <f t="shared" ref="I311:AE314" si="188">I317+I323+I329</f>
        <v>1301.9000000000001</v>
      </c>
      <c r="J311" s="214">
        <f t="shared" si="188"/>
        <v>2713.7</v>
      </c>
      <c r="K311" s="214">
        <f t="shared" si="188"/>
        <v>2713.7</v>
      </c>
      <c r="L311" s="214">
        <f t="shared" si="188"/>
        <v>2898.5</v>
      </c>
      <c r="M311" s="214">
        <f t="shared" si="188"/>
        <v>2898.5</v>
      </c>
      <c r="N311" s="214">
        <f t="shared" si="188"/>
        <v>2772.9767499999998</v>
      </c>
      <c r="O311" s="214">
        <f t="shared" si="188"/>
        <v>0</v>
      </c>
      <c r="P311" s="214">
        <f t="shared" si="188"/>
        <v>2860.0432000000001</v>
      </c>
      <c r="Q311" s="214">
        <f t="shared" si="188"/>
        <v>0</v>
      </c>
      <c r="R311" s="214">
        <f t="shared" si="188"/>
        <v>914.33019999999999</v>
      </c>
      <c r="S311" s="214">
        <f t="shared" si="188"/>
        <v>0</v>
      </c>
      <c r="T311" s="214">
        <f t="shared" si="188"/>
        <v>0</v>
      </c>
      <c r="U311" s="214">
        <f t="shared" si="188"/>
        <v>0</v>
      </c>
      <c r="V311" s="214">
        <f t="shared" si="188"/>
        <v>0</v>
      </c>
      <c r="W311" s="214">
        <f t="shared" si="188"/>
        <v>0</v>
      </c>
      <c r="X311" s="214">
        <f t="shared" si="188"/>
        <v>2028.7748999999999</v>
      </c>
      <c r="Y311" s="214">
        <f t="shared" si="188"/>
        <v>0</v>
      </c>
      <c r="Z311" s="214">
        <f t="shared" si="188"/>
        <v>4295.6216999999997</v>
      </c>
      <c r="AA311" s="214">
        <f t="shared" si="188"/>
        <v>0</v>
      </c>
      <c r="AB311" s="214">
        <f t="shared" si="188"/>
        <v>2846.4506999999999</v>
      </c>
      <c r="AC311" s="214">
        <f t="shared" si="188"/>
        <v>0</v>
      </c>
      <c r="AD311" s="214">
        <f t="shared" si="188"/>
        <v>2660.5048900000002</v>
      </c>
      <c r="AE311" s="214">
        <f t="shared" si="188"/>
        <v>0</v>
      </c>
      <c r="AF311" s="215"/>
      <c r="AG311" s="216">
        <f t="shared" si="84"/>
        <v>0</v>
      </c>
    </row>
    <row r="312" spans="1:33" s="97" customFormat="1" x14ac:dyDescent="0.3">
      <c r="A312" s="638" t="s">
        <v>32</v>
      </c>
      <c r="B312" s="639">
        <f t="shared" si="187"/>
        <v>172665.29884999999</v>
      </c>
      <c r="C312" s="217">
        <f>SUM(H312+J312+L312)</f>
        <v>55910.81</v>
      </c>
      <c r="D312" s="218">
        <f>E312</f>
        <v>50422.040000000008</v>
      </c>
      <c r="E312" s="217">
        <f>SUM(I312,K312,M312,O312,Q312,S312,U312,W312,Y312,AA312,AC312,AE312)</f>
        <v>50422.040000000008</v>
      </c>
      <c r="F312" s="113">
        <f>IFERROR(E312/B312*100,0)</f>
        <v>29.202184999432507</v>
      </c>
      <c r="G312" s="113">
        <f>IFERROR(E312/C312*100,0)</f>
        <v>90.182989657992806</v>
      </c>
      <c r="H312" s="214">
        <f t="shared" ref="H312:W314" si="189">H318+H324+H330</f>
        <v>11954.5</v>
      </c>
      <c r="I312" s="214">
        <f t="shared" si="189"/>
        <v>5641.7</v>
      </c>
      <c r="J312" s="214">
        <f t="shared" si="189"/>
        <v>22154.04</v>
      </c>
      <c r="K312" s="214">
        <f t="shared" si="189"/>
        <v>22254.800000000003</v>
      </c>
      <c r="L312" s="214">
        <f t="shared" si="189"/>
        <v>21802.27</v>
      </c>
      <c r="M312" s="214">
        <f t="shared" si="189"/>
        <v>22525.54</v>
      </c>
      <c r="N312" s="214">
        <f t="shared" si="189"/>
        <v>18869.836750000002</v>
      </c>
      <c r="O312" s="214">
        <f t="shared" si="189"/>
        <v>0</v>
      </c>
      <c r="P312" s="214">
        <f t="shared" si="189"/>
        <v>20941.074399999998</v>
      </c>
      <c r="Q312" s="214">
        <f t="shared" si="189"/>
        <v>0</v>
      </c>
      <c r="R312" s="214">
        <f t="shared" si="189"/>
        <v>7903.5174000000006</v>
      </c>
      <c r="S312" s="214">
        <f t="shared" si="189"/>
        <v>0</v>
      </c>
      <c r="T312" s="214">
        <f t="shared" si="189"/>
        <v>0</v>
      </c>
      <c r="U312" s="214">
        <f t="shared" si="189"/>
        <v>0</v>
      </c>
      <c r="V312" s="214">
        <f t="shared" si="189"/>
        <v>0</v>
      </c>
      <c r="W312" s="214">
        <f t="shared" si="189"/>
        <v>0</v>
      </c>
      <c r="X312" s="214">
        <f t="shared" si="188"/>
        <v>15657.958300000002</v>
      </c>
      <c r="Y312" s="214">
        <f t="shared" si="188"/>
        <v>0</v>
      </c>
      <c r="Z312" s="214">
        <f t="shared" si="188"/>
        <v>21989.971899999997</v>
      </c>
      <c r="AA312" s="214">
        <f t="shared" si="188"/>
        <v>0</v>
      </c>
      <c r="AB312" s="214">
        <f t="shared" si="188"/>
        <v>17676.175900000002</v>
      </c>
      <c r="AC312" s="214">
        <f t="shared" si="188"/>
        <v>0</v>
      </c>
      <c r="AD312" s="214">
        <f t="shared" si="188"/>
        <v>13715.9542</v>
      </c>
      <c r="AE312" s="214">
        <f t="shared" si="188"/>
        <v>0</v>
      </c>
      <c r="AF312" s="215"/>
      <c r="AG312" s="216">
        <f t="shared" si="84"/>
        <v>-1.4551915228366852E-11</v>
      </c>
    </row>
    <row r="313" spans="1:33" s="97" customFormat="1" x14ac:dyDescent="0.3">
      <c r="A313" s="638" t="s">
        <v>33</v>
      </c>
      <c r="B313" s="639">
        <f t="shared" si="187"/>
        <v>30908.901710000002</v>
      </c>
      <c r="C313" s="217">
        <f>SUM(H313)</f>
        <v>2473</v>
      </c>
      <c r="D313" s="218">
        <f>E313</f>
        <v>10032.56</v>
      </c>
      <c r="E313" s="217">
        <f>SUM(I313,K313,M313,O313,Q313,S313,U313,W313,Y313,AA313,AC313,AE313)</f>
        <v>10032.56</v>
      </c>
      <c r="F313" s="113">
        <f>IFERROR(E313/B313*100,0)</f>
        <v>32.458481036076904</v>
      </c>
      <c r="G313" s="113">
        <f>IFERROR(E313/C313*100,0)</f>
        <v>405.68378487666797</v>
      </c>
      <c r="H313" s="214">
        <f t="shared" si="189"/>
        <v>2473</v>
      </c>
      <c r="I313" s="214">
        <f t="shared" si="188"/>
        <v>2473</v>
      </c>
      <c r="J313" s="214">
        <f t="shared" si="188"/>
        <v>3953</v>
      </c>
      <c r="K313" s="214">
        <f t="shared" si="188"/>
        <v>3953</v>
      </c>
      <c r="L313" s="214">
        <f t="shared" si="188"/>
        <v>3606.56</v>
      </c>
      <c r="M313" s="214">
        <f t="shared" si="188"/>
        <v>3606.56</v>
      </c>
      <c r="N313" s="214">
        <f t="shared" si="188"/>
        <v>3193.0182500000001</v>
      </c>
      <c r="O313" s="214">
        <f t="shared" si="188"/>
        <v>0</v>
      </c>
      <c r="P313" s="214">
        <f t="shared" si="188"/>
        <v>3467.2946000000002</v>
      </c>
      <c r="Q313" s="214">
        <f t="shared" si="188"/>
        <v>0</v>
      </c>
      <c r="R313" s="214">
        <f t="shared" si="188"/>
        <v>1569.54</v>
      </c>
      <c r="S313" s="214">
        <f t="shared" si="188"/>
        <v>0</v>
      </c>
      <c r="T313" s="214">
        <f t="shared" si="188"/>
        <v>0</v>
      </c>
      <c r="U313" s="214">
        <f t="shared" si="188"/>
        <v>0</v>
      </c>
      <c r="V313" s="214">
        <f t="shared" si="188"/>
        <v>0</v>
      </c>
      <c r="W313" s="214">
        <f t="shared" si="188"/>
        <v>0</v>
      </c>
      <c r="X313" s="214">
        <f t="shared" si="188"/>
        <v>2114.7026999999998</v>
      </c>
      <c r="Y313" s="214">
        <f t="shared" si="188"/>
        <v>0</v>
      </c>
      <c r="Z313" s="214">
        <f t="shared" si="188"/>
        <v>3946.0960999999998</v>
      </c>
      <c r="AA313" s="214">
        <f t="shared" si="188"/>
        <v>0</v>
      </c>
      <c r="AB313" s="214">
        <f t="shared" si="188"/>
        <v>3126.0090999999998</v>
      </c>
      <c r="AC313" s="214">
        <f t="shared" si="188"/>
        <v>0</v>
      </c>
      <c r="AD313" s="214">
        <f t="shared" si="188"/>
        <v>3459.6809600000001</v>
      </c>
      <c r="AE313" s="214">
        <f t="shared" si="188"/>
        <v>0</v>
      </c>
      <c r="AF313" s="215"/>
      <c r="AG313" s="216">
        <f t="shared" si="84"/>
        <v>0</v>
      </c>
    </row>
    <row r="314" spans="1:33" s="97" customFormat="1" x14ac:dyDescent="0.3">
      <c r="A314" s="638" t="s">
        <v>170</v>
      </c>
      <c r="B314" s="639"/>
      <c r="C314" s="217"/>
      <c r="D314" s="218"/>
      <c r="E314" s="217"/>
      <c r="F314" s="113"/>
      <c r="G314" s="113"/>
      <c r="H314" s="214">
        <f t="shared" si="189"/>
        <v>0</v>
      </c>
      <c r="I314" s="214">
        <f t="shared" si="188"/>
        <v>0</v>
      </c>
      <c r="J314" s="214">
        <f t="shared" si="188"/>
        <v>0</v>
      </c>
      <c r="K314" s="214">
        <f t="shared" si="188"/>
        <v>0</v>
      </c>
      <c r="L314" s="214">
        <f t="shared" si="188"/>
        <v>0</v>
      </c>
      <c r="M314" s="214">
        <f t="shared" si="188"/>
        <v>0</v>
      </c>
      <c r="N314" s="214">
        <f t="shared" si="188"/>
        <v>0</v>
      </c>
      <c r="O314" s="214">
        <f t="shared" si="188"/>
        <v>0</v>
      </c>
      <c r="P314" s="214">
        <f t="shared" si="188"/>
        <v>0</v>
      </c>
      <c r="Q314" s="214">
        <f t="shared" si="188"/>
        <v>0</v>
      </c>
      <c r="R314" s="214">
        <f t="shared" si="188"/>
        <v>0</v>
      </c>
      <c r="S314" s="214">
        <f t="shared" si="188"/>
        <v>0</v>
      </c>
      <c r="T314" s="214">
        <f t="shared" si="188"/>
        <v>0</v>
      </c>
      <c r="U314" s="214">
        <f t="shared" si="188"/>
        <v>0</v>
      </c>
      <c r="V314" s="214">
        <f t="shared" si="188"/>
        <v>0</v>
      </c>
      <c r="W314" s="214">
        <f t="shared" si="188"/>
        <v>0</v>
      </c>
      <c r="X314" s="214">
        <f t="shared" si="188"/>
        <v>0</v>
      </c>
      <c r="Y314" s="214">
        <f t="shared" si="188"/>
        <v>0</v>
      </c>
      <c r="Z314" s="214">
        <f t="shared" si="188"/>
        <v>0</v>
      </c>
      <c r="AA314" s="214">
        <f t="shared" si="188"/>
        <v>0</v>
      </c>
      <c r="AB314" s="214">
        <f t="shared" si="188"/>
        <v>0</v>
      </c>
      <c r="AC314" s="214">
        <f t="shared" si="188"/>
        <v>0</v>
      </c>
      <c r="AD314" s="214">
        <f t="shared" si="188"/>
        <v>0</v>
      </c>
      <c r="AE314" s="214">
        <f t="shared" si="188"/>
        <v>0</v>
      </c>
      <c r="AF314" s="215"/>
      <c r="AG314" s="216">
        <f t="shared" si="84"/>
        <v>0</v>
      </c>
    </row>
    <row r="315" spans="1:33" ht="61.5" customHeight="1" x14ac:dyDescent="0.3">
      <c r="A315" s="851" t="s">
        <v>322</v>
      </c>
      <c r="B315" s="642"/>
      <c r="C315" s="110"/>
      <c r="D315" s="110"/>
      <c r="E315" s="110"/>
      <c r="F315" s="110"/>
      <c r="G315" s="110"/>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29"/>
      <c r="AG315" s="102">
        <f t="shared" si="84"/>
        <v>0</v>
      </c>
    </row>
    <row r="316" spans="1:33" x14ac:dyDescent="0.3">
      <c r="A316" s="638" t="s">
        <v>31</v>
      </c>
      <c r="B316" s="639">
        <f>B318+B319+B317+B320</f>
        <v>69616.206900000005</v>
      </c>
      <c r="C316" s="113">
        <f>C318+C319+C317+C320</f>
        <v>19030.36</v>
      </c>
      <c r="D316" s="114">
        <f>D318+D319+D317+D320</f>
        <v>19030.36</v>
      </c>
      <c r="E316" s="113">
        <f>E318+E319+E317+E320</f>
        <v>19030.36</v>
      </c>
      <c r="F316" s="113">
        <f>IFERROR(E316/B316*100,0)</f>
        <v>27.336105840032488</v>
      </c>
      <c r="G316" s="113">
        <f>IFERROR(E316/C316*100,0)</f>
        <v>100</v>
      </c>
      <c r="H316" s="113">
        <f t="shared" ref="H316:AE316" si="190">H318+H319+H317+H320</f>
        <v>3583.5</v>
      </c>
      <c r="I316" s="113">
        <f t="shared" si="190"/>
        <v>3583.5</v>
      </c>
      <c r="J316" s="113">
        <f t="shared" si="190"/>
        <v>7469.0999999999995</v>
      </c>
      <c r="K316" s="113">
        <f t="shared" si="190"/>
        <v>7469.0999999999995</v>
      </c>
      <c r="L316" s="113">
        <f t="shared" si="190"/>
        <v>7977.76</v>
      </c>
      <c r="M316" s="113">
        <f t="shared" si="190"/>
        <v>7977.76</v>
      </c>
      <c r="N316" s="113">
        <f t="shared" si="190"/>
        <v>7655.3117499999998</v>
      </c>
      <c r="O316" s="113">
        <f t="shared" si="190"/>
        <v>0</v>
      </c>
      <c r="P316" s="113">
        <f t="shared" si="190"/>
        <v>7985.4022000000004</v>
      </c>
      <c r="Q316" s="113">
        <f t="shared" si="190"/>
        <v>0</v>
      </c>
      <c r="R316" s="113">
        <f t="shared" si="190"/>
        <v>2687.9245999999998</v>
      </c>
      <c r="S316" s="113">
        <f t="shared" si="190"/>
        <v>0</v>
      </c>
      <c r="T316" s="113">
        <f t="shared" si="190"/>
        <v>0</v>
      </c>
      <c r="U316" s="113">
        <f t="shared" si="190"/>
        <v>0</v>
      </c>
      <c r="V316" s="113">
        <f t="shared" si="190"/>
        <v>0</v>
      </c>
      <c r="W316" s="113">
        <f t="shared" si="190"/>
        <v>0</v>
      </c>
      <c r="X316" s="113">
        <f t="shared" si="190"/>
        <v>7265.4408999999996</v>
      </c>
      <c r="Y316" s="113">
        <f t="shared" si="190"/>
        <v>0</v>
      </c>
      <c r="Z316" s="113">
        <f t="shared" si="190"/>
        <v>10241.3737</v>
      </c>
      <c r="AA316" s="113">
        <f t="shared" si="190"/>
        <v>0</v>
      </c>
      <c r="AB316" s="113">
        <f t="shared" si="190"/>
        <v>7804.4637000000002</v>
      </c>
      <c r="AC316" s="113">
        <f t="shared" si="190"/>
        <v>0</v>
      </c>
      <c r="AD316" s="113">
        <f t="shared" si="190"/>
        <v>6945.9300500000008</v>
      </c>
      <c r="AE316" s="113">
        <f t="shared" si="190"/>
        <v>0</v>
      </c>
      <c r="AF316" s="29"/>
      <c r="AG316" s="102">
        <f t="shared" si="84"/>
        <v>0</v>
      </c>
    </row>
    <row r="317" spans="1:33" x14ac:dyDescent="0.3">
      <c r="A317" s="641" t="s">
        <v>169</v>
      </c>
      <c r="B317" s="642">
        <f t="shared" ref="B317:B319" si="191">J317+L317+N317+P317+R317+T317+V317+X317+Z317+AB317+AD317+H317</f>
        <v>25292.802340000002</v>
      </c>
      <c r="C317" s="117">
        <f>H317+J317+L317</f>
        <v>6914.1</v>
      </c>
      <c r="D317" s="118">
        <f>E317</f>
        <v>6914.1</v>
      </c>
      <c r="E317" s="117">
        <f>SUM(I317,K317,M317,O317,Q317,S317,U317,W317,Y317,AA317,AC317,AE317)</f>
        <v>6914.1</v>
      </c>
      <c r="F317" s="116">
        <f>IFERROR(E317/B317*100,0)</f>
        <v>27.336235451717844</v>
      </c>
      <c r="G317" s="116">
        <f>IFERROR(E317/C317*100,0)</f>
        <v>100</v>
      </c>
      <c r="H317" s="111">
        <v>1301.9000000000001</v>
      </c>
      <c r="I317" s="111">
        <v>1301.9000000000001</v>
      </c>
      <c r="J317" s="111">
        <v>2713.7</v>
      </c>
      <c r="K317" s="111">
        <v>2713.7</v>
      </c>
      <c r="L317" s="111">
        <v>2898.5</v>
      </c>
      <c r="M317" s="111">
        <v>2898.5</v>
      </c>
      <c r="N317" s="111">
        <v>2772.9767499999998</v>
      </c>
      <c r="O317" s="111"/>
      <c r="P317" s="111">
        <v>2860.0432000000001</v>
      </c>
      <c r="Q317" s="111"/>
      <c r="R317" s="111">
        <v>914.33019999999999</v>
      </c>
      <c r="S317" s="111"/>
      <c r="T317" s="111"/>
      <c r="U317" s="111"/>
      <c r="V317" s="111"/>
      <c r="W317" s="111"/>
      <c r="X317" s="111">
        <v>2028.7748999999999</v>
      </c>
      <c r="Y317" s="111"/>
      <c r="Z317" s="111">
        <f>1077+3218.6217</f>
        <v>4295.6216999999997</v>
      </c>
      <c r="AA317" s="111"/>
      <c r="AB317" s="111">
        <v>2846.4506999999999</v>
      </c>
      <c r="AC317" s="111"/>
      <c r="AD317" s="111">
        <v>2660.5048900000002</v>
      </c>
      <c r="AE317" s="111"/>
      <c r="AF317" s="29"/>
      <c r="AG317" s="102">
        <f t="shared" si="84"/>
        <v>0</v>
      </c>
    </row>
    <row r="318" spans="1:33" x14ac:dyDescent="0.3">
      <c r="A318" s="641" t="s">
        <v>32</v>
      </c>
      <c r="B318" s="642">
        <f t="shared" si="191"/>
        <v>37939.30285</v>
      </c>
      <c r="C318" s="117">
        <f>H318+J318+L318</f>
        <v>10371.099999999999</v>
      </c>
      <c r="D318" s="118">
        <f>E318</f>
        <v>10371.099999999999</v>
      </c>
      <c r="E318" s="117">
        <f>SUM(I318,K318,M318,O318,Q318,S318,U318,W318,Y318,AA318,AC318,AE318)</f>
        <v>10371.099999999999</v>
      </c>
      <c r="F318" s="116">
        <f>IFERROR(E318/B318*100,0)</f>
        <v>27.336032085260097</v>
      </c>
      <c r="G318" s="116">
        <f>IFERROR(E318/C318*100,0)</f>
        <v>100</v>
      </c>
      <c r="H318" s="111">
        <v>1953</v>
      </c>
      <c r="I318" s="111">
        <v>1953</v>
      </c>
      <c r="J318" s="111">
        <v>4070.4</v>
      </c>
      <c r="K318" s="111">
        <v>4070.4</v>
      </c>
      <c r="L318" s="111">
        <v>4347.7</v>
      </c>
      <c r="M318" s="111">
        <v>4347.7</v>
      </c>
      <c r="N318" s="111">
        <v>4146.31675</v>
      </c>
      <c r="O318" s="111"/>
      <c r="P318" s="111">
        <v>4356.0644000000002</v>
      </c>
      <c r="Q318" s="111"/>
      <c r="R318" s="111">
        <v>1525.4544000000001</v>
      </c>
      <c r="S318" s="111"/>
      <c r="T318" s="111">
        <v>0</v>
      </c>
      <c r="U318" s="111"/>
      <c r="V318" s="111">
        <v>0</v>
      </c>
      <c r="W318" s="111"/>
      <c r="X318" s="111">
        <f>3182.58+3078.7633-1557.38</f>
        <v>4703.9633000000003</v>
      </c>
      <c r="Y318" s="111"/>
      <c r="Z318" s="111">
        <v>4814.6558999999997</v>
      </c>
      <c r="AA318" s="111"/>
      <c r="AB318" s="111">
        <v>4295.6039000000001</v>
      </c>
      <c r="AC318" s="111"/>
      <c r="AD318" s="111">
        <v>3726.1442000000002</v>
      </c>
      <c r="AE318" s="111"/>
      <c r="AF318" s="29"/>
      <c r="AG318" s="102">
        <f t="shared" si="84"/>
        <v>0</v>
      </c>
    </row>
    <row r="319" spans="1:33" x14ac:dyDescent="0.3">
      <c r="A319" s="641" t="s">
        <v>33</v>
      </c>
      <c r="B319" s="642">
        <f t="shared" si="191"/>
        <v>6384.1017099999999</v>
      </c>
      <c r="C319" s="117">
        <f>H319+J319+L319</f>
        <v>1745.1599999999999</v>
      </c>
      <c r="D319" s="118">
        <f>E319</f>
        <v>1745.1599999999999</v>
      </c>
      <c r="E319" s="117">
        <f>SUM(I319,K319,M319,O319,Q319,S319,U319,W319,Y319,AA319,AC319,AE319)</f>
        <v>1745.1599999999999</v>
      </c>
      <c r="F319" s="116">
        <f>IFERROR(E319/B319*100,0)</f>
        <v>27.336030647293679</v>
      </c>
      <c r="G319" s="116">
        <f>IFERROR(E319/C319*100,0)</f>
        <v>100</v>
      </c>
      <c r="H319" s="111">
        <v>328.6</v>
      </c>
      <c r="I319" s="111">
        <v>328.6</v>
      </c>
      <c r="J319" s="111">
        <v>685</v>
      </c>
      <c r="K319" s="111">
        <v>685</v>
      </c>
      <c r="L319" s="111">
        <v>731.56</v>
      </c>
      <c r="M319" s="111">
        <v>731.56</v>
      </c>
      <c r="N319" s="111">
        <v>736.01824999999997</v>
      </c>
      <c r="O319" s="111"/>
      <c r="P319" s="111">
        <v>769.29459999999995</v>
      </c>
      <c r="Q319" s="111"/>
      <c r="R319" s="111">
        <v>248.14</v>
      </c>
      <c r="S319" s="111"/>
      <c r="T319" s="111"/>
      <c r="U319" s="111"/>
      <c r="V319" s="111"/>
      <c r="W319" s="111"/>
      <c r="X319" s="111">
        <v>532.70270000000005</v>
      </c>
      <c r="Y319" s="111"/>
      <c r="Z319" s="111">
        <f>356.4+774.6961</f>
        <v>1131.0961</v>
      </c>
      <c r="AA319" s="111"/>
      <c r="AB319" s="111">
        <v>662.40909999999997</v>
      </c>
      <c r="AC319" s="111"/>
      <c r="AD319" s="111">
        <f>19.97+539.31096</f>
        <v>559.28096000000005</v>
      </c>
      <c r="AE319" s="111"/>
      <c r="AF319" s="29"/>
      <c r="AG319" s="102">
        <f t="shared" si="84"/>
        <v>-1.2505552149377763E-12</v>
      </c>
    </row>
    <row r="320" spans="1:33" x14ac:dyDescent="0.3">
      <c r="A320" s="115" t="s">
        <v>170</v>
      </c>
      <c r="B320" s="116"/>
      <c r="C320" s="117"/>
      <c r="D320" s="118"/>
      <c r="E320" s="117"/>
      <c r="F320" s="116"/>
      <c r="G320" s="116"/>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29"/>
      <c r="AG320" s="102">
        <f t="shared" si="84"/>
        <v>0</v>
      </c>
    </row>
    <row r="321" spans="1:42" ht="39.75" customHeight="1" x14ac:dyDescent="0.3">
      <c r="A321" s="851" t="s">
        <v>323</v>
      </c>
      <c r="B321" s="642"/>
      <c r="C321" s="650"/>
      <c r="D321" s="650"/>
      <c r="E321" s="650"/>
      <c r="F321" s="650"/>
      <c r="G321" s="650"/>
      <c r="H321" s="529"/>
      <c r="I321" s="529"/>
      <c r="J321" s="529"/>
      <c r="K321" s="529"/>
      <c r="L321" s="529"/>
      <c r="M321" s="529"/>
      <c r="N321" s="529"/>
      <c r="O321" s="529"/>
      <c r="P321" s="529"/>
      <c r="Q321" s="529"/>
      <c r="R321" s="529"/>
      <c r="S321" s="529"/>
      <c r="T321" s="529"/>
      <c r="U321" s="529"/>
      <c r="V321" s="529"/>
      <c r="W321" s="529"/>
      <c r="X321" s="529"/>
      <c r="Y321" s="529"/>
      <c r="Z321" s="529"/>
      <c r="AA321" s="529"/>
      <c r="AB321" s="529"/>
      <c r="AC321" s="529"/>
      <c r="AD321" s="529"/>
      <c r="AE321" s="529"/>
      <c r="AF321" s="635"/>
      <c r="AG321" s="636">
        <f t="shared" si="84"/>
        <v>0</v>
      </c>
      <c r="AH321" s="637"/>
      <c r="AI321" s="637"/>
      <c r="AJ321" s="637"/>
      <c r="AK321" s="637"/>
      <c r="AL321" s="637"/>
      <c r="AM321" s="637"/>
      <c r="AN321" s="637"/>
      <c r="AO321" s="637"/>
      <c r="AP321" s="637"/>
    </row>
    <row r="322" spans="1:42" x14ac:dyDescent="0.3">
      <c r="A322" s="638" t="s">
        <v>31</v>
      </c>
      <c r="B322" s="639">
        <f>B324+B325+B323+B326</f>
        <v>24524.800000000003</v>
      </c>
      <c r="C322" s="639">
        <f>C324+C325+C323+C326</f>
        <v>8287.4</v>
      </c>
      <c r="D322" s="852">
        <f>D324+D325+D323+D326</f>
        <v>8287.4</v>
      </c>
      <c r="E322" s="639">
        <f>E324+E325+E323+E326</f>
        <v>8287.4</v>
      </c>
      <c r="F322" s="639">
        <f>IFERROR(E322/B322*100,0)</f>
        <v>33.791916753653439</v>
      </c>
      <c r="G322" s="639">
        <f>IFERROR(E322/C322*100,0)</f>
        <v>100</v>
      </c>
      <c r="H322" s="639">
        <f t="shared" ref="H322:AE322" si="192">H324+H325+H323+H326</f>
        <v>2144.4</v>
      </c>
      <c r="I322" s="639">
        <f t="shared" si="192"/>
        <v>2144.4</v>
      </c>
      <c r="J322" s="639">
        <f t="shared" si="192"/>
        <v>3268</v>
      </c>
      <c r="K322" s="639">
        <f t="shared" si="192"/>
        <v>3268</v>
      </c>
      <c r="L322" s="639">
        <f t="shared" si="192"/>
        <v>2875</v>
      </c>
      <c r="M322" s="639">
        <f t="shared" si="192"/>
        <v>2875</v>
      </c>
      <c r="N322" s="639">
        <f t="shared" si="192"/>
        <v>2457</v>
      </c>
      <c r="O322" s="639">
        <f t="shared" si="192"/>
        <v>0</v>
      </c>
      <c r="P322" s="639">
        <f t="shared" si="192"/>
        <v>2698</v>
      </c>
      <c r="Q322" s="639">
        <f t="shared" si="192"/>
        <v>0</v>
      </c>
      <c r="R322" s="639">
        <f t="shared" si="192"/>
        <v>1321.4</v>
      </c>
      <c r="S322" s="639">
        <f t="shared" si="192"/>
        <v>0</v>
      </c>
      <c r="T322" s="639">
        <f t="shared" si="192"/>
        <v>0</v>
      </c>
      <c r="U322" s="639">
        <f t="shared" si="192"/>
        <v>0</v>
      </c>
      <c r="V322" s="639">
        <f t="shared" si="192"/>
        <v>0</v>
      </c>
      <c r="W322" s="639">
        <f t="shared" si="192"/>
        <v>0</v>
      </c>
      <c r="X322" s="639">
        <f t="shared" si="192"/>
        <v>1582</v>
      </c>
      <c r="Y322" s="639">
        <f t="shared" si="192"/>
        <v>0</v>
      </c>
      <c r="Z322" s="639">
        <f t="shared" si="192"/>
        <v>2815</v>
      </c>
      <c r="AA322" s="639">
        <f t="shared" si="192"/>
        <v>0</v>
      </c>
      <c r="AB322" s="639">
        <f t="shared" si="192"/>
        <v>2463.6</v>
      </c>
      <c r="AC322" s="639">
        <f t="shared" si="192"/>
        <v>0</v>
      </c>
      <c r="AD322" s="639">
        <f t="shared" si="192"/>
        <v>2900.4</v>
      </c>
      <c r="AE322" s="639">
        <f t="shared" si="192"/>
        <v>0</v>
      </c>
      <c r="AF322" s="635"/>
      <c r="AG322" s="636">
        <f t="shared" si="84"/>
        <v>0</v>
      </c>
      <c r="AH322" s="637"/>
      <c r="AI322" s="637"/>
      <c r="AJ322" s="637"/>
      <c r="AK322" s="637"/>
      <c r="AL322" s="637"/>
      <c r="AM322" s="637"/>
      <c r="AN322" s="637"/>
      <c r="AO322" s="637"/>
      <c r="AP322" s="637"/>
    </row>
    <row r="323" spans="1:42" x14ac:dyDescent="0.3">
      <c r="A323" s="641" t="s">
        <v>169</v>
      </c>
      <c r="B323" s="642">
        <f t="shared" ref="B323:B325" si="193">J323+L323+N323+P323+R323+T323+V323+X323+Z323+AB323+AD323+H323</f>
        <v>0</v>
      </c>
      <c r="C323" s="849">
        <f>SUM(H323)</f>
        <v>0</v>
      </c>
      <c r="D323" s="853">
        <f>E323</f>
        <v>0</v>
      </c>
      <c r="E323" s="849">
        <f>SUM(I323,K323,M323,O323,Q323,S323,U323,W323,Y323,AA323,AC323,AE323)</f>
        <v>0</v>
      </c>
      <c r="F323" s="642">
        <f>IFERROR(E323/B323*100,0)</f>
        <v>0</v>
      </c>
      <c r="G323" s="642">
        <f>IFERROR(E323/C323*100,0)</f>
        <v>0</v>
      </c>
      <c r="H323" s="529"/>
      <c r="I323" s="529"/>
      <c r="J323" s="529"/>
      <c r="K323" s="529"/>
      <c r="L323" s="529"/>
      <c r="M323" s="529"/>
      <c r="N323" s="529"/>
      <c r="O323" s="529"/>
      <c r="P323" s="529"/>
      <c r="Q323" s="529"/>
      <c r="R323" s="529"/>
      <c r="S323" s="529"/>
      <c r="T323" s="529"/>
      <c r="U323" s="529"/>
      <c r="V323" s="529"/>
      <c r="W323" s="529"/>
      <c r="X323" s="529"/>
      <c r="Y323" s="529"/>
      <c r="Z323" s="529"/>
      <c r="AA323" s="529"/>
      <c r="AB323" s="529"/>
      <c r="AC323" s="529"/>
      <c r="AD323" s="529"/>
      <c r="AE323" s="529"/>
      <c r="AF323" s="635"/>
      <c r="AG323" s="636">
        <f t="shared" si="84"/>
        <v>0</v>
      </c>
      <c r="AH323" s="637"/>
      <c r="AI323" s="637"/>
      <c r="AJ323" s="637"/>
      <c r="AK323" s="637"/>
      <c r="AL323" s="637"/>
      <c r="AM323" s="637"/>
      <c r="AN323" s="637"/>
      <c r="AO323" s="637"/>
      <c r="AP323" s="637"/>
    </row>
    <row r="324" spans="1:42" x14ac:dyDescent="0.3">
      <c r="A324" s="641" t="s">
        <v>32</v>
      </c>
      <c r="B324" s="642">
        <f t="shared" si="193"/>
        <v>0</v>
      </c>
      <c r="C324" s="849">
        <f>SUM(H324)</f>
        <v>0</v>
      </c>
      <c r="D324" s="853">
        <f>E324</f>
        <v>0</v>
      </c>
      <c r="E324" s="849">
        <f>SUM(I324,K324,M324,O324,Q324,S324,U324,W324,Y324,AA324,AC324,AE324)</f>
        <v>0</v>
      </c>
      <c r="F324" s="642">
        <f>IFERROR(E324/B324*100,0)</f>
        <v>0</v>
      </c>
      <c r="G324" s="642">
        <f>IFERROR(E324/C324*100,0)</f>
        <v>0</v>
      </c>
      <c r="H324" s="529"/>
      <c r="I324" s="529"/>
      <c r="J324" s="529"/>
      <c r="K324" s="529"/>
      <c r="L324" s="529"/>
      <c r="M324" s="529"/>
      <c r="N324" s="529"/>
      <c r="O324" s="529"/>
      <c r="P324" s="529"/>
      <c r="Q324" s="529"/>
      <c r="R324" s="529"/>
      <c r="S324" s="529"/>
      <c r="T324" s="529"/>
      <c r="U324" s="529"/>
      <c r="V324" s="529"/>
      <c r="W324" s="529"/>
      <c r="X324" s="529"/>
      <c r="Y324" s="529"/>
      <c r="Z324" s="529"/>
      <c r="AA324" s="529"/>
      <c r="AB324" s="529"/>
      <c r="AC324" s="529"/>
      <c r="AD324" s="529"/>
      <c r="AE324" s="529"/>
      <c r="AF324" s="635"/>
      <c r="AG324" s="636">
        <f t="shared" si="84"/>
        <v>0</v>
      </c>
      <c r="AH324" s="637"/>
      <c r="AI324" s="637"/>
      <c r="AJ324" s="637"/>
      <c r="AK324" s="637"/>
      <c r="AL324" s="637"/>
      <c r="AM324" s="637"/>
      <c r="AN324" s="637"/>
      <c r="AO324" s="637"/>
      <c r="AP324" s="637"/>
    </row>
    <row r="325" spans="1:42" x14ac:dyDescent="0.3">
      <c r="A325" s="641" t="s">
        <v>33</v>
      </c>
      <c r="B325" s="642">
        <f t="shared" si="193"/>
        <v>24524.800000000003</v>
      </c>
      <c r="C325" s="849">
        <f>H325+J325+L325</f>
        <v>8287.4</v>
      </c>
      <c r="D325" s="853">
        <f>E325</f>
        <v>8287.4</v>
      </c>
      <c r="E325" s="849">
        <f>SUM(I325,K325,M325,O325,Q325,S325,U325,W325,Y325,AA325,AC325,AE325)</f>
        <v>8287.4</v>
      </c>
      <c r="F325" s="642">
        <f>IFERROR(E325/B325*100,0)</f>
        <v>33.791916753653439</v>
      </c>
      <c r="G325" s="642">
        <f>IFERROR(E325/C325*100,0)</f>
        <v>100</v>
      </c>
      <c r="H325" s="529">
        <v>2144.4</v>
      </c>
      <c r="I325" s="529">
        <v>2144.4</v>
      </c>
      <c r="J325" s="529">
        <v>3268</v>
      </c>
      <c r="K325" s="529">
        <v>3268</v>
      </c>
      <c r="L325" s="529">
        <v>2875</v>
      </c>
      <c r="M325" s="529">
        <v>2875</v>
      </c>
      <c r="N325" s="529">
        <v>2457</v>
      </c>
      <c r="O325" s="529"/>
      <c r="P325" s="529">
        <v>2698</v>
      </c>
      <c r="Q325" s="529"/>
      <c r="R325" s="529">
        <v>1321.4</v>
      </c>
      <c r="S325" s="529"/>
      <c r="T325" s="529"/>
      <c r="U325" s="529"/>
      <c r="V325" s="529">
        <v>0</v>
      </c>
      <c r="W325" s="529"/>
      <c r="X325" s="529">
        <v>1582</v>
      </c>
      <c r="Y325" s="529"/>
      <c r="Z325" s="529">
        <v>2815</v>
      </c>
      <c r="AA325" s="529"/>
      <c r="AB325" s="529">
        <v>2463.6</v>
      </c>
      <c r="AC325" s="529"/>
      <c r="AD325" s="529">
        <v>2900.4</v>
      </c>
      <c r="AE325" s="529"/>
      <c r="AF325" s="635"/>
      <c r="AG325" s="636">
        <f t="shared" si="84"/>
        <v>0</v>
      </c>
      <c r="AH325" s="637"/>
      <c r="AI325" s="637"/>
      <c r="AJ325" s="637"/>
      <c r="AK325" s="637"/>
      <c r="AL325" s="637"/>
      <c r="AM325" s="637"/>
      <c r="AN325" s="637"/>
      <c r="AO325" s="637"/>
      <c r="AP325" s="637"/>
    </row>
    <row r="326" spans="1:42" x14ac:dyDescent="0.3">
      <c r="A326" s="641" t="s">
        <v>170</v>
      </c>
      <c r="B326" s="642"/>
      <c r="C326" s="849"/>
      <c r="D326" s="853"/>
      <c r="E326" s="849"/>
      <c r="F326" s="642"/>
      <c r="G326" s="642"/>
      <c r="H326" s="529"/>
      <c r="I326" s="529"/>
      <c r="J326" s="529"/>
      <c r="K326" s="529"/>
      <c r="L326" s="529"/>
      <c r="M326" s="529"/>
      <c r="N326" s="529"/>
      <c r="O326" s="529"/>
      <c r="P326" s="529"/>
      <c r="Q326" s="529"/>
      <c r="R326" s="529"/>
      <c r="S326" s="529"/>
      <c r="T326" s="529"/>
      <c r="U326" s="529"/>
      <c r="V326" s="529"/>
      <c r="W326" s="529"/>
      <c r="X326" s="529"/>
      <c r="Y326" s="529"/>
      <c r="Z326" s="529"/>
      <c r="AA326" s="529"/>
      <c r="AB326" s="529"/>
      <c r="AC326" s="529"/>
      <c r="AD326" s="529"/>
      <c r="AE326" s="529"/>
      <c r="AF326" s="635"/>
      <c r="AG326" s="636">
        <f t="shared" si="84"/>
        <v>0</v>
      </c>
      <c r="AH326" s="637"/>
      <c r="AI326" s="637"/>
      <c r="AJ326" s="637"/>
      <c r="AK326" s="637"/>
      <c r="AL326" s="637"/>
      <c r="AM326" s="637"/>
      <c r="AN326" s="637"/>
      <c r="AO326" s="637"/>
      <c r="AP326" s="637"/>
    </row>
    <row r="327" spans="1:42" ht="133.5" customHeight="1" x14ac:dyDescent="0.3">
      <c r="A327" s="851" t="s">
        <v>324</v>
      </c>
      <c r="B327" s="642"/>
      <c r="C327" s="650"/>
      <c r="D327" s="650"/>
      <c r="E327" s="650"/>
      <c r="F327" s="650"/>
      <c r="G327" s="650"/>
      <c r="H327" s="529"/>
      <c r="I327" s="529"/>
      <c r="J327" s="529"/>
      <c r="K327" s="529"/>
      <c r="L327" s="529"/>
      <c r="M327" s="529"/>
      <c r="N327" s="529"/>
      <c r="O327" s="529"/>
      <c r="P327" s="529"/>
      <c r="Q327" s="529"/>
      <c r="R327" s="529"/>
      <c r="S327" s="529"/>
      <c r="T327" s="529"/>
      <c r="U327" s="529"/>
      <c r="V327" s="529"/>
      <c r="W327" s="529"/>
      <c r="X327" s="529"/>
      <c r="Y327" s="529"/>
      <c r="Z327" s="529"/>
      <c r="AA327" s="529"/>
      <c r="AB327" s="529"/>
      <c r="AC327" s="529"/>
      <c r="AD327" s="529"/>
      <c r="AE327" s="529"/>
      <c r="AF327" s="635"/>
      <c r="AG327" s="636">
        <f t="shared" si="84"/>
        <v>0</v>
      </c>
      <c r="AH327" s="637"/>
      <c r="AI327" s="637"/>
      <c r="AJ327" s="637"/>
      <c r="AK327" s="637"/>
      <c r="AL327" s="637"/>
      <c r="AM327" s="637"/>
      <c r="AN327" s="637"/>
      <c r="AO327" s="637"/>
      <c r="AP327" s="637"/>
    </row>
    <row r="328" spans="1:42" x14ac:dyDescent="0.3">
      <c r="A328" s="638" t="s">
        <v>31</v>
      </c>
      <c r="B328" s="639">
        <f>B330+B331+B329+B332</f>
        <v>134725.99599999998</v>
      </c>
      <c r="C328" s="639">
        <f>C330+C331+C329+C332</f>
        <v>45539.71</v>
      </c>
      <c r="D328" s="852">
        <f>D330+D331+D329+D332</f>
        <v>40050.94</v>
      </c>
      <c r="E328" s="639">
        <f>E330+E331+E329+E332</f>
        <v>40050.94</v>
      </c>
      <c r="F328" s="639">
        <f>IFERROR(E328/B328*100,0)</f>
        <v>29.727700064655675</v>
      </c>
      <c r="G328" s="639">
        <f>IFERROR(E328/C328*100,0)</f>
        <v>87.947288201879203</v>
      </c>
      <c r="H328" s="639">
        <f t="shared" ref="H328:AE328" si="194">H330+H331+H329+H332</f>
        <v>10001.5</v>
      </c>
      <c r="I328" s="639">
        <f t="shared" si="194"/>
        <v>3688.7</v>
      </c>
      <c r="J328" s="639">
        <f t="shared" si="194"/>
        <v>18083.64</v>
      </c>
      <c r="K328" s="639">
        <f t="shared" si="194"/>
        <v>18184.400000000001</v>
      </c>
      <c r="L328" s="639">
        <f t="shared" si="194"/>
        <v>17454.57</v>
      </c>
      <c r="M328" s="639">
        <f t="shared" si="194"/>
        <v>18177.84</v>
      </c>
      <c r="N328" s="639">
        <f t="shared" si="194"/>
        <v>14723.52</v>
      </c>
      <c r="O328" s="639">
        <f t="shared" si="194"/>
        <v>0</v>
      </c>
      <c r="P328" s="639">
        <f t="shared" si="194"/>
        <v>16585.009999999998</v>
      </c>
      <c r="Q328" s="639">
        <f t="shared" si="194"/>
        <v>0</v>
      </c>
      <c r="R328" s="639">
        <f t="shared" si="194"/>
        <v>6378.0630000000001</v>
      </c>
      <c r="S328" s="639">
        <f t="shared" si="194"/>
        <v>0</v>
      </c>
      <c r="T328" s="639">
        <f t="shared" si="194"/>
        <v>0</v>
      </c>
      <c r="U328" s="639">
        <f t="shared" si="194"/>
        <v>0</v>
      </c>
      <c r="V328" s="639">
        <f t="shared" si="194"/>
        <v>0</v>
      </c>
      <c r="W328" s="639">
        <f t="shared" si="194"/>
        <v>0</v>
      </c>
      <c r="X328" s="639">
        <f t="shared" si="194"/>
        <v>10953.995000000001</v>
      </c>
      <c r="Y328" s="639">
        <f t="shared" si="194"/>
        <v>0</v>
      </c>
      <c r="Z328" s="639">
        <f t="shared" si="194"/>
        <v>17175.315999999999</v>
      </c>
      <c r="AA328" s="639">
        <f t="shared" si="194"/>
        <v>0</v>
      </c>
      <c r="AB328" s="639">
        <f t="shared" si="194"/>
        <v>13380.572</v>
      </c>
      <c r="AC328" s="639">
        <f t="shared" si="194"/>
        <v>0</v>
      </c>
      <c r="AD328" s="639">
        <f t="shared" si="194"/>
        <v>9989.81</v>
      </c>
      <c r="AE328" s="639">
        <f t="shared" si="194"/>
        <v>0</v>
      </c>
      <c r="AF328" s="635"/>
      <c r="AG328" s="636">
        <f t="shared" si="84"/>
        <v>0</v>
      </c>
      <c r="AH328" s="637"/>
      <c r="AI328" s="637"/>
      <c r="AJ328" s="637"/>
      <c r="AK328" s="637"/>
      <c r="AL328" s="637"/>
      <c r="AM328" s="637"/>
      <c r="AN328" s="637"/>
      <c r="AO328" s="637"/>
      <c r="AP328" s="637"/>
    </row>
    <row r="329" spans="1:42" x14ac:dyDescent="0.3">
      <c r="A329" s="641" t="s">
        <v>169</v>
      </c>
      <c r="B329" s="642">
        <f t="shared" ref="B329:B331" si="195">J329+L329+N329+P329+R329+T329+V329+X329+Z329+AB329+AD329+H329</f>
        <v>0</v>
      </c>
      <c r="C329" s="849">
        <f>SUM(H329)</f>
        <v>0</v>
      </c>
      <c r="D329" s="853">
        <f>E329</f>
        <v>0</v>
      </c>
      <c r="E329" s="849">
        <f>SUM(I329,K329,M329,O329,Q329,S329,U329,W329,Y329,AA329,AC329,AE329)</f>
        <v>0</v>
      </c>
      <c r="F329" s="642">
        <f>IFERROR(E329/B329*100,0)</f>
        <v>0</v>
      </c>
      <c r="G329" s="642">
        <f>IFERROR(E329/C329*100,0)</f>
        <v>0</v>
      </c>
      <c r="H329" s="529"/>
      <c r="I329" s="529"/>
      <c r="J329" s="529"/>
      <c r="K329" s="529"/>
      <c r="L329" s="529"/>
      <c r="M329" s="529"/>
      <c r="N329" s="529"/>
      <c r="O329" s="529"/>
      <c r="P329" s="529"/>
      <c r="Q329" s="529"/>
      <c r="R329" s="529"/>
      <c r="S329" s="529"/>
      <c r="T329" s="529"/>
      <c r="U329" s="529"/>
      <c r="V329" s="529"/>
      <c r="W329" s="529"/>
      <c r="X329" s="529"/>
      <c r="Y329" s="529"/>
      <c r="Z329" s="529"/>
      <c r="AA329" s="529"/>
      <c r="AB329" s="529"/>
      <c r="AC329" s="529"/>
      <c r="AD329" s="529"/>
      <c r="AE329" s="529"/>
      <c r="AF329" s="635"/>
      <c r="AG329" s="636">
        <f t="shared" si="84"/>
        <v>0</v>
      </c>
      <c r="AH329" s="637"/>
      <c r="AI329" s="637"/>
      <c r="AJ329" s="637"/>
      <c r="AK329" s="637"/>
      <c r="AL329" s="637"/>
      <c r="AM329" s="637"/>
      <c r="AN329" s="637"/>
      <c r="AO329" s="637"/>
      <c r="AP329" s="637"/>
    </row>
    <row r="330" spans="1:42" s="738" customFormat="1" ht="62.25" customHeight="1" x14ac:dyDescent="0.3">
      <c r="A330" s="641" t="s">
        <v>32</v>
      </c>
      <c r="B330" s="642">
        <f t="shared" si="195"/>
        <v>134725.99599999998</v>
      </c>
      <c r="C330" s="849">
        <f>H330+J330+L330</f>
        <v>45539.71</v>
      </c>
      <c r="D330" s="853">
        <f>E330</f>
        <v>40050.94</v>
      </c>
      <c r="E330" s="849">
        <f>SUM(I330,K330,M330,O330,Q330,S330,U330,W330,Y330,AA330,AC330,AE330)</f>
        <v>40050.94</v>
      </c>
      <c r="F330" s="642">
        <f>IFERROR(E330/B330*100,0)</f>
        <v>29.727700064655675</v>
      </c>
      <c r="G330" s="642">
        <f>IFERROR(E330/C330*100,0)</f>
        <v>87.947288201879203</v>
      </c>
      <c r="H330" s="529">
        <v>10001.5</v>
      </c>
      <c r="I330" s="529">
        <v>3688.7</v>
      </c>
      <c r="J330" s="529">
        <v>18083.64</v>
      </c>
      <c r="K330" s="529">
        <v>18184.400000000001</v>
      </c>
      <c r="L330" s="529">
        <v>17454.57</v>
      </c>
      <c r="M330" s="529">
        <v>18177.84</v>
      </c>
      <c r="N330" s="529">
        <v>14723.52</v>
      </c>
      <c r="O330" s="529"/>
      <c r="P330" s="529">
        <v>16585.009999999998</v>
      </c>
      <c r="Q330" s="529"/>
      <c r="R330" s="529">
        <v>6378.0630000000001</v>
      </c>
      <c r="S330" s="529"/>
      <c r="T330" s="529">
        <v>0</v>
      </c>
      <c r="U330" s="529"/>
      <c r="V330" s="529"/>
      <c r="W330" s="529"/>
      <c r="X330" s="529">
        <v>10953.995000000001</v>
      </c>
      <c r="Y330" s="529"/>
      <c r="Z330" s="529">
        <v>17175.315999999999</v>
      </c>
      <c r="AA330" s="529"/>
      <c r="AB330" s="529">
        <v>13380.572</v>
      </c>
      <c r="AC330" s="529"/>
      <c r="AD330" s="529">
        <v>9989.81</v>
      </c>
      <c r="AE330" s="529"/>
      <c r="AF330" s="854" t="s">
        <v>552</v>
      </c>
      <c r="AG330" s="636">
        <f t="shared" si="84"/>
        <v>0</v>
      </c>
      <c r="AH330" s="855">
        <f>C330-E330</f>
        <v>5488.7699999999968</v>
      </c>
      <c r="AI330" s="637"/>
      <c r="AJ330" s="637"/>
      <c r="AK330" s="637"/>
      <c r="AL330" s="637"/>
      <c r="AM330" s="637"/>
      <c r="AN330" s="637"/>
      <c r="AO330" s="637"/>
      <c r="AP330" s="637"/>
    </row>
    <row r="331" spans="1:42" x14ac:dyDescent="0.3">
      <c r="A331" s="115" t="s">
        <v>33</v>
      </c>
      <c r="B331" s="642">
        <f t="shared" si="195"/>
        <v>0</v>
      </c>
      <c r="C331" s="117">
        <f>SUM(H331)</f>
        <v>0</v>
      </c>
      <c r="D331" s="118">
        <f>E331</f>
        <v>0</v>
      </c>
      <c r="E331" s="117">
        <f>SUM(I331,K331,M331,O331,Q331,S331,U331,W331,Y331,AA331,AC331,AE331)</f>
        <v>0</v>
      </c>
      <c r="F331" s="116">
        <f>IFERROR(E331/B331*100,0)</f>
        <v>0</v>
      </c>
      <c r="G331" s="116">
        <f>IFERROR(E331/C331*100,0)</f>
        <v>0</v>
      </c>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29"/>
      <c r="AG331" s="102">
        <f t="shared" si="84"/>
        <v>0</v>
      </c>
    </row>
    <row r="332" spans="1:42" x14ac:dyDescent="0.3">
      <c r="A332" s="115" t="s">
        <v>170</v>
      </c>
      <c r="B332" s="116"/>
      <c r="C332" s="117"/>
      <c r="D332" s="118"/>
      <c r="E332" s="117"/>
      <c r="F332" s="116"/>
      <c r="G332" s="116"/>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29"/>
      <c r="AG332" s="102">
        <f t="shared" si="84"/>
        <v>0</v>
      </c>
    </row>
    <row r="333" spans="1:42" ht="50.25" customHeight="1" x14ac:dyDescent="0.3">
      <c r="A333" s="98" t="s">
        <v>325</v>
      </c>
      <c r="B333" s="144"/>
      <c r="C333" s="145"/>
      <c r="D333" s="145"/>
      <c r="E333" s="145"/>
      <c r="F333" s="145"/>
      <c r="G333" s="145"/>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01"/>
      <c r="AG333" s="102">
        <f t="shared" si="84"/>
        <v>0</v>
      </c>
    </row>
    <row r="334" spans="1:42" x14ac:dyDescent="0.3">
      <c r="A334" s="146" t="s">
        <v>31</v>
      </c>
      <c r="B334" s="104">
        <f>B335+B336+B337+B338</f>
        <v>6575.1</v>
      </c>
      <c r="C334" s="104">
        <f>C335+C336+C337+C338</f>
        <v>0</v>
      </c>
      <c r="D334" s="104">
        <f>D335+D336+D337+D338</f>
        <v>824</v>
      </c>
      <c r="E334" s="104">
        <f>E335+E336+E337+E338</f>
        <v>824</v>
      </c>
      <c r="F334" s="107">
        <f>IFERROR(E334/B334*100,0)</f>
        <v>12.532128788915758</v>
      </c>
      <c r="G334" s="107">
        <f>IFERROR(E334/C334*100,0)</f>
        <v>0</v>
      </c>
      <c r="H334" s="104">
        <f t="shared" ref="H334:AE334" si="196">H335+H336+H337+H338</f>
        <v>0</v>
      </c>
      <c r="I334" s="104">
        <f t="shared" si="196"/>
        <v>0</v>
      </c>
      <c r="J334" s="104">
        <f t="shared" si="196"/>
        <v>0</v>
      </c>
      <c r="K334" s="104">
        <f t="shared" si="196"/>
        <v>0</v>
      </c>
      <c r="L334" s="104">
        <f t="shared" si="196"/>
        <v>1829</v>
      </c>
      <c r="M334" s="104">
        <f t="shared" si="196"/>
        <v>824</v>
      </c>
      <c r="N334" s="104">
        <f t="shared" si="196"/>
        <v>0</v>
      </c>
      <c r="O334" s="104">
        <f t="shared" si="196"/>
        <v>0</v>
      </c>
      <c r="P334" s="104">
        <f t="shared" si="196"/>
        <v>0</v>
      </c>
      <c r="Q334" s="104">
        <f t="shared" si="196"/>
        <v>0</v>
      </c>
      <c r="R334" s="104">
        <f t="shared" si="196"/>
        <v>0</v>
      </c>
      <c r="S334" s="104">
        <f t="shared" si="196"/>
        <v>0</v>
      </c>
      <c r="T334" s="104">
        <f t="shared" si="196"/>
        <v>0</v>
      </c>
      <c r="U334" s="104">
        <f t="shared" si="196"/>
        <v>0</v>
      </c>
      <c r="V334" s="104">
        <f t="shared" si="196"/>
        <v>360</v>
      </c>
      <c r="W334" s="104">
        <f t="shared" si="196"/>
        <v>0</v>
      </c>
      <c r="X334" s="104">
        <f t="shared" si="196"/>
        <v>0</v>
      </c>
      <c r="Y334" s="104">
        <f t="shared" si="196"/>
        <v>0</v>
      </c>
      <c r="Z334" s="104">
        <f t="shared" si="196"/>
        <v>0</v>
      </c>
      <c r="AA334" s="104">
        <f t="shared" si="196"/>
        <v>0</v>
      </c>
      <c r="AB334" s="104">
        <f t="shared" si="196"/>
        <v>0</v>
      </c>
      <c r="AC334" s="104">
        <f t="shared" si="196"/>
        <v>0</v>
      </c>
      <c r="AD334" s="104">
        <f t="shared" si="196"/>
        <v>4386.1000000000004</v>
      </c>
      <c r="AE334" s="104">
        <f t="shared" si="196"/>
        <v>0</v>
      </c>
      <c r="AF334" s="101"/>
      <c r="AG334" s="102">
        <f t="shared" si="84"/>
        <v>0</v>
      </c>
    </row>
    <row r="335" spans="1:42" x14ac:dyDescent="0.3">
      <c r="A335" s="147" t="s">
        <v>169</v>
      </c>
      <c r="B335" s="107">
        <f t="shared" ref="B335:E338" si="197">B341+B347</f>
        <v>0</v>
      </c>
      <c r="C335" s="107">
        <f t="shared" si="197"/>
        <v>0</v>
      </c>
      <c r="D335" s="107">
        <f t="shared" si="197"/>
        <v>0</v>
      </c>
      <c r="E335" s="107">
        <f t="shared" si="197"/>
        <v>0</v>
      </c>
      <c r="F335" s="107"/>
      <c r="G335" s="107"/>
      <c r="H335" s="107">
        <f t="shared" ref="H335:AE338" si="198">H341+H347</f>
        <v>0</v>
      </c>
      <c r="I335" s="107">
        <f t="shared" si="198"/>
        <v>0</v>
      </c>
      <c r="J335" s="107">
        <f t="shared" si="198"/>
        <v>0</v>
      </c>
      <c r="K335" s="107">
        <f t="shared" si="198"/>
        <v>0</v>
      </c>
      <c r="L335" s="107">
        <f t="shared" si="198"/>
        <v>0</v>
      </c>
      <c r="M335" s="107">
        <f t="shared" si="198"/>
        <v>0</v>
      </c>
      <c r="N335" s="107">
        <f t="shared" si="198"/>
        <v>0</v>
      </c>
      <c r="O335" s="107">
        <f t="shared" si="198"/>
        <v>0</v>
      </c>
      <c r="P335" s="107">
        <f t="shared" si="198"/>
        <v>0</v>
      </c>
      <c r="Q335" s="107">
        <f t="shared" si="198"/>
        <v>0</v>
      </c>
      <c r="R335" s="107">
        <f t="shared" si="198"/>
        <v>0</v>
      </c>
      <c r="S335" s="107">
        <f t="shared" si="198"/>
        <v>0</v>
      </c>
      <c r="T335" s="107">
        <f t="shared" si="198"/>
        <v>0</v>
      </c>
      <c r="U335" s="107">
        <f t="shared" si="198"/>
        <v>0</v>
      </c>
      <c r="V335" s="107">
        <f t="shared" si="198"/>
        <v>0</v>
      </c>
      <c r="W335" s="107">
        <f t="shared" si="198"/>
        <v>0</v>
      </c>
      <c r="X335" s="107">
        <f t="shared" si="198"/>
        <v>0</v>
      </c>
      <c r="Y335" s="107">
        <f>Y341+Y347</f>
        <v>0</v>
      </c>
      <c r="Z335" s="107">
        <f t="shared" ref="Z335:AE335" si="199">Z341+Z347</f>
        <v>0</v>
      </c>
      <c r="AA335" s="107">
        <f t="shared" si="199"/>
        <v>0</v>
      </c>
      <c r="AB335" s="107">
        <f t="shared" si="199"/>
        <v>0</v>
      </c>
      <c r="AC335" s="107">
        <f t="shared" si="199"/>
        <v>0</v>
      </c>
      <c r="AD335" s="107">
        <f t="shared" si="199"/>
        <v>0</v>
      </c>
      <c r="AE335" s="107">
        <f t="shared" si="199"/>
        <v>0</v>
      </c>
      <c r="AF335" s="101"/>
      <c r="AG335" s="102">
        <f t="shared" si="84"/>
        <v>0</v>
      </c>
    </row>
    <row r="336" spans="1:42" x14ac:dyDescent="0.3">
      <c r="A336" s="147" t="s">
        <v>32</v>
      </c>
      <c r="B336" s="107">
        <f t="shared" si="197"/>
        <v>2189</v>
      </c>
      <c r="C336" s="107">
        <f t="shared" si="197"/>
        <v>0</v>
      </c>
      <c r="D336" s="107">
        <f t="shared" si="197"/>
        <v>824</v>
      </c>
      <c r="E336" s="107">
        <f t="shared" si="197"/>
        <v>824</v>
      </c>
      <c r="F336" s="107"/>
      <c r="G336" s="107"/>
      <c r="H336" s="107">
        <f t="shared" si="198"/>
        <v>0</v>
      </c>
      <c r="I336" s="107">
        <f t="shared" si="198"/>
        <v>0</v>
      </c>
      <c r="J336" s="107">
        <f t="shared" si="198"/>
        <v>0</v>
      </c>
      <c r="K336" s="107">
        <f t="shared" si="198"/>
        <v>0</v>
      </c>
      <c r="L336" s="107">
        <f t="shared" si="198"/>
        <v>1829</v>
      </c>
      <c r="M336" s="107">
        <f t="shared" si="198"/>
        <v>824</v>
      </c>
      <c r="N336" s="107">
        <f t="shared" si="198"/>
        <v>0</v>
      </c>
      <c r="O336" s="107">
        <f t="shared" si="198"/>
        <v>0</v>
      </c>
      <c r="P336" s="107">
        <f t="shared" si="198"/>
        <v>0</v>
      </c>
      <c r="Q336" s="107">
        <f t="shared" si="198"/>
        <v>0</v>
      </c>
      <c r="R336" s="107">
        <f t="shared" si="198"/>
        <v>0</v>
      </c>
      <c r="S336" s="107">
        <f t="shared" si="198"/>
        <v>0</v>
      </c>
      <c r="T336" s="107">
        <f t="shared" si="198"/>
        <v>0</v>
      </c>
      <c r="U336" s="107">
        <f t="shared" si="198"/>
        <v>0</v>
      </c>
      <c r="V336" s="107">
        <f t="shared" si="198"/>
        <v>360</v>
      </c>
      <c r="W336" s="107">
        <f t="shared" si="198"/>
        <v>0</v>
      </c>
      <c r="X336" s="107">
        <f t="shared" si="198"/>
        <v>0</v>
      </c>
      <c r="Y336" s="107">
        <f t="shared" si="198"/>
        <v>0</v>
      </c>
      <c r="Z336" s="107">
        <f t="shared" si="198"/>
        <v>0</v>
      </c>
      <c r="AA336" s="107">
        <f t="shared" si="198"/>
        <v>0</v>
      </c>
      <c r="AB336" s="107">
        <f t="shared" si="198"/>
        <v>0</v>
      </c>
      <c r="AC336" s="107">
        <f t="shared" si="198"/>
        <v>0</v>
      </c>
      <c r="AD336" s="107">
        <f t="shared" si="198"/>
        <v>0</v>
      </c>
      <c r="AE336" s="107">
        <f t="shared" si="198"/>
        <v>0</v>
      </c>
      <c r="AF336" s="101"/>
      <c r="AG336" s="102">
        <f t="shared" si="84"/>
        <v>0</v>
      </c>
    </row>
    <row r="337" spans="1:33" x14ac:dyDescent="0.3">
      <c r="A337" s="147" t="s">
        <v>33</v>
      </c>
      <c r="B337" s="107">
        <f t="shared" si="197"/>
        <v>4386.1000000000004</v>
      </c>
      <c r="C337" s="107">
        <f t="shared" si="197"/>
        <v>0</v>
      </c>
      <c r="D337" s="107">
        <f t="shared" si="197"/>
        <v>0</v>
      </c>
      <c r="E337" s="107">
        <f t="shared" si="197"/>
        <v>0</v>
      </c>
      <c r="F337" s="107">
        <f>IFERROR(E337/B337*100,0)</f>
        <v>0</v>
      </c>
      <c r="G337" s="107">
        <f>IFERROR(E337/C337*100,0)</f>
        <v>0</v>
      </c>
      <c r="H337" s="107">
        <f t="shared" si="198"/>
        <v>0</v>
      </c>
      <c r="I337" s="107">
        <f t="shared" si="198"/>
        <v>0</v>
      </c>
      <c r="J337" s="107">
        <f t="shared" si="198"/>
        <v>0</v>
      </c>
      <c r="K337" s="107">
        <f t="shared" si="198"/>
        <v>0</v>
      </c>
      <c r="L337" s="107">
        <f t="shared" si="198"/>
        <v>0</v>
      </c>
      <c r="M337" s="107">
        <f t="shared" si="198"/>
        <v>0</v>
      </c>
      <c r="N337" s="107">
        <f t="shared" si="198"/>
        <v>0</v>
      </c>
      <c r="O337" s="107">
        <f t="shared" si="198"/>
        <v>0</v>
      </c>
      <c r="P337" s="107">
        <f t="shared" si="198"/>
        <v>0</v>
      </c>
      <c r="Q337" s="107">
        <f t="shared" si="198"/>
        <v>0</v>
      </c>
      <c r="R337" s="107">
        <f t="shared" si="198"/>
        <v>0</v>
      </c>
      <c r="S337" s="107">
        <f t="shared" si="198"/>
        <v>0</v>
      </c>
      <c r="T337" s="107">
        <f t="shared" si="198"/>
        <v>0</v>
      </c>
      <c r="U337" s="107">
        <f t="shared" si="198"/>
        <v>0</v>
      </c>
      <c r="V337" s="107">
        <f t="shared" si="198"/>
        <v>0</v>
      </c>
      <c r="W337" s="107">
        <f t="shared" si="198"/>
        <v>0</v>
      </c>
      <c r="X337" s="107">
        <f t="shared" si="198"/>
        <v>0</v>
      </c>
      <c r="Y337" s="107">
        <f t="shared" si="198"/>
        <v>0</v>
      </c>
      <c r="Z337" s="107">
        <f t="shared" si="198"/>
        <v>0</v>
      </c>
      <c r="AA337" s="107">
        <f t="shared" si="198"/>
        <v>0</v>
      </c>
      <c r="AB337" s="107">
        <f t="shared" si="198"/>
        <v>0</v>
      </c>
      <c r="AC337" s="107">
        <f t="shared" si="198"/>
        <v>0</v>
      </c>
      <c r="AD337" s="107">
        <f t="shared" si="198"/>
        <v>4386.1000000000004</v>
      </c>
      <c r="AE337" s="107">
        <f t="shared" si="198"/>
        <v>0</v>
      </c>
      <c r="AF337" s="101"/>
      <c r="AG337" s="102">
        <f t="shared" si="84"/>
        <v>0</v>
      </c>
    </row>
    <row r="338" spans="1:33" x14ac:dyDescent="0.3">
      <c r="A338" s="147" t="s">
        <v>170</v>
      </c>
      <c r="B338" s="107">
        <f t="shared" si="197"/>
        <v>0</v>
      </c>
      <c r="C338" s="107">
        <f t="shared" si="197"/>
        <v>0</v>
      </c>
      <c r="D338" s="107">
        <f t="shared" si="197"/>
        <v>0</v>
      </c>
      <c r="E338" s="107">
        <f t="shared" si="197"/>
        <v>0</v>
      </c>
      <c r="F338" s="107"/>
      <c r="G338" s="107"/>
      <c r="H338" s="107">
        <f t="shared" si="198"/>
        <v>0</v>
      </c>
      <c r="I338" s="107">
        <f t="shared" si="198"/>
        <v>0</v>
      </c>
      <c r="J338" s="107">
        <f t="shared" si="198"/>
        <v>0</v>
      </c>
      <c r="K338" s="107">
        <f t="shared" si="198"/>
        <v>0</v>
      </c>
      <c r="L338" s="107">
        <f t="shared" si="198"/>
        <v>0</v>
      </c>
      <c r="M338" s="107">
        <f t="shared" si="198"/>
        <v>0</v>
      </c>
      <c r="N338" s="107">
        <f t="shared" si="198"/>
        <v>0</v>
      </c>
      <c r="O338" s="107">
        <f t="shared" si="198"/>
        <v>0</v>
      </c>
      <c r="P338" s="107">
        <f t="shared" si="198"/>
        <v>0</v>
      </c>
      <c r="Q338" s="107">
        <f t="shared" si="198"/>
        <v>0</v>
      </c>
      <c r="R338" s="107">
        <f t="shared" si="198"/>
        <v>0</v>
      </c>
      <c r="S338" s="107">
        <f t="shared" si="198"/>
        <v>0</v>
      </c>
      <c r="T338" s="107">
        <f t="shared" si="198"/>
        <v>0</v>
      </c>
      <c r="U338" s="107">
        <f t="shared" si="198"/>
        <v>0</v>
      </c>
      <c r="V338" s="107">
        <f t="shared" si="198"/>
        <v>0</v>
      </c>
      <c r="W338" s="107">
        <f t="shared" si="198"/>
        <v>0</v>
      </c>
      <c r="X338" s="107">
        <f t="shared" si="198"/>
        <v>0</v>
      </c>
      <c r="Y338" s="107">
        <f t="shared" si="198"/>
        <v>0</v>
      </c>
      <c r="Z338" s="107">
        <f t="shared" si="198"/>
        <v>0</v>
      </c>
      <c r="AA338" s="107">
        <f t="shared" si="198"/>
        <v>0</v>
      </c>
      <c r="AB338" s="107">
        <f t="shared" si="198"/>
        <v>0</v>
      </c>
      <c r="AC338" s="107">
        <f t="shared" si="198"/>
        <v>0</v>
      </c>
      <c r="AD338" s="107">
        <f t="shared" si="198"/>
        <v>0</v>
      </c>
      <c r="AE338" s="107">
        <f t="shared" si="198"/>
        <v>0</v>
      </c>
      <c r="AF338" s="101"/>
      <c r="AG338" s="102">
        <f t="shared" si="84"/>
        <v>0</v>
      </c>
    </row>
    <row r="339" spans="1:33" ht="40.5" customHeight="1" x14ac:dyDescent="0.3">
      <c r="A339" s="108" t="s">
        <v>326</v>
      </c>
      <c r="B339" s="109"/>
      <c r="C339" s="110"/>
      <c r="D339" s="110"/>
      <c r="E339" s="110"/>
      <c r="F339" s="110"/>
      <c r="G339" s="110"/>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29"/>
      <c r="AG339" s="102">
        <f t="shared" si="84"/>
        <v>0</v>
      </c>
    </row>
    <row r="340" spans="1:33" x14ac:dyDescent="0.3">
      <c r="A340" s="112" t="s">
        <v>31</v>
      </c>
      <c r="B340" s="113">
        <f>B342+B343+B341+B344</f>
        <v>2189</v>
      </c>
      <c r="C340" s="113">
        <f>C342+C343+C341+C344</f>
        <v>0</v>
      </c>
      <c r="D340" s="114">
        <f>D342+D343+D341+D344</f>
        <v>824</v>
      </c>
      <c r="E340" s="113">
        <f>E342+E343+E341+E344</f>
        <v>824</v>
      </c>
      <c r="F340" s="113">
        <f>IFERROR(E340/B340*100,0)</f>
        <v>37.64275925079945</v>
      </c>
      <c r="G340" s="113">
        <f>IFERROR(E340/C340*100,0)</f>
        <v>0</v>
      </c>
      <c r="H340" s="113">
        <f t="shared" ref="H340:AE340" si="200">H342+H343+H341+H344</f>
        <v>0</v>
      </c>
      <c r="I340" s="113">
        <f t="shared" si="200"/>
        <v>0</v>
      </c>
      <c r="J340" s="113">
        <f t="shared" si="200"/>
        <v>0</v>
      </c>
      <c r="K340" s="113">
        <f t="shared" si="200"/>
        <v>0</v>
      </c>
      <c r="L340" s="113">
        <f t="shared" si="200"/>
        <v>1829</v>
      </c>
      <c r="M340" s="113">
        <f t="shared" si="200"/>
        <v>824</v>
      </c>
      <c r="N340" s="113">
        <f t="shared" si="200"/>
        <v>0</v>
      </c>
      <c r="O340" s="113">
        <f t="shared" si="200"/>
        <v>0</v>
      </c>
      <c r="P340" s="113">
        <f t="shared" si="200"/>
        <v>0</v>
      </c>
      <c r="Q340" s="113">
        <f t="shared" si="200"/>
        <v>0</v>
      </c>
      <c r="R340" s="113">
        <f t="shared" si="200"/>
        <v>0</v>
      </c>
      <c r="S340" s="113">
        <f t="shared" si="200"/>
        <v>0</v>
      </c>
      <c r="T340" s="113">
        <f t="shared" si="200"/>
        <v>0</v>
      </c>
      <c r="U340" s="113">
        <f t="shared" si="200"/>
        <v>0</v>
      </c>
      <c r="V340" s="113">
        <f t="shared" si="200"/>
        <v>360</v>
      </c>
      <c r="W340" s="113">
        <f t="shared" si="200"/>
        <v>0</v>
      </c>
      <c r="X340" s="113">
        <f t="shared" si="200"/>
        <v>0</v>
      </c>
      <c r="Y340" s="113">
        <f t="shared" si="200"/>
        <v>0</v>
      </c>
      <c r="Z340" s="113">
        <f t="shared" si="200"/>
        <v>0</v>
      </c>
      <c r="AA340" s="113">
        <f t="shared" si="200"/>
        <v>0</v>
      </c>
      <c r="AB340" s="113">
        <f t="shared" si="200"/>
        <v>0</v>
      </c>
      <c r="AC340" s="113">
        <f t="shared" si="200"/>
        <v>0</v>
      </c>
      <c r="AD340" s="113">
        <f t="shared" si="200"/>
        <v>0</v>
      </c>
      <c r="AE340" s="113">
        <f t="shared" si="200"/>
        <v>0</v>
      </c>
      <c r="AF340" s="29"/>
      <c r="AG340" s="102">
        <f t="shared" si="84"/>
        <v>0</v>
      </c>
    </row>
    <row r="341" spans="1:33" x14ac:dyDescent="0.3">
      <c r="A341" s="115" t="s">
        <v>169</v>
      </c>
      <c r="B341" s="116">
        <f>J341+L341+N341+P341+R341+T341+V341+X341+Z341+AB341+AD341+H341</f>
        <v>0</v>
      </c>
      <c r="C341" s="117">
        <f>SUM(H341)</f>
        <v>0</v>
      </c>
      <c r="D341" s="118">
        <f>E341</f>
        <v>0</v>
      </c>
      <c r="E341" s="117">
        <f>SUM(I341,K341,M341,O341,Q341,S341,U341,W341,Y341,AA341,AC341,AE341)</f>
        <v>0</v>
      </c>
      <c r="F341" s="116">
        <f>IFERROR(E341/B341*100,0)</f>
        <v>0</v>
      </c>
      <c r="G341" s="116">
        <f>IFERROR(E341/C341*100,0)</f>
        <v>0</v>
      </c>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29"/>
      <c r="AG341" s="102">
        <f t="shared" si="84"/>
        <v>0</v>
      </c>
    </row>
    <row r="342" spans="1:33" x14ac:dyDescent="0.3">
      <c r="A342" s="115" t="s">
        <v>32</v>
      </c>
      <c r="B342" s="116">
        <f t="shared" ref="B342:B343" si="201">J342+L342+N342+P342+R342+T342+V342+X342+Z342+AB342+AD342+H342</f>
        <v>2189</v>
      </c>
      <c r="C342" s="117">
        <f>SUM(H342)</f>
        <v>0</v>
      </c>
      <c r="D342" s="118">
        <f>E342</f>
        <v>824</v>
      </c>
      <c r="E342" s="117">
        <f>SUM(I342,K342,M342,O342,Q342,S342,U342,W342,Y342,AA342,AC342,AE342)</f>
        <v>824</v>
      </c>
      <c r="F342" s="116">
        <f>IFERROR(E342/B342*100,0)</f>
        <v>37.64275925079945</v>
      </c>
      <c r="G342" s="116">
        <f>IFERROR(E342/C342*100,0)</f>
        <v>0</v>
      </c>
      <c r="H342" s="111"/>
      <c r="I342" s="111"/>
      <c r="J342" s="111"/>
      <c r="K342" s="111"/>
      <c r="L342" s="111">
        <v>1829</v>
      </c>
      <c r="M342" s="111">
        <v>824</v>
      </c>
      <c r="N342" s="111"/>
      <c r="O342" s="111"/>
      <c r="P342" s="111"/>
      <c r="Q342" s="111"/>
      <c r="R342" s="111"/>
      <c r="S342" s="111"/>
      <c r="T342" s="111"/>
      <c r="U342" s="111"/>
      <c r="V342" s="111">
        <v>360</v>
      </c>
      <c r="W342" s="111"/>
      <c r="X342" s="111"/>
      <c r="Y342" s="111"/>
      <c r="Z342" s="111"/>
      <c r="AA342" s="111"/>
      <c r="AB342" s="111"/>
      <c r="AC342" s="111"/>
      <c r="AD342" s="111"/>
      <c r="AE342" s="111"/>
      <c r="AF342" s="29"/>
      <c r="AG342" s="102">
        <f t="shared" si="84"/>
        <v>0</v>
      </c>
    </row>
    <row r="343" spans="1:33" x14ac:dyDescent="0.3">
      <c r="A343" s="115" t="s">
        <v>33</v>
      </c>
      <c r="B343" s="116">
        <f t="shared" si="201"/>
        <v>0</v>
      </c>
      <c r="C343" s="117">
        <f>SUM(H343)</f>
        <v>0</v>
      </c>
      <c r="D343" s="118">
        <f>E343</f>
        <v>0</v>
      </c>
      <c r="E343" s="117">
        <f>SUM(I343,K343,M343,O343,Q343,S343,U343,W343,Y343,AA343,AC343,AE343)</f>
        <v>0</v>
      </c>
      <c r="F343" s="116">
        <f>IFERROR(E343/B343*100,0)</f>
        <v>0</v>
      </c>
      <c r="G343" s="116">
        <f>IFERROR(E343/C343*100,0)</f>
        <v>0</v>
      </c>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29"/>
      <c r="AG343" s="102">
        <f t="shared" si="84"/>
        <v>0</v>
      </c>
    </row>
    <row r="344" spans="1:33" x14ac:dyDescent="0.3">
      <c r="A344" s="115" t="s">
        <v>170</v>
      </c>
      <c r="B344" s="116"/>
      <c r="C344" s="117"/>
      <c r="D344" s="118"/>
      <c r="E344" s="117"/>
      <c r="F344" s="116"/>
      <c r="G344" s="116"/>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29"/>
      <c r="AG344" s="102">
        <f t="shared" si="84"/>
        <v>0</v>
      </c>
    </row>
    <row r="345" spans="1:33" ht="40.5" customHeight="1" x14ac:dyDescent="0.3">
      <c r="A345" s="108" t="s">
        <v>327</v>
      </c>
      <c r="B345" s="109"/>
      <c r="C345" s="110"/>
      <c r="D345" s="110"/>
      <c r="E345" s="110"/>
      <c r="F345" s="110"/>
      <c r="G345" s="110"/>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29"/>
      <c r="AG345" s="102">
        <f t="shared" si="84"/>
        <v>0</v>
      </c>
    </row>
    <row r="346" spans="1:33" x14ac:dyDescent="0.3">
      <c r="A346" s="112" t="s">
        <v>31</v>
      </c>
      <c r="B346" s="113">
        <f>B348+B349+B347+B350</f>
        <v>4386.1000000000004</v>
      </c>
      <c r="C346" s="113">
        <f>C348+C349+C347+C350</f>
        <v>0</v>
      </c>
      <c r="D346" s="114">
        <f>D348+D349+D347+D350</f>
        <v>0</v>
      </c>
      <c r="E346" s="113">
        <f>E348+E349+E347+E350</f>
        <v>0</v>
      </c>
      <c r="F346" s="113">
        <f>IFERROR(E346/B346*100,0)</f>
        <v>0</v>
      </c>
      <c r="G346" s="113">
        <f>IFERROR(E346/C346*100,0)</f>
        <v>0</v>
      </c>
      <c r="H346" s="113">
        <f t="shared" ref="H346:AE346" si="202">H348+H349+H347+H350</f>
        <v>0</v>
      </c>
      <c r="I346" s="113">
        <f t="shared" si="202"/>
        <v>0</v>
      </c>
      <c r="J346" s="113">
        <f t="shared" si="202"/>
        <v>0</v>
      </c>
      <c r="K346" s="113">
        <f t="shared" si="202"/>
        <v>0</v>
      </c>
      <c r="L346" s="113">
        <f t="shared" si="202"/>
        <v>0</v>
      </c>
      <c r="M346" s="113">
        <f t="shared" si="202"/>
        <v>0</v>
      </c>
      <c r="N346" s="113">
        <f t="shared" si="202"/>
        <v>0</v>
      </c>
      <c r="O346" s="113">
        <f t="shared" si="202"/>
        <v>0</v>
      </c>
      <c r="P346" s="113">
        <f t="shared" si="202"/>
        <v>0</v>
      </c>
      <c r="Q346" s="113">
        <f t="shared" si="202"/>
        <v>0</v>
      </c>
      <c r="R346" s="113">
        <f t="shared" si="202"/>
        <v>0</v>
      </c>
      <c r="S346" s="113">
        <f t="shared" si="202"/>
        <v>0</v>
      </c>
      <c r="T346" s="113">
        <f t="shared" si="202"/>
        <v>0</v>
      </c>
      <c r="U346" s="113">
        <f t="shared" si="202"/>
        <v>0</v>
      </c>
      <c r="V346" s="113">
        <f t="shared" si="202"/>
        <v>0</v>
      </c>
      <c r="W346" s="113">
        <f t="shared" si="202"/>
        <v>0</v>
      </c>
      <c r="X346" s="113">
        <f t="shared" si="202"/>
        <v>0</v>
      </c>
      <c r="Y346" s="113">
        <f t="shared" si="202"/>
        <v>0</v>
      </c>
      <c r="Z346" s="113">
        <f t="shared" si="202"/>
        <v>0</v>
      </c>
      <c r="AA346" s="113">
        <f t="shared" si="202"/>
        <v>0</v>
      </c>
      <c r="AB346" s="113">
        <f t="shared" si="202"/>
        <v>0</v>
      </c>
      <c r="AC346" s="113">
        <f t="shared" si="202"/>
        <v>0</v>
      </c>
      <c r="AD346" s="113">
        <f t="shared" si="202"/>
        <v>4386.1000000000004</v>
      </c>
      <c r="AE346" s="113">
        <f t="shared" si="202"/>
        <v>0</v>
      </c>
      <c r="AF346" s="29"/>
      <c r="AG346" s="102">
        <f t="shared" si="84"/>
        <v>0</v>
      </c>
    </row>
    <row r="347" spans="1:33" x14ac:dyDescent="0.3">
      <c r="A347" s="115" t="s">
        <v>169</v>
      </c>
      <c r="B347" s="116">
        <f t="shared" ref="B347:B349" si="203">J347+L347+N347+P347+R347+T347+V347+X347+Z347+AB347+AD347+H347</f>
        <v>0</v>
      </c>
      <c r="C347" s="117">
        <f>SUM(H347)</f>
        <v>0</v>
      </c>
      <c r="D347" s="118">
        <f>E347</f>
        <v>0</v>
      </c>
      <c r="E347" s="117">
        <f>SUM(I347,K347,M347,O347,Q347,S347,U347,W347,Y347,AA347,AC347,AE347)</f>
        <v>0</v>
      </c>
      <c r="F347" s="116">
        <f>IFERROR(E347/B347*100,0)</f>
        <v>0</v>
      </c>
      <c r="G347" s="116">
        <f>IFERROR(E347/C347*100,0)</f>
        <v>0</v>
      </c>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29"/>
      <c r="AG347" s="102">
        <f t="shared" si="84"/>
        <v>0</v>
      </c>
    </row>
    <row r="348" spans="1:33" x14ac:dyDescent="0.3">
      <c r="A348" s="115" t="s">
        <v>32</v>
      </c>
      <c r="B348" s="116">
        <f t="shared" si="203"/>
        <v>0</v>
      </c>
      <c r="C348" s="117">
        <f>SUM(H348)</f>
        <v>0</v>
      </c>
      <c r="D348" s="118">
        <f>E348</f>
        <v>0</v>
      </c>
      <c r="E348" s="117">
        <f>SUM(I348,K348,M348,O348,Q348,S348,U348,W348,Y348,AA348,AC348,AE348)</f>
        <v>0</v>
      </c>
      <c r="F348" s="116">
        <f>IFERROR(E348/B348*100,0)</f>
        <v>0</v>
      </c>
      <c r="G348" s="116">
        <f>IFERROR(E348/C348*100,0)</f>
        <v>0</v>
      </c>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29"/>
      <c r="AG348" s="102">
        <f t="shared" si="84"/>
        <v>0</v>
      </c>
    </row>
    <row r="349" spans="1:33" x14ac:dyDescent="0.3">
      <c r="A349" s="115" t="s">
        <v>33</v>
      </c>
      <c r="B349" s="642">
        <f t="shared" si="203"/>
        <v>4386.1000000000004</v>
      </c>
      <c r="C349" s="117">
        <f>SUM(H349)</f>
        <v>0</v>
      </c>
      <c r="D349" s="118">
        <f>E349</f>
        <v>0</v>
      </c>
      <c r="E349" s="117">
        <f>SUM(I349,K349,M349,O349,Q349,S349,U349,W349,Y349,AA349,AC349,AE349)</f>
        <v>0</v>
      </c>
      <c r="F349" s="116">
        <f>IFERROR(E349/B349*100,0)</f>
        <v>0</v>
      </c>
      <c r="G349" s="116">
        <f>IFERROR(E349/C349*100,0)</f>
        <v>0</v>
      </c>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v>4386.1000000000004</v>
      </c>
      <c r="AE349" s="111"/>
      <c r="AF349" s="29"/>
      <c r="AG349" s="102">
        <f t="shared" si="84"/>
        <v>0</v>
      </c>
    </row>
    <row r="350" spans="1:33" x14ac:dyDescent="0.3">
      <c r="A350" s="115" t="s">
        <v>170</v>
      </c>
      <c r="B350" s="116"/>
      <c r="C350" s="117"/>
      <c r="D350" s="118"/>
      <c r="E350" s="117"/>
      <c r="F350" s="116"/>
      <c r="G350" s="116"/>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29"/>
      <c r="AG350" s="102">
        <f t="shared" si="84"/>
        <v>0</v>
      </c>
    </row>
    <row r="351" spans="1:33" x14ac:dyDescent="0.3">
      <c r="A351" s="149" t="s">
        <v>217</v>
      </c>
      <c r="B351" s="150">
        <f>B352+B353+B354+B355</f>
        <v>4818947.1654300001</v>
      </c>
      <c r="C351" s="861">
        <f>C352+C353+C354</f>
        <v>897679.30796000012</v>
      </c>
      <c r="D351" s="150">
        <f>D352+D353+D354</f>
        <v>900719.94700000016</v>
      </c>
      <c r="E351" s="150">
        <f>E352+E353+E354</f>
        <v>900719.16500000004</v>
      </c>
      <c r="F351" s="150">
        <f t="shared" ref="F351:F365" si="204">IFERROR(E351/B351*100,0)</f>
        <v>18.691202332774026</v>
      </c>
      <c r="G351" s="150">
        <f t="shared" ref="G351:G365" si="205">IFERROR(E351/C351*100,0)</f>
        <v>100.33863507970435</v>
      </c>
      <c r="H351" s="861">
        <f t="shared" ref="H351:AE351" si="206">H352+H353+H354+H355</f>
        <v>260176.51190999997</v>
      </c>
      <c r="I351" s="150">
        <f t="shared" si="206"/>
        <v>109716.07</v>
      </c>
      <c r="J351" s="861">
        <f t="shared" si="206"/>
        <v>340233.04641000007</v>
      </c>
      <c r="K351" s="150">
        <f t="shared" si="206"/>
        <v>311065.93700000003</v>
      </c>
      <c r="L351" s="861">
        <f t="shared" si="206"/>
        <v>300209.85005000001</v>
      </c>
      <c r="M351" s="150">
        <f t="shared" si="206"/>
        <v>256481.04800000001</v>
      </c>
      <c r="N351" s="861">
        <f t="shared" si="206"/>
        <v>360377.61346000002</v>
      </c>
      <c r="O351" s="150">
        <f t="shared" si="206"/>
        <v>230797.11</v>
      </c>
      <c r="P351" s="861">
        <f t="shared" si="206"/>
        <v>635212.55587000004</v>
      </c>
      <c r="Q351" s="150">
        <f t="shared" si="206"/>
        <v>0</v>
      </c>
      <c r="R351" s="861">
        <f t="shared" si="206"/>
        <v>286828.59061000001</v>
      </c>
      <c r="S351" s="150">
        <f t="shared" si="206"/>
        <v>0</v>
      </c>
      <c r="T351" s="861">
        <f t="shared" si="206"/>
        <v>274831.10187000001</v>
      </c>
      <c r="U351" s="150">
        <f t="shared" si="206"/>
        <v>0</v>
      </c>
      <c r="V351" s="861">
        <f t="shared" si="206"/>
        <v>188111.02151999998</v>
      </c>
      <c r="W351" s="150">
        <f t="shared" si="206"/>
        <v>0</v>
      </c>
      <c r="X351" s="861">
        <f t="shared" si="206"/>
        <v>261954.63764999999</v>
      </c>
      <c r="Y351" s="150">
        <f t="shared" si="206"/>
        <v>0</v>
      </c>
      <c r="Z351" s="861">
        <f t="shared" si="206"/>
        <v>244996.77558000002</v>
      </c>
      <c r="AA351" s="150">
        <f t="shared" si="206"/>
        <v>0</v>
      </c>
      <c r="AB351" s="861">
        <f t="shared" si="206"/>
        <v>304559.98352000001</v>
      </c>
      <c r="AC351" s="150">
        <f t="shared" si="206"/>
        <v>0</v>
      </c>
      <c r="AD351" s="861">
        <f t="shared" si="206"/>
        <v>1361455.47698</v>
      </c>
      <c r="AE351" s="150">
        <f t="shared" si="206"/>
        <v>0</v>
      </c>
      <c r="AF351" s="150"/>
      <c r="AG351" s="102">
        <f>B351-H351-J351-L351-N351-P351-R351-T351-V351-X351-Z351-AB351-AD351</f>
        <v>0</v>
      </c>
    </row>
    <row r="352" spans="1:33" x14ac:dyDescent="0.3">
      <c r="A352" s="151" t="s">
        <v>169</v>
      </c>
      <c r="B352" s="850">
        <f t="shared" ref="B352:E354" si="207">B13+B25+B32+B62+B80+B128+B149+B163+B175+B188+B206+B236+B256+B268+B275+B299+B335</f>
        <v>296796.00636999996</v>
      </c>
      <c r="C352" s="152">
        <f t="shared" si="207"/>
        <v>19366.21</v>
      </c>
      <c r="D352" s="152">
        <f t="shared" si="207"/>
        <v>31225.86</v>
      </c>
      <c r="E352" s="152">
        <f t="shared" si="207"/>
        <v>31225.86</v>
      </c>
      <c r="F352" s="152">
        <f t="shared" si="204"/>
        <v>10.520983884490805</v>
      </c>
      <c r="G352" s="152">
        <f t="shared" si="205"/>
        <v>161.23887947099612</v>
      </c>
      <c r="H352" s="152">
        <f t="shared" ref="H352:AE352" si="208">H13+H25+H32+H62+H80+H128+H149+H163+H175+H188+H206+H236+H256+H268+H275+H299+H335</f>
        <v>5384.18</v>
      </c>
      <c r="I352" s="152">
        <f t="shared" si="208"/>
        <v>5314.2000000000007</v>
      </c>
      <c r="J352" s="152">
        <f t="shared" si="208"/>
        <v>6807.63</v>
      </c>
      <c r="K352" s="152">
        <f t="shared" si="208"/>
        <v>6685.9</v>
      </c>
      <c r="L352" s="152">
        <f t="shared" si="208"/>
        <v>7174.4</v>
      </c>
      <c r="M352" s="152">
        <f t="shared" si="208"/>
        <v>7158.7599999999993</v>
      </c>
      <c r="N352" s="152">
        <f t="shared" si="208"/>
        <v>24980.885060000001</v>
      </c>
      <c r="O352" s="152">
        <f t="shared" si="208"/>
        <v>12067</v>
      </c>
      <c r="P352" s="152">
        <f t="shared" si="208"/>
        <v>67628.965630000006</v>
      </c>
      <c r="Q352" s="152">
        <f t="shared" si="208"/>
        <v>0</v>
      </c>
      <c r="R352" s="152">
        <f t="shared" si="208"/>
        <v>21479.616099999999</v>
      </c>
      <c r="S352" s="152">
        <f t="shared" si="208"/>
        <v>0</v>
      </c>
      <c r="T352" s="152">
        <f t="shared" si="208"/>
        <v>22940.441790000001</v>
      </c>
      <c r="U352" s="152">
        <f t="shared" si="208"/>
        <v>0</v>
      </c>
      <c r="V352" s="152">
        <f t="shared" si="208"/>
        <v>23801.121789999997</v>
      </c>
      <c r="W352" s="152">
        <f t="shared" si="208"/>
        <v>0</v>
      </c>
      <c r="X352" s="152">
        <f t="shared" si="208"/>
        <v>36857.381459999997</v>
      </c>
      <c r="Y352" s="152">
        <f t="shared" si="208"/>
        <v>0</v>
      </c>
      <c r="Z352" s="152">
        <f t="shared" si="208"/>
        <v>28727.213489999998</v>
      </c>
      <c r="AA352" s="152">
        <f t="shared" si="208"/>
        <v>0</v>
      </c>
      <c r="AB352" s="152">
        <f t="shared" si="208"/>
        <v>48306.356160000003</v>
      </c>
      <c r="AC352" s="152">
        <f t="shared" si="208"/>
        <v>0</v>
      </c>
      <c r="AD352" s="152">
        <f t="shared" si="208"/>
        <v>2707.8148900000001</v>
      </c>
      <c r="AE352" s="152">
        <f t="shared" si="208"/>
        <v>0</v>
      </c>
      <c r="AF352" s="152"/>
      <c r="AG352" s="102">
        <f t="shared" si="84"/>
        <v>-5.6843418860808015E-11</v>
      </c>
    </row>
    <row r="353" spans="1:33" x14ac:dyDescent="0.3">
      <c r="A353" s="151" t="s">
        <v>32</v>
      </c>
      <c r="B353" s="850">
        <f t="shared" si="207"/>
        <v>3284282.3965800004</v>
      </c>
      <c r="C353" s="152">
        <f t="shared" si="207"/>
        <v>639490.22558000009</v>
      </c>
      <c r="D353" s="152">
        <f t="shared" si="207"/>
        <v>599895.08000000007</v>
      </c>
      <c r="E353" s="152">
        <f t="shared" si="207"/>
        <v>599895.06000000006</v>
      </c>
      <c r="F353" s="152">
        <f t="shared" si="204"/>
        <v>18.265635763376643</v>
      </c>
      <c r="G353" s="152">
        <f t="shared" si="205"/>
        <v>93.808323568340967</v>
      </c>
      <c r="H353" s="152">
        <f t="shared" ref="H353:AE353" si="209">H14+H26+H33+H63+H81+H129+H150+H164+H176+H189+H207+H237+H257+H269+H276+H300+H336</f>
        <v>181751.87999999998</v>
      </c>
      <c r="I353" s="152">
        <f t="shared" si="209"/>
        <v>39614.799999999996</v>
      </c>
      <c r="J353" s="152">
        <f t="shared" si="209"/>
        <v>240841.75979000004</v>
      </c>
      <c r="K353" s="152">
        <f t="shared" si="209"/>
        <v>212218.7</v>
      </c>
      <c r="L353" s="152">
        <f t="shared" si="209"/>
        <v>218725.58578999998</v>
      </c>
      <c r="M353" s="152">
        <f t="shared" si="209"/>
        <v>177509.57</v>
      </c>
      <c r="N353" s="152">
        <f t="shared" si="209"/>
        <v>266107.69417999999</v>
      </c>
      <c r="O353" s="152">
        <f t="shared" si="209"/>
        <v>170551.99</v>
      </c>
      <c r="P353" s="152">
        <f t="shared" si="209"/>
        <v>480808.43560999999</v>
      </c>
      <c r="Q353" s="152">
        <f t="shared" si="209"/>
        <v>0</v>
      </c>
      <c r="R353" s="152">
        <f t="shared" si="209"/>
        <v>206396.72319000002</v>
      </c>
      <c r="S353" s="152">
        <f t="shared" si="209"/>
        <v>0</v>
      </c>
      <c r="T353" s="152">
        <f t="shared" si="209"/>
        <v>161970.37736000001</v>
      </c>
      <c r="U353" s="152">
        <f t="shared" si="209"/>
        <v>0</v>
      </c>
      <c r="V353" s="152">
        <f t="shared" si="209"/>
        <v>123448.87250999999</v>
      </c>
      <c r="W353" s="152">
        <f t="shared" si="209"/>
        <v>0</v>
      </c>
      <c r="X353" s="152">
        <f t="shared" si="209"/>
        <v>181132.10047999999</v>
      </c>
      <c r="Y353" s="152">
        <f t="shared" si="209"/>
        <v>0</v>
      </c>
      <c r="Z353" s="152">
        <f t="shared" si="209"/>
        <v>167579.45949000001</v>
      </c>
      <c r="AA353" s="152">
        <f t="shared" si="209"/>
        <v>0</v>
      </c>
      <c r="AB353" s="152">
        <f t="shared" si="209"/>
        <v>196404.04902000001</v>
      </c>
      <c r="AC353" s="152">
        <f t="shared" si="209"/>
        <v>0</v>
      </c>
      <c r="AD353" s="152">
        <f t="shared" si="209"/>
        <v>859115.45916000009</v>
      </c>
      <c r="AE353" s="152">
        <f t="shared" si="209"/>
        <v>0</v>
      </c>
      <c r="AF353" s="152"/>
      <c r="AG353" s="102">
        <f t="shared" si="84"/>
        <v>0</v>
      </c>
    </row>
    <row r="354" spans="1:33" x14ac:dyDescent="0.3">
      <c r="A354" s="151" t="s">
        <v>33</v>
      </c>
      <c r="B354" s="850">
        <f t="shared" si="207"/>
        <v>900200.76247999992</v>
      </c>
      <c r="C354" s="152">
        <f t="shared" si="207"/>
        <v>238822.87238000002</v>
      </c>
      <c r="D354" s="152">
        <f t="shared" si="207"/>
        <v>269599.00700000004</v>
      </c>
      <c r="E354" s="152">
        <f t="shared" si="207"/>
        <v>269598.245</v>
      </c>
      <c r="F354" s="152">
        <f t="shared" si="204"/>
        <v>29.948679920829303</v>
      </c>
      <c r="G354" s="152">
        <f>IFERROR(E354/C354*100,0)</f>
        <v>112.88627521866171</v>
      </c>
      <c r="H354" s="152">
        <f t="shared" ref="H354:AE354" si="210">H15+H27+H34+H64+H82+H130+H151+H165+H177+H190+H208+H238+H258+H270+H277+H301+H337</f>
        <v>73040.451910000003</v>
      </c>
      <c r="I354" s="152">
        <f t="shared" si="210"/>
        <v>64787.07</v>
      </c>
      <c r="J354" s="152">
        <f t="shared" si="210"/>
        <v>92583.656619999994</v>
      </c>
      <c r="K354" s="152">
        <f t="shared" si="210"/>
        <v>92161.337</v>
      </c>
      <c r="L354" s="152">
        <f t="shared" si="210"/>
        <v>71079.864260000002</v>
      </c>
      <c r="M354" s="152">
        <f t="shared" si="210"/>
        <v>68582.717999999993</v>
      </c>
      <c r="N354" s="152">
        <f t="shared" si="210"/>
        <v>64817.534220000001</v>
      </c>
      <c r="O354" s="152">
        <f t="shared" si="210"/>
        <v>44067.119999999995</v>
      </c>
      <c r="P354" s="152">
        <f t="shared" si="210"/>
        <v>81075.15462999999</v>
      </c>
      <c r="Q354" s="152">
        <f t="shared" si="210"/>
        <v>0</v>
      </c>
      <c r="R354" s="152">
        <f t="shared" si="210"/>
        <v>58952.251320000003</v>
      </c>
      <c r="S354" s="152">
        <f t="shared" si="210"/>
        <v>0</v>
      </c>
      <c r="T354" s="152">
        <f t="shared" si="210"/>
        <v>89920.282719999988</v>
      </c>
      <c r="U354" s="152">
        <f t="shared" si="210"/>
        <v>0</v>
      </c>
      <c r="V354" s="152">
        <f t="shared" si="210"/>
        <v>40861.027219999996</v>
      </c>
      <c r="W354" s="152">
        <f t="shared" si="210"/>
        <v>0</v>
      </c>
      <c r="X354" s="152">
        <f t="shared" si="210"/>
        <v>43965.155709999999</v>
      </c>
      <c r="Y354" s="152">
        <f t="shared" si="210"/>
        <v>0</v>
      </c>
      <c r="Z354" s="152">
        <f t="shared" si="210"/>
        <v>48690.102599999998</v>
      </c>
      <c r="AA354" s="152">
        <f t="shared" si="210"/>
        <v>0</v>
      </c>
      <c r="AB354" s="152">
        <f t="shared" si="210"/>
        <v>49791.638339999998</v>
      </c>
      <c r="AC354" s="152">
        <f t="shared" si="210"/>
        <v>0</v>
      </c>
      <c r="AD354" s="152">
        <f t="shared" si="210"/>
        <v>185423.64293</v>
      </c>
      <c r="AE354" s="152">
        <f t="shared" si="210"/>
        <v>0</v>
      </c>
      <c r="AF354" s="152"/>
      <c r="AG354" s="102">
        <f t="shared" si="84"/>
        <v>0</v>
      </c>
    </row>
    <row r="355" spans="1:33" x14ac:dyDescent="0.3">
      <c r="A355" s="153" t="s">
        <v>170</v>
      </c>
      <c r="B355" s="850">
        <f>H355+J355+L355+N355+P355+R355+T355+V355+X355+AB355+AD355</f>
        <v>337668</v>
      </c>
      <c r="C355" s="152">
        <f>C16+C28+C35+C65+C83+C131+C152+C166+C178+C191+C209+C239+C259+C271+C278+C302+C338+C89</f>
        <v>7701.5</v>
      </c>
      <c r="D355" s="152">
        <f>D16+D28+D35+D65+D83+D131+D152+D166+D178+D191+D209+D239+D259+D271+D278+D302+D338</f>
        <v>7341</v>
      </c>
      <c r="E355" s="152">
        <f>E16+E28+E35+E65+E83+E131+E152+E166+E178+E191+E209+E239+E259+E271+E278+E302+E338</f>
        <v>7341</v>
      </c>
      <c r="F355" s="152">
        <f t="shared" si="204"/>
        <v>2.174028927822595</v>
      </c>
      <c r="G355" s="152">
        <f t="shared" si="205"/>
        <v>95.319093683048763</v>
      </c>
      <c r="H355" s="152">
        <f t="shared" ref="H355:AE355" si="211">H16+H28+H35+H65+H83+H131+H152+H166+H178+H191+H209+H239+H259+H271+H278+H302+H338</f>
        <v>0</v>
      </c>
      <c r="I355" s="152">
        <f t="shared" si="211"/>
        <v>0</v>
      </c>
      <c r="J355" s="152">
        <f t="shared" si="211"/>
        <v>0</v>
      </c>
      <c r="K355" s="152">
        <f t="shared" si="211"/>
        <v>0</v>
      </c>
      <c r="L355" s="152">
        <f t="shared" si="211"/>
        <v>3230</v>
      </c>
      <c r="M355" s="152">
        <f t="shared" si="211"/>
        <v>3230</v>
      </c>
      <c r="N355" s="152">
        <f t="shared" si="211"/>
        <v>4471.5</v>
      </c>
      <c r="O355" s="152">
        <f t="shared" si="211"/>
        <v>4111</v>
      </c>
      <c r="P355" s="152">
        <f t="shared" si="211"/>
        <v>5700</v>
      </c>
      <c r="Q355" s="152">
        <f t="shared" si="211"/>
        <v>0</v>
      </c>
      <c r="R355" s="152">
        <f t="shared" si="211"/>
        <v>0</v>
      </c>
      <c r="S355" s="152">
        <f t="shared" si="211"/>
        <v>0</v>
      </c>
      <c r="T355" s="152">
        <f t="shared" si="211"/>
        <v>0</v>
      </c>
      <c r="U355" s="152">
        <f t="shared" si="211"/>
        <v>0</v>
      </c>
      <c r="V355" s="152">
        <f t="shared" si="211"/>
        <v>0</v>
      </c>
      <c r="W355" s="152">
        <f t="shared" si="211"/>
        <v>0</v>
      </c>
      <c r="X355" s="152">
        <f t="shared" si="211"/>
        <v>0</v>
      </c>
      <c r="Y355" s="152">
        <f t="shared" si="211"/>
        <v>0</v>
      </c>
      <c r="Z355" s="152">
        <f t="shared" si="211"/>
        <v>0</v>
      </c>
      <c r="AA355" s="152">
        <f t="shared" si="211"/>
        <v>0</v>
      </c>
      <c r="AB355" s="152">
        <f t="shared" si="211"/>
        <v>10057.94</v>
      </c>
      <c r="AC355" s="152">
        <f t="shared" si="211"/>
        <v>0</v>
      </c>
      <c r="AD355" s="152">
        <f t="shared" si="211"/>
        <v>314208.56</v>
      </c>
      <c r="AE355" s="152">
        <f t="shared" si="211"/>
        <v>0</v>
      </c>
      <c r="AF355" s="152"/>
      <c r="AG355" s="102">
        <f t="shared" si="84"/>
        <v>0</v>
      </c>
    </row>
    <row r="356" spans="1:33" ht="37.5" x14ac:dyDescent="0.3">
      <c r="A356" s="149" t="s">
        <v>218</v>
      </c>
      <c r="B356" s="150">
        <f>B357+B358+B359+B360</f>
        <v>1652524.3287599999</v>
      </c>
      <c r="C356" s="150">
        <f>C357+C358+C359</f>
        <v>443.41300000000001</v>
      </c>
      <c r="D356" s="150">
        <f>D357+D358+D359</f>
        <v>443.40999999999997</v>
      </c>
      <c r="E356" s="150">
        <f>E357+E358+E359</f>
        <v>442.62799999999993</v>
      </c>
      <c r="F356" s="150">
        <f t="shared" si="204"/>
        <v>2.6784961183121184E-2</v>
      </c>
      <c r="G356" s="150">
        <f t="shared" si="205"/>
        <v>99.822964144037257</v>
      </c>
      <c r="H356" s="150">
        <f t="shared" ref="H356:AE356" si="212">H357+H358+H359+H360</f>
        <v>2</v>
      </c>
      <c r="I356" s="150">
        <f t="shared" si="212"/>
        <v>2</v>
      </c>
      <c r="J356" s="150">
        <f t="shared" si="212"/>
        <v>262.52300000000002</v>
      </c>
      <c r="K356" s="150">
        <f t="shared" si="212"/>
        <v>262.57</v>
      </c>
      <c r="L356" s="150">
        <f t="shared" si="212"/>
        <v>178.89000000000001</v>
      </c>
      <c r="M356" s="150">
        <f t="shared" si="212"/>
        <v>178.05799999999999</v>
      </c>
      <c r="N356" s="150">
        <f t="shared" si="212"/>
        <v>25331.454389999999</v>
      </c>
      <c r="O356" s="150">
        <f t="shared" si="212"/>
        <v>0</v>
      </c>
      <c r="P356" s="150">
        <f t="shared" si="212"/>
        <v>142865.84026</v>
      </c>
      <c r="Q356" s="150">
        <f t="shared" si="212"/>
        <v>0</v>
      </c>
      <c r="R356" s="150">
        <f t="shared" si="212"/>
        <v>29842.426759999998</v>
      </c>
      <c r="S356" s="150">
        <f t="shared" si="212"/>
        <v>0</v>
      </c>
      <c r="T356" s="150">
        <f t="shared" si="212"/>
        <v>59546.322069999995</v>
      </c>
      <c r="U356" s="150">
        <f t="shared" si="212"/>
        <v>0</v>
      </c>
      <c r="V356" s="150">
        <f t="shared" si="212"/>
        <v>59661.88222</v>
      </c>
      <c r="W356" s="150">
        <f t="shared" si="212"/>
        <v>0</v>
      </c>
      <c r="X356" s="150">
        <f t="shared" si="212"/>
        <v>86781.952140000009</v>
      </c>
      <c r="Y356" s="150">
        <f t="shared" si="212"/>
        <v>0</v>
      </c>
      <c r="Z356" s="150">
        <f t="shared" si="212"/>
        <v>59588.707299999995</v>
      </c>
      <c r="AA356" s="150">
        <f t="shared" si="212"/>
        <v>0</v>
      </c>
      <c r="AB356" s="150">
        <f t="shared" si="212"/>
        <v>139310.03061999998</v>
      </c>
      <c r="AC356" s="150">
        <f t="shared" si="212"/>
        <v>0</v>
      </c>
      <c r="AD356" s="150">
        <f t="shared" si="212"/>
        <v>1049152.3</v>
      </c>
      <c r="AE356" s="150">
        <f t="shared" si="212"/>
        <v>0</v>
      </c>
      <c r="AF356" s="150"/>
      <c r="AG356" s="102">
        <f t="shared" si="84"/>
        <v>0</v>
      </c>
    </row>
    <row r="357" spans="1:33" x14ac:dyDescent="0.3">
      <c r="A357" s="151" t="s">
        <v>169</v>
      </c>
      <c r="B357" s="152">
        <f t="shared" ref="B357:E360" si="213">B13+B25+B163+B175+B256+B268</f>
        <v>222131.40402999998</v>
      </c>
      <c r="C357" s="152">
        <f t="shared" si="213"/>
        <v>113.76</v>
      </c>
      <c r="D357" s="152">
        <f t="shared" si="213"/>
        <v>113.76</v>
      </c>
      <c r="E357" s="152">
        <f t="shared" si="213"/>
        <v>113.75999999999999</v>
      </c>
      <c r="F357" s="152">
        <f t="shared" si="204"/>
        <v>5.1212929795661007E-2</v>
      </c>
      <c r="G357" s="152">
        <f t="shared" si="205"/>
        <v>99.999999999999986</v>
      </c>
      <c r="H357" s="152">
        <f t="shared" ref="H357:AE357" si="214">H13+H25+H163+H175+H256+H268</f>
        <v>0</v>
      </c>
      <c r="I357" s="152">
        <f t="shared" si="214"/>
        <v>0</v>
      </c>
      <c r="J357" s="152">
        <f t="shared" si="214"/>
        <v>47.78</v>
      </c>
      <c r="K357" s="152">
        <f t="shared" si="214"/>
        <v>47.9</v>
      </c>
      <c r="L357" s="152">
        <f t="shared" si="214"/>
        <v>65.98</v>
      </c>
      <c r="M357" s="152">
        <f t="shared" si="214"/>
        <v>65.86</v>
      </c>
      <c r="N357" s="152">
        <f t="shared" si="214"/>
        <v>9668.828309999999</v>
      </c>
      <c r="O357" s="152">
        <f t="shared" si="214"/>
        <v>0</v>
      </c>
      <c r="P357" s="152">
        <f t="shared" si="214"/>
        <v>54529.222430000002</v>
      </c>
      <c r="Q357" s="152">
        <f t="shared" si="214"/>
        <v>0</v>
      </c>
      <c r="R357" s="152">
        <f t="shared" si="214"/>
        <v>11390.555899999999</v>
      </c>
      <c r="S357" s="152">
        <f t="shared" si="214"/>
        <v>0</v>
      </c>
      <c r="T357" s="152">
        <f t="shared" si="214"/>
        <v>22727.621789999997</v>
      </c>
      <c r="U357" s="152">
        <f t="shared" si="214"/>
        <v>0</v>
      </c>
      <c r="V357" s="152">
        <f t="shared" si="214"/>
        <v>22733.631789999999</v>
      </c>
      <c r="W357" s="152">
        <f t="shared" si="214"/>
        <v>0</v>
      </c>
      <c r="X357" s="152">
        <f t="shared" si="214"/>
        <v>33122.966560000001</v>
      </c>
      <c r="Y357" s="152">
        <f t="shared" si="214"/>
        <v>0</v>
      </c>
      <c r="Z357" s="152">
        <f t="shared" si="214"/>
        <v>22743.141789999998</v>
      </c>
      <c r="AA357" s="152">
        <f t="shared" si="214"/>
        <v>0</v>
      </c>
      <c r="AB357" s="152">
        <f t="shared" si="214"/>
        <v>45067.365460000001</v>
      </c>
      <c r="AC357" s="152">
        <f t="shared" si="214"/>
        <v>0</v>
      </c>
      <c r="AD357" s="152">
        <f t="shared" si="214"/>
        <v>34.31</v>
      </c>
      <c r="AE357" s="152">
        <f t="shared" si="214"/>
        <v>0</v>
      </c>
      <c r="AF357" s="152"/>
      <c r="AG357" s="102">
        <f t="shared" si="84"/>
        <v>-4.5986325858393684E-11</v>
      </c>
    </row>
    <row r="358" spans="1:33" x14ac:dyDescent="0.3">
      <c r="A358" s="151" t="s">
        <v>32</v>
      </c>
      <c r="B358" s="152">
        <f t="shared" si="213"/>
        <v>931573.69790000003</v>
      </c>
      <c r="C358" s="152">
        <f t="shared" si="213"/>
        <v>177.93</v>
      </c>
      <c r="D358" s="152">
        <f t="shared" si="213"/>
        <v>177.93</v>
      </c>
      <c r="E358" s="152">
        <f t="shared" si="213"/>
        <v>177.91</v>
      </c>
      <c r="F358" s="152">
        <f t="shared" si="204"/>
        <v>1.909779123230439E-2</v>
      </c>
      <c r="G358" s="152">
        <f t="shared" si="205"/>
        <v>99.988759624571458</v>
      </c>
      <c r="H358" s="152">
        <f t="shared" ref="H358:AE358" si="215">H14+H26+H164+H176+H257+H269</f>
        <v>0</v>
      </c>
      <c r="I358" s="152">
        <f t="shared" si="215"/>
        <v>0</v>
      </c>
      <c r="J358" s="152">
        <f t="shared" si="215"/>
        <v>74.73</v>
      </c>
      <c r="K358" s="152">
        <f t="shared" si="215"/>
        <v>74.7</v>
      </c>
      <c r="L358" s="152">
        <f t="shared" si="215"/>
        <v>103.2</v>
      </c>
      <c r="M358" s="152">
        <f t="shared" si="215"/>
        <v>103.21</v>
      </c>
      <c r="N358" s="152">
        <f t="shared" si="215"/>
        <v>13137.80164</v>
      </c>
      <c r="O358" s="152">
        <f t="shared" si="215"/>
        <v>0</v>
      </c>
      <c r="P358" s="152">
        <f t="shared" si="215"/>
        <v>74065.997440000006</v>
      </c>
      <c r="Q358" s="152">
        <f t="shared" si="215"/>
        <v>0</v>
      </c>
      <c r="R358" s="152">
        <f t="shared" si="215"/>
        <v>15476.48201</v>
      </c>
      <c r="S358" s="152">
        <f t="shared" si="215"/>
        <v>0</v>
      </c>
      <c r="T358" s="152">
        <f t="shared" si="215"/>
        <v>30869.313569999998</v>
      </c>
      <c r="U358" s="152">
        <f t="shared" si="215"/>
        <v>0</v>
      </c>
      <c r="V358" s="152">
        <f t="shared" si="215"/>
        <v>30878.706719999998</v>
      </c>
      <c r="W358" s="152">
        <f t="shared" si="215"/>
        <v>0</v>
      </c>
      <c r="X358" s="152">
        <f t="shared" si="215"/>
        <v>44989.633389999995</v>
      </c>
      <c r="Y358" s="152">
        <f t="shared" si="215"/>
        <v>0</v>
      </c>
      <c r="Z358" s="152">
        <f t="shared" si="215"/>
        <v>30893.533800000001</v>
      </c>
      <c r="AA358" s="152">
        <f t="shared" si="215"/>
        <v>0</v>
      </c>
      <c r="AB358" s="152">
        <f t="shared" si="215"/>
        <v>71268.359329999992</v>
      </c>
      <c r="AC358" s="152">
        <f t="shared" si="215"/>
        <v>0</v>
      </c>
      <c r="AD358" s="152">
        <f t="shared" si="215"/>
        <v>619815.94000000006</v>
      </c>
      <c r="AE358" s="152">
        <f t="shared" si="215"/>
        <v>0</v>
      </c>
      <c r="AF358" s="152"/>
      <c r="AG358" s="102">
        <f t="shared" si="84"/>
        <v>0</v>
      </c>
    </row>
    <row r="359" spans="1:33" x14ac:dyDescent="0.3">
      <c r="A359" s="151" t="s">
        <v>33</v>
      </c>
      <c r="B359" s="152">
        <f t="shared" si="213"/>
        <v>177030.22683</v>
      </c>
      <c r="C359" s="152">
        <f t="shared" si="213"/>
        <v>151.72299999999998</v>
      </c>
      <c r="D359" s="152">
        <f t="shared" si="213"/>
        <v>151.72</v>
      </c>
      <c r="E359" s="152">
        <f t="shared" si="213"/>
        <v>150.958</v>
      </c>
      <c r="F359" s="152">
        <f t="shared" si="204"/>
        <v>8.5272443414402418E-2</v>
      </c>
      <c r="G359" s="152">
        <f t="shared" si="205"/>
        <v>99.495791672983017</v>
      </c>
      <c r="H359" s="152">
        <f t="shared" ref="H359:AE359" si="216">H15+H27+H165+H177+H258+H270</f>
        <v>2</v>
      </c>
      <c r="I359" s="152">
        <f t="shared" si="216"/>
        <v>2</v>
      </c>
      <c r="J359" s="152">
        <f t="shared" si="216"/>
        <v>140.01300000000001</v>
      </c>
      <c r="K359" s="152">
        <f t="shared" si="216"/>
        <v>139.97</v>
      </c>
      <c r="L359" s="152">
        <f t="shared" si="216"/>
        <v>9.7100000000000009</v>
      </c>
      <c r="M359" s="152">
        <f t="shared" si="216"/>
        <v>8.9879999999999995</v>
      </c>
      <c r="N359" s="152">
        <f t="shared" si="216"/>
        <v>2524.8244399999999</v>
      </c>
      <c r="O359" s="152">
        <f t="shared" si="216"/>
        <v>0</v>
      </c>
      <c r="P359" s="152">
        <f t="shared" si="216"/>
        <v>14270.62039</v>
      </c>
      <c r="Q359" s="152">
        <f t="shared" si="216"/>
        <v>0</v>
      </c>
      <c r="R359" s="152">
        <f t="shared" si="216"/>
        <v>2975.3888499999998</v>
      </c>
      <c r="S359" s="152">
        <f t="shared" si="216"/>
        <v>0</v>
      </c>
      <c r="T359" s="152">
        <f t="shared" si="216"/>
        <v>5949.3867099999998</v>
      </c>
      <c r="U359" s="152">
        <f t="shared" si="216"/>
        <v>0</v>
      </c>
      <c r="V359" s="152">
        <f t="shared" si="216"/>
        <v>6049.5437099999999</v>
      </c>
      <c r="W359" s="152">
        <f t="shared" si="216"/>
        <v>0</v>
      </c>
      <c r="X359" s="152">
        <f t="shared" si="216"/>
        <v>8669.3521899999996</v>
      </c>
      <c r="Y359" s="152">
        <f t="shared" si="216"/>
        <v>0</v>
      </c>
      <c r="Z359" s="152">
        <f t="shared" si="216"/>
        <v>5952.0317099999993</v>
      </c>
      <c r="AA359" s="152">
        <f t="shared" si="216"/>
        <v>0</v>
      </c>
      <c r="AB359" s="152">
        <f t="shared" si="216"/>
        <v>12916.365830000001</v>
      </c>
      <c r="AC359" s="152">
        <f t="shared" si="216"/>
        <v>0</v>
      </c>
      <c r="AD359" s="152">
        <f t="shared" si="216"/>
        <v>117570.99</v>
      </c>
      <c r="AE359" s="152">
        <f t="shared" si="216"/>
        <v>0</v>
      </c>
      <c r="AF359" s="152"/>
      <c r="AG359" s="102">
        <f t="shared" ref="AG359:AG370" si="217">B359-H359-J359-L359-N359-P359-R359-T359-V359-X359-Z359-AB359-AD359</f>
        <v>0</v>
      </c>
    </row>
    <row r="360" spans="1:33" x14ac:dyDescent="0.3">
      <c r="A360" s="153" t="s">
        <v>170</v>
      </c>
      <c r="B360" s="152">
        <f t="shared" si="213"/>
        <v>321789</v>
      </c>
      <c r="C360" s="152">
        <f t="shared" si="213"/>
        <v>0</v>
      </c>
      <c r="D360" s="152">
        <f t="shared" si="213"/>
        <v>0</v>
      </c>
      <c r="E360" s="152">
        <f t="shared" si="213"/>
        <v>0</v>
      </c>
      <c r="F360" s="152">
        <f t="shared" si="204"/>
        <v>0</v>
      </c>
      <c r="G360" s="152">
        <f t="shared" si="205"/>
        <v>0</v>
      </c>
      <c r="H360" s="152">
        <f t="shared" ref="H360:AE360" si="218">H16+H28+H166+H178+H259+H271</f>
        <v>0</v>
      </c>
      <c r="I360" s="152">
        <f t="shared" si="218"/>
        <v>0</v>
      </c>
      <c r="J360" s="152">
        <f t="shared" si="218"/>
        <v>0</v>
      </c>
      <c r="K360" s="152">
        <f t="shared" si="218"/>
        <v>0</v>
      </c>
      <c r="L360" s="152">
        <f t="shared" si="218"/>
        <v>0</v>
      </c>
      <c r="M360" s="152">
        <f t="shared" si="218"/>
        <v>0</v>
      </c>
      <c r="N360" s="152">
        <f t="shared" si="218"/>
        <v>0</v>
      </c>
      <c r="O360" s="152">
        <f t="shared" si="218"/>
        <v>0</v>
      </c>
      <c r="P360" s="152">
        <f t="shared" si="218"/>
        <v>0</v>
      </c>
      <c r="Q360" s="152">
        <f t="shared" si="218"/>
        <v>0</v>
      </c>
      <c r="R360" s="152">
        <f t="shared" si="218"/>
        <v>0</v>
      </c>
      <c r="S360" s="152">
        <f t="shared" si="218"/>
        <v>0</v>
      </c>
      <c r="T360" s="152">
        <f t="shared" si="218"/>
        <v>0</v>
      </c>
      <c r="U360" s="152">
        <f t="shared" si="218"/>
        <v>0</v>
      </c>
      <c r="V360" s="152">
        <f t="shared" si="218"/>
        <v>0</v>
      </c>
      <c r="W360" s="152">
        <f t="shared" si="218"/>
        <v>0</v>
      </c>
      <c r="X360" s="152">
        <f t="shared" si="218"/>
        <v>0</v>
      </c>
      <c r="Y360" s="152">
        <f t="shared" si="218"/>
        <v>0</v>
      </c>
      <c r="Z360" s="152">
        <f t="shared" si="218"/>
        <v>0</v>
      </c>
      <c r="AA360" s="152">
        <f t="shared" si="218"/>
        <v>0</v>
      </c>
      <c r="AB360" s="152">
        <f t="shared" si="218"/>
        <v>10057.94</v>
      </c>
      <c r="AC360" s="152">
        <f t="shared" si="218"/>
        <v>0</v>
      </c>
      <c r="AD360" s="152">
        <f t="shared" si="218"/>
        <v>311731.06</v>
      </c>
      <c r="AE360" s="152">
        <f t="shared" si="218"/>
        <v>0</v>
      </c>
      <c r="AF360" s="152"/>
      <c r="AG360" s="102">
        <f t="shared" si="217"/>
        <v>0</v>
      </c>
    </row>
    <row r="361" spans="1:33" ht="37.5" x14ac:dyDescent="0.3">
      <c r="A361" s="149" t="s">
        <v>219</v>
      </c>
      <c r="B361" s="150">
        <f>B362+B363+B364+B365</f>
        <v>3166422.8366700006</v>
      </c>
      <c r="C361" s="150">
        <f>C362+C363+C364</f>
        <v>897235.89495999995</v>
      </c>
      <c r="D361" s="150">
        <f>D362+D363+D364</f>
        <v>900276.53700000001</v>
      </c>
      <c r="E361" s="150">
        <f>E362+E363+E364</f>
        <v>900276.53700000001</v>
      </c>
      <c r="F361" s="150">
        <f t="shared" si="204"/>
        <v>28.431974611034089</v>
      </c>
      <c r="G361" s="150">
        <f t="shared" si="205"/>
        <v>100.33888992371796</v>
      </c>
      <c r="H361" s="150">
        <f t="shared" ref="H361:AE361" si="219">H362+H363+H364+H365</f>
        <v>260174.51190999997</v>
      </c>
      <c r="I361" s="150">
        <f t="shared" si="219"/>
        <v>109714.07</v>
      </c>
      <c r="J361" s="150">
        <f t="shared" si="219"/>
        <v>339970.52341000002</v>
      </c>
      <c r="K361" s="150">
        <f t="shared" si="219"/>
        <v>310803.36699999997</v>
      </c>
      <c r="L361" s="150">
        <f t="shared" si="219"/>
        <v>300030.96004999999</v>
      </c>
      <c r="M361" s="150">
        <f t="shared" si="219"/>
        <v>256302.99</v>
      </c>
      <c r="N361" s="150">
        <f t="shared" si="219"/>
        <v>335046.15906999994</v>
      </c>
      <c r="O361" s="150">
        <f t="shared" si="219"/>
        <v>230797.11</v>
      </c>
      <c r="P361" s="150">
        <f t="shared" si="219"/>
        <v>492346.71561000001</v>
      </c>
      <c r="Q361" s="150">
        <f t="shared" si="219"/>
        <v>0</v>
      </c>
      <c r="R361" s="150">
        <f t="shared" si="219"/>
        <v>256986.16385000001</v>
      </c>
      <c r="S361" s="150">
        <f t="shared" si="219"/>
        <v>0</v>
      </c>
      <c r="T361" s="150">
        <f t="shared" si="219"/>
        <v>215284.77980000002</v>
      </c>
      <c r="U361" s="150">
        <f t="shared" si="219"/>
        <v>0</v>
      </c>
      <c r="V361" s="150">
        <f t="shared" si="219"/>
        <v>128449.13930000001</v>
      </c>
      <c r="W361" s="150">
        <f t="shared" si="219"/>
        <v>0</v>
      </c>
      <c r="X361" s="150">
        <f t="shared" si="219"/>
        <v>175172.68551000004</v>
      </c>
      <c r="Y361" s="150">
        <f t="shared" si="219"/>
        <v>0</v>
      </c>
      <c r="Z361" s="150">
        <f t="shared" si="219"/>
        <v>185408.06828000001</v>
      </c>
      <c r="AA361" s="150">
        <f t="shared" si="219"/>
        <v>0</v>
      </c>
      <c r="AB361" s="150">
        <f t="shared" si="219"/>
        <v>165249.9529</v>
      </c>
      <c r="AC361" s="150">
        <f t="shared" si="219"/>
        <v>0</v>
      </c>
      <c r="AD361" s="150">
        <f t="shared" si="219"/>
        <v>312303.17697999999</v>
      </c>
      <c r="AE361" s="150">
        <f t="shared" si="219"/>
        <v>0</v>
      </c>
      <c r="AF361" s="150"/>
      <c r="AG361" s="102">
        <f t="shared" si="217"/>
        <v>8.149072527885437E-10</v>
      </c>
    </row>
    <row r="362" spans="1:33" x14ac:dyDescent="0.3">
      <c r="A362" s="151" t="s">
        <v>169</v>
      </c>
      <c r="B362" s="152">
        <f t="shared" ref="B362:E364" si="220">B32+B62+B80+B128+B149+B188+B206+B236+B275+B299+B335</f>
        <v>74664.602339999998</v>
      </c>
      <c r="C362" s="152">
        <f t="shared" si="220"/>
        <v>19252.45</v>
      </c>
      <c r="D362" s="152">
        <f t="shared" si="220"/>
        <v>31112.1</v>
      </c>
      <c r="E362" s="152">
        <f t="shared" si="220"/>
        <v>31112.1</v>
      </c>
      <c r="F362" s="152">
        <f t="shared" si="204"/>
        <v>41.66914310790127</v>
      </c>
      <c r="G362" s="152">
        <f t="shared" si="205"/>
        <v>161.60073133549236</v>
      </c>
      <c r="H362" s="152">
        <f t="shared" ref="H362:AE362" si="221">H32+H62+H80+H128+H149+H188+H206+H236+H275+H299+H335</f>
        <v>5384.18</v>
      </c>
      <c r="I362" s="152">
        <f t="shared" si="221"/>
        <v>5314.2000000000007</v>
      </c>
      <c r="J362" s="152">
        <f t="shared" si="221"/>
        <v>6759.85</v>
      </c>
      <c r="K362" s="152">
        <f t="shared" si="221"/>
        <v>6638</v>
      </c>
      <c r="L362" s="152">
        <f t="shared" si="221"/>
        <v>7108.42</v>
      </c>
      <c r="M362" s="152">
        <f t="shared" si="221"/>
        <v>7092.9</v>
      </c>
      <c r="N362" s="152">
        <f t="shared" si="221"/>
        <v>15312.05675</v>
      </c>
      <c r="O362" s="152">
        <f t="shared" si="221"/>
        <v>12067</v>
      </c>
      <c r="P362" s="152">
        <f t="shared" si="221"/>
        <v>13099.743200000001</v>
      </c>
      <c r="Q362" s="152">
        <f t="shared" si="221"/>
        <v>0</v>
      </c>
      <c r="R362" s="152">
        <f t="shared" si="221"/>
        <v>10089.0602</v>
      </c>
      <c r="S362" s="152">
        <f t="shared" si="221"/>
        <v>0</v>
      </c>
      <c r="T362" s="152">
        <f t="shared" si="221"/>
        <v>212.82</v>
      </c>
      <c r="U362" s="152">
        <f t="shared" si="221"/>
        <v>0</v>
      </c>
      <c r="V362" s="152">
        <f t="shared" si="221"/>
        <v>1067.49</v>
      </c>
      <c r="W362" s="152">
        <f t="shared" si="221"/>
        <v>0</v>
      </c>
      <c r="X362" s="152">
        <f t="shared" si="221"/>
        <v>3734.4148999999998</v>
      </c>
      <c r="Y362" s="152">
        <f t="shared" si="221"/>
        <v>0</v>
      </c>
      <c r="Z362" s="152">
        <f t="shared" si="221"/>
        <v>5984.0716999999995</v>
      </c>
      <c r="AA362" s="152">
        <f t="shared" si="221"/>
        <v>0</v>
      </c>
      <c r="AB362" s="152">
        <f t="shared" si="221"/>
        <v>3238.9906999999998</v>
      </c>
      <c r="AC362" s="152">
        <f t="shared" si="221"/>
        <v>0</v>
      </c>
      <c r="AD362" s="152">
        <f t="shared" si="221"/>
        <v>2673.5048900000002</v>
      </c>
      <c r="AE362" s="152">
        <f t="shared" si="221"/>
        <v>0</v>
      </c>
      <c r="AF362" s="152"/>
      <c r="AG362" s="102">
        <f t="shared" si="217"/>
        <v>0</v>
      </c>
    </row>
    <row r="363" spans="1:33" x14ac:dyDescent="0.3">
      <c r="A363" s="151" t="s">
        <v>32</v>
      </c>
      <c r="B363" s="152">
        <f t="shared" si="220"/>
        <v>2352708.6986800004</v>
      </c>
      <c r="C363" s="152">
        <f t="shared" si="220"/>
        <v>639312.29557999992</v>
      </c>
      <c r="D363" s="152">
        <f t="shared" si="220"/>
        <v>599717.15</v>
      </c>
      <c r="E363" s="152">
        <f t="shared" si="220"/>
        <v>599717.15</v>
      </c>
      <c r="F363" s="152">
        <f t="shared" si="204"/>
        <v>25.490497414170932</v>
      </c>
      <c r="G363" s="152">
        <f t="shared" si="205"/>
        <v>93.806603462228395</v>
      </c>
      <c r="H363" s="152">
        <f t="shared" ref="H363:AE363" si="222">H33+H63+H81+H129+H150+H189+H207+H237+H276+H300+H336</f>
        <v>181751.87999999998</v>
      </c>
      <c r="I363" s="152">
        <f t="shared" si="222"/>
        <v>39614.799999999996</v>
      </c>
      <c r="J363" s="152">
        <f t="shared" si="222"/>
        <v>240767.02979000003</v>
      </c>
      <c r="K363" s="152">
        <f t="shared" si="222"/>
        <v>212144</v>
      </c>
      <c r="L363" s="152">
        <f t="shared" si="222"/>
        <v>218622.38578999997</v>
      </c>
      <c r="M363" s="152">
        <f t="shared" si="222"/>
        <v>177406.36000000002</v>
      </c>
      <c r="N363" s="152">
        <f t="shared" si="222"/>
        <v>252969.89253999997</v>
      </c>
      <c r="O363" s="152">
        <f t="shared" si="222"/>
        <v>170551.99</v>
      </c>
      <c r="P363" s="152">
        <f t="shared" si="222"/>
        <v>406742.43816999998</v>
      </c>
      <c r="Q363" s="152">
        <f t="shared" si="222"/>
        <v>0</v>
      </c>
      <c r="R363" s="152">
        <f t="shared" si="222"/>
        <v>190920.24118000001</v>
      </c>
      <c r="S363" s="152">
        <f t="shared" si="222"/>
        <v>0</v>
      </c>
      <c r="T363" s="152">
        <f t="shared" si="222"/>
        <v>131101.06379000001</v>
      </c>
      <c r="U363" s="152">
        <f t="shared" si="222"/>
        <v>0</v>
      </c>
      <c r="V363" s="152">
        <f t="shared" si="222"/>
        <v>92570.165789999999</v>
      </c>
      <c r="W363" s="152">
        <f t="shared" si="222"/>
        <v>0</v>
      </c>
      <c r="X363" s="152">
        <f t="shared" si="222"/>
        <v>136142.46709000002</v>
      </c>
      <c r="Y363" s="152">
        <f t="shared" si="222"/>
        <v>0</v>
      </c>
      <c r="Z363" s="152">
        <f t="shared" si="222"/>
        <v>136685.92569</v>
      </c>
      <c r="AA363" s="152">
        <f t="shared" si="222"/>
        <v>0</v>
      </c>
      <c r="AB363" s="152">
        <f t="shared" si="222"/>
        <v>125135.68969</v>
      </c>
      <c r="AC363" s="152">
        <f t="shared" si="222"/>
        <v>0</v>
      </c>
      <c r="AD363" s="152">
        <f t="shared" si="222"/>
        <v>239299.51916</v>
      </c>
      <c r="AE363" s="152">
        <f t="shared" si="222"/>
        <v>0</v>
      </c>
      <c r="AF363" s="152"/>
      <c r="AG363" s="102">
        <f t="shared" si="217"/>
        <v>4.6566128730773926E-10</v>
      </c>
    </row>
    <row r="364" spans="1:33" x14ac:dyDescent="0.3">
      <c r="A364" s="151" t="s">
        <v>33</v>
      </c>
      <c r="B364" s="152">
        <f t="shared" si="220"/>
        <v>723170.53565000009</v>
      </c>
      <c r="C364" s="152">
        <f t="shared" si="220"/>
        <v>238671.14938000002</v>
      </c>
      <c r="D364" s="152">
        <f t="shared" si="220"/>
        <v>269447.28700000001</v>
      </c>
      <c r="E364" s="152">
        <f t="shared" si="220"/>
        <v>269447.28700000001</v>
      </c>
      <c r="F364" s="152">
        <f t="shared" si="204"/>
        <v>37.259162772417909</v>
      </c>
      <c r="G364" s="152">
        <f t="shared" si="205"/>
        <v>112.89478753504463</v>
      </c>
      <c r="H364" s="152">
        <f t="shared" ref="H364:AE364" si="223">H34+H64+H82+H130+H151+H190+H208+H238+H277+H301+H337</f>
        <v>73038.451910000003</v>
      </c>
      <c r="I364" s="152">
        <f t="shared" si="223"/>
        <v>64785.07</v>
      </c>
      <c r="J364" s="152">
        <f t="shared" si="223"/>
        <v>92443.643619999988</v>
      </c>
      <c r="K364" s="152">
        <f t="shared" si="223"/>
        <v>92021.366999999998</v>
      </c>
      <c r="L364" s="152">
        <f t="shared" si="223"/>
        <v>71070.15426000001</v>
      </c>
      <c r="M364" s="152">
        <f t="shared" si="223"/>
        <v>68573.73</v>
      </c>
      <c r="N364" s="152">
        <f t="shared" si="223"/>
        <v>62292.709779999997</v>
      </c>
      <c r="O364" s="152">
        <f t="shared" si="223"/>
        <v>44067.119999999995</v>
      </c>
      <c r="P364" s="152">
        <f t="shared" si="223"/>
        <v>66804.534239999994</v>
      </c>
      <c r="Q364" s="152">
        <f t="shared" si="223"/>
        <v>0</v>
      </c>
      <c r="R364" s="152">
        <f t="shared" si="223"/>
        <v>55976.862470000007</v>
      </c>
      <c r="S364" s="152">
        <f t="shared" si="223"/>
        <v>0</v>
      </c>
      <c r="T364" s="152">
        <f t="shared" si="223"/>
        <v>83970.896009999997</v>
      </c>
      <c r="U364" s="152">
        <f t="shared" si="223"/>
        <v>0</v>
      </c>
      <c r="V364" s="152">
        <f t="shared" si="223"/>
        <v>34811.483509999998</v>
      </c>
      <c r="W364" s="152">
        <f t="shared" si="223"/>
        <v>0</v>
      </c>
      <c r="X364" s="152">
        <f t="shared" si="223"/>
        <v>35295.803520000001</v>
      </c>
      <c r="Y364" s="152">
        <f t="shared" si="223"/>
        <v>0</v>
      </c>
      <c r="Z364" s="152">
        <f t="shared" si="223"/>
        <v>42738.070890000003</v>
      </c>
      <c r="AA364" s="152">
        <f t="shared" si="223"/>
        <v>0</v>
      </c>
      <c r="AB364" s="152">
        <f t="shared" si="223"/>
        <v>36875.272510000003</v>
      </c>
      <c r="AC364" s="152">
        <f t="shared" si="223"/>
        <v>0</v>
      </c>
      <c r="AD364" s="152">
        <f t="shared" si="223"/>
        <v>67852.652929999997</v>
      </c>
      <c r="AE364" s="152">
        <f t="shared" si="223"/>
        <v>0</v>
      </c>
      <c r="AF364" s="152"/>
      <c r="AG364" s="102">
        <f t="shared" si="217"/>
        <v>2.1827872842550278E-10</v>
      </c>
    </row>
    <row r="365" spans="1:33" x14ac:dyDescent="0.3">
      <c r="A365" s="153" t="s">
        <v>170</v>
      </c>
      <c r="B365" s="152">
        <f>B35+B65+B83+B131+B152+B191+B209+B239+B278+B302+B338</f>
        <v>15879</v>
      </c>
      <c r="C365" s="152">
        <f>7341+360.5</f>
        <v>7701.5</v>
      </c>
      <c r="D365" s="152">
        <f>D35+D65+D83+D131+D152+D191+D209+D239+D278+D302+D338</f>
        <v>7341</v>
      </c>
      <c r="E365" s="152">
        <f>E35+E65+E83+E131+E152+E191+E209+E239+E278+E302+E338</f>
        <v>7341</v>
      </c>
      <c r="F365" s="152">
        <f t="shared" si="204"/>
        <v>46.230870961647454</v>
      </c>
      <c r="G365" s="152">
        <f t="shared" si="205"/>
        <v>95.319093683048763</v>
      </c>
      <c r="H365" s="152">
        <f t="shared" ref="H365:AE365" si="224">H35+H65+H83+H131+H152+H191+H209+H239+H278+H302+H338</f>
        <v>0</v>
      </c>
      <c r="I365" s="152">
        <f t="shared" si="224"/>
        <v>0</v>
      </c>
      <c r="J365" s="152">
        <f t="shared" si="224"/>
        <v>0</v>
      </c>
      <c r="K365" s="152">
        <f t="shared" si="224"/>
        <v>0</v>
      </c>
      <c r="L365" s="152">
        <f t="shared" si="224"/>
        <v>3230</v>
      </c>
      <c r="M365" s="152">
        <f t="shared" si="224"/>
        <v>3230</v>
      </c>
      <c r="N365" s="152">
        <f t="shared" si="224"/>
        <v>4471.5</v>
      </c>
      <c r="O365" s="152">
        <f t="shared" si="224"/>
        <v>4111</v>
      </c>
      <c r="P365" s="152">
        <f t="shared" si="224"/>
        <v>5700</v>
      </c>
      <c r="Q365" s="152">
        <f t="shared" si="224"/>
        <v>0</v>
      </c>
      <c r="R365" s="152">
        <f t="shared" si="224"/>
        <v>0</v>
      </c>
      <c r="S365" s="152">
        <f t="shared" si="224"/>
        <v>0</v>
      </c>
      <c r="T365" s="152">
        <f t="shared" si="224"/>
        <v>0</v>
      </c>
      <c r="U365" s="152">
        <f t="shared" si="224"/>
        <v>0</v>
      </c>
      <c r="V365" s="152">
        <f t="shared" si="224"/>
        <v>0</v>
      </c>
      <c r="W365" s="152">
        <f t="shared" si="224"/>
        <v>0</v>
      </c>
      <c r="X365" s="152">
        <f t="shared" si="224"/>
        <v>0</v>
      </c>
      <c r="Y365" s="152">
        <f t="shared" si="224"/>
        <v>0</v>
      </c>
      <c r="Z365" s="152">
        <f t="shared" si="224"/>
        <v>0</v>
      </c>
      <c r="AA365" s="152">
        <f t="shared" si="224"/>
        <v>0</v>
      </c>
      <c r="AB365" s="152">
        <f t="shared" si="224"/>
        <v>0</v>
      </c>
      <c r="AC365" s="152">
        <f t="shared" si="224"/>
        <v>0</v>
      </c>
      <c r="AD365" s="152">
        <f t="shared" si="224"/>
        <v>2477.5</v>
      </c>
      <c r="AE365" s="152">
        <f t="shared" si="224"/>
        <v>0</v>
      </c>
      <c r="AF365" s="152"/>
      <c r="AG365" s="102">
        <f t="shared" si="217"/>
        <v>0</v>
      </c>
    </row>
    <row r="366" spans="1:33" x14ac:dyDescent="0.3">
      <c r="B366" s="156">
        <f t="shared" ref="B366:E370" si="225">B351-B356-B361</f>
        <v>0</v>
      </c>
      <c r="C366" s="156">
        <f t="shared" si="225"/>
        <v>0</v>
      </c>
      <c r="D366" s="156">
        <f t="shared" si="225"/>
        <v>0</v>
      </c>
      <c r="E366" s="156">
        <f t="shared" si="225"/>
        <v>0</v>
      </c>
      <c r="F366" s="156"/>
      <c r="G366" s="156"/>
      <c r="H366" s="156">
        <f t="shared" ref="H366:AE370" si="226">H351-H356-H361</f>
        <v>0</v>
      </c>
      <c r="I366" s="156">
        <f t="shared" si="226"/>
        <v>0</v>
      </c>
      <c r="J366" s="156">
        <f t="shared" si="226"/>
        <v>0</v>
      </c>
      <c r="K366" s="156">
        <f t="shared" si="226"/>
        <v>0</v>
      </c>
      <c r="L366" s="156">
        <f t="shared" si="226"/>
        <v>0</v>
      </c>
      <c r="M366" s="156">
        <f t="shared" si="226"/>
        <v>0</v>
      </c>
      <c r="N366" s="156">
        <f t="shared" si="226"/>
        <v>0</v>
      </c>
      <c r="O366" s="156">
        <f t="shared" si="226"/>
        <v>0</v>
      </c>
      <c r="P366" s="156">
        <f t="shared" si="226"/>
        <v>0</v>
      </c>
      <c r="Q366" s="156">
        <f t="shared" si="226"/>
        <v>0</v>
      </c>
      <c r="R366" s="156">
        <f t="shared" si="226"/>
        <v>0</v>
      </c>
      <c r="S366" s="156">
        <f t="shared" si="226"/>
        <v>0</v>
      </c>
      <c r="T366" s="156">
        <f t="shared" si="226"/>
        <v>0</v>
      </c>
      <c r="U366" s="156">
        <f t="shared" si="226"/>
        <v>0</v>
      </c>
      <c r="V366" s="156">
        <f t="shared" si="226"/>
        <v>0</v>
      </c>
      <c r="W366" s="156">
        <f t="shared" si="226"/>
        <v>0</v>
      </c>
      <c r="X366" s="156">
        <f t="shared" si="226"/>
        <v>0</v>
      </c>
      <c r="Y366" s="156">
        <f t="shared" si="226"/>
        <v>0</v>
      </c>
      <c r="Z366" s="156">
        <f t="shared" si="226"/>
        <v>0</v>
      </c>
      <c r="AA366" s="156">
        <f t="shared" si="226"/>
        <v>0</v>
      </c>
      <c r="AB366" s="156">
        <f t="shared" si="226"/>
        <v>0</v>
      </c>
      <c r="AC366" s="156">
        <f t="shared" si="226"/>
        <v>0</v>
      </c>
      <c r="AD366" s="156">
        <f t="shared" si="226"/>
        <v>0</v>
      </c>
      <c r="AE366" s="156">
        <f t="shared" si="226"/>
        <v>0</v>
      </c>
      <c r="AG366" s="102">
        <f t="shared" si="217"/>
        <v>0</v>
      </c>
    </row>
    <row r="367" spans="1:33" x14ac:dyDescent="0.3">
      <c r="A367" s="157" t="s">
        <v>169</v>
      </c>
      <c r="B367" s="156">
        <f t="shared" si="225"/>
        <v>0</v>
      </c>
      <c r="C367" s="156">
        <f t="shared" si="225"/>
        <v>0</v>
      </c>
      <c r="D367" s="156">
        <f t="shared" si="225"/>
        <v>0</v>
      </c>
      <c r="E367" s="156">
        <f t="shared" si="225"/>
        <v>0</v>
      </c>
      <c r="F367" s="156"/>
      <c r="G367" s="156"/>
      <c r="H367" s="156">
        <f t="shared" si="226"/>
        <v>0</v>
      </c>
      <c r="I367" s="156">
        <f t="shared" si="226"/>
        <v>0</v>
      </c>
      <c r="J367" s="156">
        <f t="shared" si="226"/>
        <v>0</v>
      </c>
      <c r="K367" s="156">
        <f t="shared" si="226"/>
        <v>0</v>
      </c>
      <c r="L367" s="156">
        <f t="shared" si="226"/>
        <v>0</v>
      </c>
      <c r="M367" s="156">
        <f t="shared" si="226"/>
        <v>0</v>
      </c>
      <c r="N367" s="156">
        <f t="shared" si="226"/>
        <v>0</v>
      </c>
      <c r="O367" s="156">
        <f t="shared" si="226"/>
        <v>0</v>
      </c>
      <c r="P367" s="156">
        <f t="shared" si="226"/>
        <v>0</v>
      </c>
      <c r="Q367" s="156">
        <f t="shared" si="226"/>
        <v>0</v>
      </c>
      <c r="R367" s="156">
        <f t="shared" si="226"/>
        <v>0</v>
      </c>
      <c r="S367" s="156">
        <f t="shared" si="226"/>
        <v>0</v>
      </c>
      <c r="T367" s="156">
        <f t="shared" si="226"/>
        <v>3.3537617127876729E-12</v>
      </c>
      <c r="U367" s="156">
        <f t="shared" si="226"/>
        <v>0</v>
      </c>
      <c r="V367" s="156">
        <f t="shared" si="226"/>
        <v>-2.0463630789890885E-12</v>
      </c>
      <c r="W367" s="156">
        <f t="shared" si="226"/>
        <v>0</v>
      </c>
      <c r="X367" s="156">
        <f t="shared" si="226"/>
        <v>-3.637978807091713E-12</v>
      </c>
      <c r="Y367" s="156">
        <f t="shared" si="226"/>
        <v>0</v>
      </c>
      <c r="Z367" s="156">
        <f t="shared" si="226"/>
        <v>0</v>
      </c>
      <c r="AA367" s="156">
        <f t="shared" si="226"/>
        <v>0</v>
      </c>
      <c r="AB367" s="156">
        <f t="shared" si="226"/>
        <v>0</v>
      </c>
      <c r="AC367" s="156">
        <f t="shared" si="226"/>
        <v>0</v>
      </c>
      <c r="AD367" s="156">
        <f t="shared" si="226"/>
        <v>0</v>
      </c>
      <c r="AE367" s="156">
        <f t="shared" si="226"/>
        <v>0</v>
      </c>
      <c r="AG367" s="102">
        <f t="shared" si="217"/>
        <v>2.3305801732931286E-12</v>
      </c>
    </row>
    <row r="368" spans="1:33" x14ac:dyDescent="0.3">
      <c r="A368" s="157" t="s">
        <v>32</v>
      </c>
      <c r="B368" s="156">
        <f t="shared" si="225"/>
        <v>0</v>
      </c>
      <c r="C368" s="156">
        <f t="shared" si="225"/>
        <v>0</v>
      </c>
      <c r="D368" s="156">
        <f t="shared" si="225"/>
        <v>0</v>
      </c>
      <c r="E368" s="156">
        <f t="shared" si="225"/>
        <v>0</v>
      </c>
      <c r="F368" s="156"/>
      <c r="G368" s="156"/>
      <c r="H368" s="156">
        <f t="shared" si="226"/>
        <v>0</v>
      </c>
      <c r="I368" s="156">
        <f t="shared" si="226"/>
        <v>0</v>
      </c>
      <c r="J368" s="156">
        <f t="shared" si="226"/>
        <v>0</v>
      </c>
      <c r="K368" s="156">
        <f t="shared" si="226"/>
        <v>0</v>
      </c>
      <c r="L368" s="156">
        <f t="shared" si="226"/>
        <v>0</v>
      </c>
      <c r="M368" s="156">
        <f t="shared" si="226"/>
        <v>0</v>
      </c>
      <c r="N368" s="156">
        <f t="shared" si="226"/>
        <v>0</v>
      </c>
      <c r="O368" s="156">
        <f t="shared" si="226"/>
        <v>0</v>
      </c>
      <c r="P368" s="156">
        <f t="shared" si="226"/>
        <v>0</v>
      </c>
      <c r="Q368" s="156">
        <f t="shared" si="226"/>
        <v>0</v>
      </c>
      <c r="R368" s="156">
        <f t="shared" si="226"/>
        <v>0</v>
      </c>
      <c r="S368" s="156">
        <f t="shared" si="226"/>
        <v>0</v>
      </c>
      <c r="T368" s="156">
        <f t="shared" si="226"/>
        <v>0</v>
      </c>
      <c r="U368" s="156">
        <f t="shared" si="226"/>
        <v>0</v>
      </c>
      <c r="V368" s="156">
        <f t="shared" si="226"/>
        <v>0</v>
      </c>
      <c r="W368" s="156">
        <f t="shared" si="226"/>
        <v>0</v>
      </c>
      <c r="X368" s="156">
        <f t="shared" si="226"/>
        <v>0</v>
      </c>
      <c r="Y368" s="156">
        <f t="shared" si="226"/>
        <v>0</v>
      </c>
      <c r="Z368" s="156">
        <f t="shared" si="226"/>
        <v>0</v>
      </c>
      <c r="AA368" s="156">
        <f t="shared" si="226"/>
        <v>0</v>
      </c>
      <c r="AB368" s="156">
        <f t="shared" si="226"/>
        <v>0</v>
      </c>
      <c r="AC368" s="156">
        <f t="shared" si="226"/>
        <v>0</v>
      </c>
      <c r="AD368" s="156">
        <f t="shared" si="226"/>
        <v>0</v>
      </c>
      <c r="AE368" s="156">
        <f t="shared" si="226"/>
        <v>0</v>
      </c>
      <c r="AG368" s="102">
        <f t="shared" si="217"/>
        <v>0</v>
      </c>
    </row>
    <row r="369" spans="1:33" x14ac:dyDescent="0.3">
      <c r="A369" s="157" t="s">
        <v>33</v>
      </c>
      <c r="B369" s="156">
        <f t="shared" si="225"/>
        <v>0</v>
      </c>
      <c r="C369" s="156">
        <f>C354-C359-C364</f>
        <v>0</v>
      </c>
      <c r="D369" s="156">
        <f t="shared" si="225"/>
        <v>0</v>
      </c>
      <c r="E369" s="156">
        <f t="shared" si="225"/>
        <v>0</v>
      </c>
      <c r="F369" s="156"/>
      <c r="G369" s="156"/>
      <c r="H369" s="156">
        <f t="shared" si="226"/>
        <v>0</v>
      </c>
      <c r="I369" s="156">
        <f t="shared" si="226"/>
        <v>0</v>
      </c>
      <c r="J369" s="156">
        <f t="shared" si="226"/>
        <v>0</v>
      </c>
      <c r="K369" s="156">
        <f t="shared" si="226"/>
        <v>0</v>
      </c>
      <c r="L369" s="156">
        <f t="shared" si="226"/>
        <v>0</v>
      </c>
      <c r="M369" s="156">
        <f t="shared" si="226"/>
        <v>0</v>
      </c>
      <c r="N369" s="156">
        <f t="shared" si="226"/>
        <v>0</v>
      </c>
      <c r="O369" s="156">
        <f t="shared" si="226"/>
        <v>0</v>
      </c>
      <c r="P369" s="156">
        <f t="shared" si="226"/>
        <v>0</v>
      </c>
      <c r="Q369" s="156">
        <f t="shared" si="226"/>
        <v>0</v>
      </c>
      <c r="R369" s="156">
        <f t="shared" si="226"/>
        <v>0</v>
      </c>
      <c r="S369" s="156">
        <f t="shared" si="226"/>
        <v>0</v>
      </c>
      <c r="T369" s="156">
        <f t="shared" si="226"/>
        <v>0</v>
      </c>
      <c r="U369" s="156">
        <f t="shared" si="226"/>
        <v>0</v>
      </c>
      <c r="V369" s="156">
        <f t="shared" si="226"/>
        <v>0</v>
      </c>
      <c r="W369" s="156">
        <f t="shared" si="226"/>
        <v>0</v>
      </c>
      <c r="X369" s="156">
        <f t="shared" si="226"/>
        <v>0</v>
      </c>
      <c r="Y369" s="156">
        <f t="shared" si="226"/>
        <v>0</v>
      </c>
      <c r="Z369" s="156">
        <f t="shared" si="226"/>
        <v>0</v>
      </c>
      <c r="AA369" s="156">
        <f t="shared" si="226"/>
        <v>0</v>
      </c>
      <c r="AB369" s="156">
        <f t="shared" si="226"/>
        <v>0</v>
      </c>
      <c r="AC369" s="156">
        <f t="shared" si="226"/>
        <v>0</v>
      </c>
      <c r="AD369" s="156">
        <f t="shared" si="226"/>
        <v>0</v>
      </c>
      <c r="AE369" s="156">
        <f t="shared" si="226"/>
        <v>0</v>
      </c>
      <c r="AG369" s="102">
        <f t="shared" si="217"/>
        <v>0</v>
      </c>
    </row>
    <row r="370" spans="1:33" x14ac:dyDescent="0.3">
      <c r="A370" s="157" t="s">
        <v>170</v>
      </c>
      <c r="B370" s="156">
        <f t="shared" si="225"/>
        <v>0</v>
      </c>
      <c r="C370" s="156">
        <f>C355-C360-C365</f>
        <v>0</v>
      </c>
      <c r="D370" s="156">
        <f t="shared" si="225"/>
        <v>0</v>
      </c>
      <c r="E370" s="156">
        <f t="shared" si="225"/>
        <v>0</v>
      </c>
      <c r="F370" s="156"/>
      <c r="G370" s="156"/>
      <c r="H370" s="156">
        <f t="shared" si="226"/>
        <v>0</v>
      </c>
      <c r="I370" s="156">
        <f t="shared" si="226"/>
        <v>0</v>
      </c>
      <c r="J370" s="156">
        <f t="shared" si="226"/>
        <v>0</v>
      </c>
      <c r="K370" s="156">
        <f t="shared" si="226"/>
        <v>0</v>
      </c>
      <c r="L370" s="156">
        <f t="shared" si="226"/>
        <v>0</v>
      </c>
      <c r="M370" s="156">
        <f t="shared" si="226"/>
        <v>0</v>
      </c>
      <c r="N370" s="156">
        <f t="shared" si="226"/>
        <v>0</v>
      </c>
      <c r="O370" s="156">
        <f t="shared" si="226"/>
        <v>0</v>
      </c>
      <c r="P370" s="156">
        <f t="shared" si="226"/>
        <v>0</v>
      </c>
      <c r="Q370" s="156">
        <f t="shared" si="226"/>
        <v>0</v>
      </c>
      <c r="R370" s="156">
        <f t="shared" si="226"/>
        <v>0</v>
      </c>
      <c r="S370" s="156">
        <f t="shared" si="226"/>
        <v>0</v>
      </c>
      <c r="T370" s="156">
        <f t="shared" si="226"/>
        <v>0</v>
      </c>
      <c r="U370" s="156">
        <f t="shared" si="226"/>
        <v>0</v>
      </c>
      <c r="V370" s="156">
        <f t="shared" si="226"/>
        <v>0</v>
      </c>
      <c r="W370" s="156">
        <f t="shared" si="226"/>
        <v>0</v>
      </c>
      <c r="X370" s="156">
        <f t="shared" si="226"/>
        <v>0</v>
      </c>
      <c r="Y370" s="156">
        <f t="shared" si="226"/>
        <v>0</v>
      </c>
      <c r="Z370" s="156">
        <f t="shared" si="226"/>
        <v>0</v>
      </c>
      <c r="AA370" s="156">
        <f t="shared" si="226"/>
        <v>0</v>
      </c>
      <c r="AB370" s="156">
        <f t="shared" si="226"/>
        <v>0</v>
      </c>
      <c r="AC370" s="156">
        <f t="shared" si="226"/>
        <v>0</v>
      </c>
      <c r="AD370" s="156">
        <f t="shared" si="226"/>
        <v>0</v>
      </c>
      <c r="AE370" s="156">
        <f t="shared" si="226"/>
        <v>0</v>
      </c>
      <c r="AG370" s="102">
        <f t="shared" si="217"/>
        <v>0</v>
      </c>
    </row>
    <row r="372" spans="1:33" x14ac:dyDescent="0.3">
      <c r="B372" s="156">
        <f t="shared" ref="B372:AE372" si="227">B19+B25+B38+B44+B50+B68+B74+B92+B98+B104+B110+B116+B122+B134+B141+B155+B169+B181+B194+B200+B212+B218+B224+B230+B242+B248+B262+B268+B281+B287+B293+B305+B317+B323+B329+B341+B347-B352</f>
        <v>0</v>
      </c>
      <c r="C372" s="156">
        <f t="shared" si="227"/>
        <v>12539.080000000002</v>
      </c>
      <c r="D372" s="156">
        <f t="shared" si="227"/>
        <v>0</v>
      </c>
      <c r="E372" s="156">
        <f t="shared" si="227"/>
        <v>0</v>
      </c>
      <c r="F372" s="156">
        <f t="shared" si="227"/>
        <v>90.823518294416758</v>
      </c>
      <c r="G372" s="156">
        <f t="shared" si="227"/>
        <v>136.03001044247159</v>
      </c>
      <c r="H372" s="156">
        <f t="shared" si="227"/>
        <v>0</v>
      </c>
      <c r="I372" s="156">
        <f t="shared" si="227"/>
        <v>0</v>
      </c>
      <c r="J372" s="156">
        <f t="shared" si="227"/>
        <v>0</v>
      </c>
      <c r="K372" s="156">
        <f t="shared" si="227"/>
        <v>0</v>
      </c>
      <c r="L372" s="156">
        <f t="shared" si="227"/>
        <v>0</v>
      </c>
      <c r="M372" s="156">
        <f t="shared" si="227"/>
        <v>0</v>
      </c>
      <c r="N372" s="156">
        <f t="shared" si="227"/>
        <v>0</v>
      </c>
      <c r="O372" s="156">
        <f t="shared" si="227"/>
        <v>0</v>
      </c>
      <c r="P372" s="156">
        <f t="shared" si="227"/>
        <v>0</v>
      </c>
      <c r="Q372" s="156">
        <f t="shared" si="227"/>
        <v>0</v>
      </c>
      <c r="R372" s="156">
        <f t="shared" si="227"/>
        <v>0</v>
      </c>
      <c r="S372" s="156">
        <f t="shared" si="227"/>
        <v>0</v>
      </c>
      <c r="T372" s="156">
        <f t="shared" si="227"/>
        <v>0</v>
      </c>
      <c r="U372" s="156">
        <f t="shared" si="227"/>
        <v>0</v>
      </c>
      <c r="V372" s="156">
        <f t="shared" si="227"/>
        <v>0</v>
      </c>
      <c r="W372" s="156">
        <f t="shared" si="227"/>
        <v>0</v>
      </c>
      <c r="X372" s="156">
        <f t="shared" si="227"/>
        <v>0</v>
      </c>
      <c r="Y372" s="156">
        <f t="shared" si="227"/>
        <v>0</v>
      </c>
      <c r="Z372" s="156">
        <f t="shared" si="227"/>
        <v>0</v>
      </c>
      <c r="AA372" s="156">
        <f t="shared" si="227"/>
        <v>0</v>
      </c>
      <c r="AB372" s="156">
        <f t="shared" si="227"/>
        <v>0</v>
      </c>
      <c r="AC372" s="156">
        <f t="shared" si="227"/>
        <v>0</v>
      </c>
      <c r="AD372" s="156">
        <f t="shared" si="227"/>
        <v>0</v>
      </c>
      <c r="AE372" s="156">
        <f t="shared" si="227"/>
        <v>0</v>
      </c>
    </row>
    <row r="373" spans="1:33" x14ac:dyDescent="0.3">
      <c r="B373" s="156">
        <f t="shared" ref="B373:AE373" si="228">B20+B26+B39+B45+B51+B69+B75+B93+B99+B105+B111+B117+B123+B135+B142+B156+B170+B182+B195+B201+B213+B219+B225+B231+B243+B249+B263+B269+B282+B288+B294+B306+B318+B324+B330+B342+B348-B353</f>
        <v>0</v>
      </c>
      <c r="C373" s="156">
        <f t="shared" si="228"/>
        <v>233120.0557899999</v>
      </c>
      <c r="D373" s="156">
        <f t="shared" si="228"/>
        <v>0</v>
      </c>
      <c r="E373" s="156">
        <f t="shared" si="228"/>
        <v>0</v>
      </c>
      <c r="F373" s="156">
        <f t="shared" si="228"/>
        <v>218.4813175461384</v>
      </c>
      <c r="G373" s="156">
        <f t="shared" si="228"/>
        <v>583.92010913177751</v>
      </c>
      <c r="H373" s="156">
        <f t="shared" si="228"/>
        <v>0</v>
      </c>
      <c r="I373" s="156">
        <f t="shared" si="228"/>
        <v>0</v>
      </c>
      <c r="J373" s="156">
        <f t="shared" si="228"/>
        <v>0</v>
      </c>
      <c r="K373" s="156">
        <f t="shared" si="228"/>
        <v>0</v>
      </c>
      <c r="L373" s="156">
        <f t="shared" si="228"/>
        <v>0</v>
      </c>
      <c r="M373" s="156">
        <f t="shared" si="228"/>
        <v>0</v>
      </c>
      <c r="N373" s="156">
        <f t="shared" si="228"/>
        <v>0</v>
      </c>
      <c r="O373" s="156">
        <f t="shared" si="228"/>
        <v>0</v>
      </c>
      <c r="P373" s="156">
        <f t="shared" si="228"/>
        <v>0</v>
      </c>
      <c r="Q373" s="156">
        <f t="shared" si="228"/>
        <v>0</v>
      </c>
      <c r="R373" s="156">
        <f t="shared" si="228"/>
        <v>0</v>
      </c>
      <c r="S373" s="156">
        <f t="shared" si="228"/>
        <v>0</v>
      </c>
      <c r="T373" s="156">
        <f t="shared" si="228"/>
        <v>0</v>
      </c>
      <c r="U373" s="156">
        <f t="shared" si="228"/>
        <v>0</v>
      </c>
      <c r="V373" s="156">
        <f t="shared" si="228"/>
        <v>0</v>
      </c>
      <c r="W373" s="156">
        <f t="shared" si="228"/>
        <v>0</v>
      </c>
      <c r="X373" s="156">
        <f t="shared" si="228"/>
        <v>0</v>
      </c>
      <c r="Y373" s="156">
        <f t="shared" si="228"/>
        <v>0</v>
      </c>
      <c r="Z373" s="156">
        <f t="shared" si="228"/>
        <v>0</v>
      </c>
      <c r="AA373" s="156">
        <f t="shared" si="228"/>
        <v>0</v>
      </c>
      <c r="AB373" s="156">
        <f t="shared" si="228"/>
        <v>0</v>
      </c>
      <c r="AC373" s="156">
        <f t="shared" si="228"/>
        <v>0</v>
      </c>
      <c r="AD373" s="156">
        <f t="shared" si="228"/>
        <v>0</v>
      </c>
      <c r="AE373" s="156">
        <f t="shared" si="228"/>
        <v>0</v>
      </c>
    </row>
    <row r="374" spans="1:33" x14ac:dyDescent="0.3">
      <c r="B374" s="156">
        <f>B21+B27+B40+B46+B52+B70+B76+B94+B100+B106+B112+B118+B124+B136+B143+B157+B171+B183+B196+B202+B214+B220+B226+B232+B244+B250+B264+B270+B283+B289+B295+B307+B319+B325+B331+B343+B349+B55-B354</f>
        <v>0</v>
      </c>
      <c r="C374" s="156">
        <f t="shared" ref="C374:S374" si="229">C21+C27+C40+C46+C52+C70+C76+C94+C100+C106+C112+C118+C124+C136+C143+C157+C171+C183+C196+C202+C214+C220+C226+C232+C244+C250+C264+C270+C283+C289+C295+C307+C319+C325+C331+C343+C349-C354</f>
        <v>37473.240000000049</v>
      </c>
      <c r="D374" s="156">
        <f t="shared" si="229"/>
        <v>0</v>
      </c>
      <c r="E374" s="156">
        <f t="shared" si="229"/>
        <v>0</v>
      </c>
      <c r="F374" s="156">
        <f t="shared" si="229"/>
        <v>708.92055887932327</v>
      </c>
      <c r="G374" s="156">
        <f t="shared" si="229"/>
        <v>1501.1647709528211</v>
      </c>
      <c r="H374" s="156">
        <f t="shared" si="229"/>
        <v>0</v>
      </c>
      <c r="I374" s="156">
        <f t="shared" si="229"/>
        <v>0</v>
      </c>
      <c r="J374" s="156">
        <f t="shared" si="229"/>
        <v>0</v>
      </c>
      <c r="K374" s="156">
        <f t="shared" si="229"/>
        <v>0</v>
      </c>
      <c r="L374" s="156">
        <f t="shared" si="229"/>
        <v>0</v>
      </c>
      <c r="M374" s="156">
        <f t="shared" si="229"/>
        <v>0</v>
      </c>
      <c r="N374" s="156">
        <f t="shared" si="229"/>
        <v>0</v>
      </c>
      <c r="O374" s="156">
        <f t="shared" si="229"/>
        <v>0</v>
      </c>
      <c r="P374" s="156">
        <f t="shared" si="229"/>
        <v>0</v>
      </c>
      <c r="Q374" s="156">
        <f t="shared" si="229"/>
        <v>0</v>
      </c>
      <c r="R374" s="156">
        <f t="shared" si="229"/>
        <v>0</v>
      </c>
      <c r="S374" s="156">
        <f t="shared" si="229"/>
        <v>0</v>
      </c>
      <c r="T374" s="156">
        <f>T21+T27+T40+T46+T52+T70+T76+T94+T100+T106+T112+T118+T124+T136+T143+T157+T171+T183+T196+T202+T214+T220+T226+T232+T244+T250+T264+T270+T283+T289+T295+T307+T319+T325+T331+T343+T349+T58-T354</f>
        <v>0</v>
      </c>
      <c r="U374" s="156">
        <f t="shared" ref="U374:AE374" si="230">U21+U27+U40+U46+U52+U70+U76+U94+U100+U106+U112+U118+U124+U136+U143+U157+U171+U183+U196+U202+U214+U220+U226+U232+U244+U250+U264+U270+U283+U289+U295+U307+U319+U325+U331+U343+U349-U354</f>
        <v>0</v>
      </c>
      <c r="V374" s="156">
        <f t="shared" si="230"/>
        <v>0</v>
      </c>
      <c r="W374" s="156">
        <f t="shared" si="230"/>
        <v>0</v>
      </c>
      <c r="X374" s="156">
        <f t="shared" si="230"/>
        <v>0</v>
      </c>
      <c r="Y374" s="156">
        <f t="shared" si="230"/>
        <v>0</v>
      </c>
      <c r="Z374" s="156">
        <f t="shared" si="230"/>
        <v>0</v>
      </c>
      <c r="AA374" s="156">
        <f t="shared" si="230"/>
        <v>0</v>
      </c>
      <c r="AB374" s="156">
        <f t="shared" si="230"/>
        <v>0</v>
      </c>
      <c r="AC374" s="156">
        <f t="shared" si="230"/>
        <v>0</v>
      </c>
      <c r="AD374" s="156">
        <f t="shared" si="230"/>
        <v>0</v>
      </c>
      <c r="AE374" s="156">
        <f t="shared" si="230"/>
        <v>0</v>
      </c>
    </row>
    <row r="375" spans="1:33" x14ac:dyDescent="0.3">
      <c r="B375" s="156">
        <f>B22+B28+B41+B47+B53+B71+B77+B95+B101+B107+B113+B119+B125+B138+B144+B158+B172+B184+B197+B203+B215+B221+B227+B233+B245+B251+B265+B271+B284+B290+B296+B308+B320+B326+B332+B344+B350-B355</f>
        <v>0</v>
      </c>
      <c r="C375" s="156">
        <f>C22+C28+C41+C47+C53+C71+C77+C95+C101+C107+C113+C119+C125+C138+C144+C158+C172+C184+C197+C203+C215+C221+C227+C233+C245+C251+C265+C271+C284+C290+C296+C308+C320+C326+C332+C344+C350-C355</f>
        <v>0</v>
      </c>
      <c r="D375" s="156">
        <f>D22+D28+D41+D47+D53+D71+D77+D95+D101+D107+D113+D119+D125+D138+D144+D158+D172+D184+D197+D203+D215+D221+D227+D233+D245+D251+D265+D271+D284+D290+D296+D308+D320+D326+D332+D344+D350-D355</f>
        <v>0</v>
      </c>
      <c r="E375" s="156">
        <f>E22+E28+E41+E47+E53+E71+E77+E95+E101+E107+E113+E119+E125+E138+E144+E158+E172+E184+E197+E203+E215+E221+E227+E233+E245+E251+E265+E271+E284+E290+E296+E308+E320+E326+E332+E344+E350-E355</f>
        <v>0</v>
      </c>
      <c r="F375" s="156">
        <f>F22+F28+F41+F47+F53+F71+F77+F95+F101+F107+F113+F119+F125+F138+F144+F158+F172+F184+F197+F203+F215+F221+F227+F233+F245+F251+F265+F271+F284+F290+F296+F308+F320+F326+F332+F344+F350-F355</f>
        <v>69.945039742970224</v>
      </c>
      <c r="G375" s="156">
        <f>G22+G28+G41+G47+G53+G71+G77+G95+G101+G107+G113+G119+G125+G138+G144+G158+G172+G184+G197+G203+G215+G221+G227+G233+G245+G251+G265+G271+G284+G290+G296+G308+G320+G326+G332+G344+G350+G89-G355</f>
        <v>95.319093683048763</v>
      </c>
      <c r="H375" s="156">
        <f t="shared" ref="H375:AE375" si="231">H22+H28+H41+H47+H53+H71+H77+H95+H101+H107+H113+H119+H125+H138+H144+H158+H172+H184+H197+H203+H215+H221+H227+H233+H245+H251+H265+H271+H284+H290+H296+H308+H320+H326+H332+H344+H350-H355</f>
        <v>0</v>
      </c>
      <c r="I375" s="156">
        <f t="shared" si="231"/>
        <v>0</v>
      </c>
      <c r="J375" s="156">
        <f t="shared" si="231"/>
        <v>0</v>
      </c>
      <c r="K375" s="156">
        <f t="shared" si="231"/>
        <v>0</v>
      </c>
      <c r="L375" s="156">
        <f t="shared" si="231"/>
        <v>0</v>
      </c>
      <c r="M375" s="156">
        <f t="shared" si="231"/>
        <v>0</v>
      </c>
      <c r="N375" s="156">
        <f t="shared" si="231"/>
        <v>0</v>
      </c>
      <c r="O375" s="156">
        <f t="shared" si="231"/>
        <v>0</v>
      </c>
      <c r="P375" s="156">
        <f t="shared" si="231"/>
        <v>0</v>
      </c>
      <c r="Q375" s="156">
        <f t="shared" si="231"/>
        <v>0</v>
      </c>
      <c r="R375" s="156">
        <f t="shared" si="231"/>
        <v>0</v>
      </c>
      <c r="S375" s="156">
        <f t="shared" si="231"/>
        <v>0</v>
      </c>
      <c r="T375" s="156">
        <f t="shared" si="231"/>
        <v>0</v>
      </c>
      <c r="U375" s="156">
        <f t="shared" si="231"/>
        <v>0</v>
      </c>
      <c r="V375" s="156">
        <f t="shared" si="231"/>
        <v>0</v>
      </c>
      <c r="W375" s="156">
        <f t="shared" si="231"/>
        <v>0</v>
      </c>
      <c r="X375" s="156">
        <f t="shared" si="231"/>
        <v>0</v>
      </c>
      <c r="Y375" s="156">
        <f t="shared" si="231"/>
        <v>0</v>
      </c>
      <c r="Z375" s="156">
        <f t="shared" si="231"/>
        <v>0</v>
      </c>
      <c r="AA375" s="156">
        <f t="shared" si="231"/>
        <v>0</v>
      </c>
      <c r="AB375" s="156">
        <f t="shared" si="231"/>
        <v>0</v>
      </c>
      <c r="AC375" s="156">
        <f t="shared" si="231"/>
        <v>0</v>
      </c>
      <c r="AD375" s="156">
        <f t="shared" si="231"/>
        <v>0</v>
      </c>
      <c r="AE375" s="156">
        <f t="shared" si="231"/>
        <v>0</v>
      </c>
    </row>
    <row r="376" spans="1:33" x14ac:dyDescent="0.3">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row>
    <row r="377" spans="1:33" x14ac:dyDescent="0.3">
      <c r="A377" s="732"/>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row>
    <row r="378" spans="1:33" ht="37.5" x14ac:dyDescent="0.3">
      <c r="A378" s="669" t="s">
        <v>71</v>
      </c>
      <c r="B378" s="733"/>
      <c r="C378" s="733"/>
      <c r="D378" s="742" t="s">
        <v>564</v>
      </c>
      <c r="E378" s="741"/>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row>
    <row r="379" spans="1:33" x14ac:dyDescent="0.3">
      <c r="A379" s="669"/>
      <c r="B379" s="734" t="s">
        <v>68</v>
      </c>
      <c r="C379" s="734"/>
      <c r="D379" s="735"/>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row>
    <row r="380" spans="1:33" ht="37.5" x14ac:dyDescent="0.3">
      <c r="A380" s="668" t="s">
        <v>551</v>
      </c>
      <c r="B380" s="668"/>
      <c r="C380" s="668"/>
      <c r="D380" s="669"/>
    </row>
  </sheetData>
  <customSheetViews>
    <customSheetView guid="{533DC55B-6AD4-4674-9488-685EF2039F3E}" scale="55">
      <pane xSplit="2" ySplit="11" topLeftCell="C372" activePane="bottomRight" state="frozen"/>
      <selection pane="bottomRight" activeCell="AH54" sqref="AH54"/>
      <pageMargins left="0.7" right="0.7" top="0.75" bottom="0.75" header="0.3" footer="0.3"/>
      <pageSetup paperSize="9" orientation="portrait" r:id="rId1"/>
    </customSheetView>
    <customSheetView guid="{85F4575B-DBC5-482A-9916-255D8F0BC94E}" scale="55">
      <pane xSplit="2" ySplit="11" topLeftCell="C45" activePane="bottomRight" state="frozen"/>
      <selection pane="bottomRight" activeCell="AH54" sqref="AH54"/>
      <pageMargins left="0.7" right="0.7" top="0.75" bottom="0.75" header="0.3" footer="0.3"/>
      <pageSetup paperSize="9" orientation="portrait" r:id="rId2"/>
    </customSheetView>
    <customSheetView guid="{B1BF08D1-D416-4B47-ADD0-4F59132DC9E8}" scale="55">
      <pane xSplit="2" ySplit="11" topLeftCell="C45" activePane="bottomRight" state="frozen"/>
      <selection pane="bottomRight" activeCell="AH54" sqref="AH54"/>
      <pageMargins left="0.7" right="0.7" top="0.75" bottom="0.75" header="0.3" footer="0.3"/>
      <pageSetup paperSize="9" orientation="portrait" r:id="rId3"/>
    </customSheetView>
    <customSheetView guid="{4F41B9CC-959D-442C-80B0-1F0DB2C76D27}" scale="55">
      <pane xSplit="2" ySplit="11" topLeftCell="C127" activePane="bottomRight" state="frozen"/>
      <selection pane="bottomRight" activeCell="R138" sqref="R138"/>
      <pageMargins left="0.7" right="0.7" top="0.75" bottom="0.75" header="0.3" footer="0.3"/>
      <pageSetup paperSize="9" orientation="portrait" r:id="rId4"/>
    </customSheetView>
    <customSheetView guid="{602C8EDB-B9EF-4C85-B0D5-0558C3A0ABAB}" scale="55">
      <pane xSplit="2" ySplit="11" topLeftCell="C127" activePane="bottomRight" state="frozen"/>
      <selection pane="bottomRight" activeCell="R138" sqref="R138"/>
      <pageMargins left="0.7" right="0.7" top="0.75" bottom="0.75" header="0.3" footer="0.3"/>
      <pageSetup paperSize="9" orientation="portrait" r:id="rId5"/>
    </customSheetView>
    <customSheetView guid="{D01FA037-9AEC-4167-ADB8-2F327C01ECE6}" scale="55">
      <pane xSplit="2" ySplit="11" topLeftCell="C81" activePane="bottomRight" state="frozen"/>
      <selection pane="bottomRight" activeCell="D86" sqref="D86"/>
      <pageMargins left="0.7" right="0.7" top="0.75" bottom="0.75" header="0.3" footer="0.3"/>
      <pageSetup paperSize="9" orientation="portrait" r:id="rId6"/>
    </customSheetView>
    <customSheetView guid="{84867370-1F3E-4368-AF79-FBCE46FFFE92}" scale="55">
      <pane xSplit="2" ySplit="11" topLeftCell="C81" activePane="bottomRight" state="frozen"/>
      <selection pane="bottomRight" activeCell="D86" sqref="D86"/>
      <pageMargins left="0.7" right="0.7" top="0.75" bottom="0.75" header="0.3" footer="0.3"/>
      <pageSetup paperSize="9" orientation="portrait" r:id="rId7"/>
    </customSheetView>
    <customSheetView guid="{0C2B9C2A-7B94-41EF-A2E6-F8AC9A67DE25}" scale="55">
      <pane xSplit="2" ySplit="11" topLeftCell="C96" activePane="bottomRight" state="frozen"/>
      <selection pane="bottomRight" activeCell="L102" sqref="L102"/>
      <pageMargins left="0.7" right="0.7" top="0.75" bottom="0.75" header="0.3" footer="0.3"/>
      <pageSetup paperSize="9" orientation="portrait" r:id="rId8"/>
    </customSheetView>
    <customSheetView guid="{47B983AB-FE5F-4725-860C-A2F29420596D}" scale="70">
      <pane xSplit="2" ySplit="11" topLeftCell="C35" activePane="bottomRight" state="frozen"/>
      <selection pane="bottomRight" activeCell="G42" sqref="G42"/>
      <pageMargins left="0.7" right="0.7" top="0.75" bottom="0.75" header="0.3" footer="0.3"/>
      <pageSetup paperSize="9" orientation="portrait" r:id="rId9"/>
    </customSheetView>
    <customSheetView guid="{DAA8A688-7558-4B5B-8DBD-E2629BD9E9A8}" scale="70">
      <pane xSplit="2" ySplit="11" topLeftCell="H349" activePane="bottomRight" state="frozen"/>
      <selection pane="bottomRight" activeCell="J313" sqref="J313"/>
      <pageMargins left="0.7" right="0.7" top="0.75" bottom="0.75" header="0.3" footer="0.3"/>
      <pageSetup paperSize="9" orientation="portrait" r:id="rId10"/>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C236B307-BD63-48C4-A75F-B3F3717BF55C}" scale="70">
      <pane xSplit="2" ySplit="11" topLeftCell="C360" activePane="bottomRight" state="frozen"/>
      <selection pane="bottomRight" activeCell="A4" sqref="A4:AF4"/>
      <pageMargins left="0.7" right="0.7" top="0.75" bottom="0.75" header="0.3" footer="0.3"/>
    </customSheetView>
    <customSheetView guid="{87218168-6C8E-4D5B-A5E5-DCCC26803AA3}" scale="70">
      <pane xSplit="2" ySplit="11" topLeftCell="H349" activePane="bottomRight" state="frozen"/>
      <selection pane="bottomRight" activeCell="J313" sqref="J313"/>
      <pageMargins left="0.7" right="0.7" top="0.75" bottom="0.75" header="0.3" footer="0.3"/>
      <pageSetup paperSize="9" orientation="portrait" r:id="rId11"/>
    </customSheetView>
    <customSheetView guid="{874882D1-E741-4CCA-BF0D-E72FA60B771D}" scale="70">
      <pane xSplit="2" ySplit="11" topLeftCell="H349" activePane="bottomRight" state="frozen"/>
      <selection pane="bottomRight" activeCell="J313" sqref="J313"/>
      <pageMargins left="0.7" right="0.7" top="0.75" bottom="0.75" header="0.3" footer="0.3"/>
      <pageSetup paperSize="9" orientation="portrait" r:id="rId12"/>
    </customSheetView>
    <customSheetView guid="{B82BA08A-1A30-4F4D-A478-74A6BD09EA97}" scale="70">
      <pane xSplit="2" ySplit="11" topLeftCell="C102" activePane="bottomRight" state="frozen"/>
      <selection pane="bottomRight" activeCell="K106" sqref="K106"/>
      <pageMargins left="0.7" right="0.7" top="0.75" bottom="0.75" header="0.3" footer="0.3"/>
      <pageSetup paperSize="9" orientation="portrait" r:id="rId13"/>
    </customSheetView>
    <customSheetView guid="{4D0DFB57-2CBA-42F2-9A97-C453A6851FBA}" scale="70">
      <pane xSplit="2" ySplit="11" topLeftCell="C35" activePane="bottomRight" state="frozen"/>
      <selection pane="bottomRight" activeCell="G42" sqref="G42"/>
      <pageMargins left="0.7" right="0.7" top="0.75" bottom="0.75" header="0.3" footer="0.3"/>
      <pageSetup paperSize="9" orientation="portrait" r:id="rId14"/>
    </customSheetView>
    <customSheetView guid="{770624BF-07F3-44B6-94C3-4CC447CDD45C}" scale="70">
      <pane xSplit="2" ySplit="11" topLeftCell="C35" activePane="bottomRight" state="frozen"/>
      <selection pane="bottomRight" activeCell="G42" sqref="G42"/>
      <pageMargins left="0.7" right="0.7" top="0.75" bottom="0.75" header="0.3" footer="0.3"/>
      <pageSetup paperSize="9" orientation="portrait" r:id="rId15"/>
    </customSheetView>
    <customSheetView guid="{E508E171-4ED9-4B07-84DF-DA28C60E1969}" scale="55">
      <pane xSplit="2" ySplit="11" topLeftCell="E251" activePane="bottomRight" state="frozen"/>
      <selection pane="bottomRight" activeCell="AD263" sqref="AD263"/>
      <pageMargins left="0.7" right="0.7" top="0.75" bottom="0.75" header="0.3" footer="0.3"/>
      <pageSetup paperSize="9" orientation="portrait" r:id="rId16"/>
    </customSheetView>
    <customSheetView guid="{74870EE6-26B9-40F7-9DC9-260EF16D8959}" scale="55">
      <pane xSplit="2" ySplit="11" topLeftCell="C89" activePane="bottomRight" state="frozen"/>
      <selection pane="bottomRight" activeCell="H81" sqref="H81"/>
      <pageMargins left="0.7" right="0.7" top="0.75" bottom="0.75" header="0.3" footer="0.3"/>
      <pageSetup paperSize="9" orientation="portrait" r:id="rId17"/>
    </customSheetView>
    <customSheetView guid="{009B3074-D8EC-4952-BF50-43CD64449612}" scale="55">
      <pane xSplit="2" ySplit="11" topLeftCell="C363" activePane="bottomRight" state="frozen"/>
      <selection pane="bottomRight" activeCell="P333" sqref="P333"/>
      <pageMargins left="0.7" right="0.7" top="0.75" bottom="0.75" header="0.3" footer="0.3"/>
      <pageSetup paperSize="9" orientation="portrait" r:id="rId18"/>
    </customSheetView>
    <customSheetView guid="{F679EF4A-C5FD-4B86-B87B-D85968E0F2CA}" scale="55">
      <pane xSplit="2" ySplit="11" topLeftCell="C127" activePane="bottomRight" state="frozen"/>
      <selection pane="bottomRight" activeCell="R138" sqref="R138"/>
      <pageMargins left="0.7" right="0.7" top="0.75" bottom="0.75" header="0.3" footer="0.3"/>
      <pageSetup paperSize="9" orientation="portrait" r:id="rId19"/>
    </customSheetView>
    <customSheetView guid="{959E901C-5DDE-42EE-AE94-AB8976B5E00B}" scale="55">
      <pane xSplit="2" ySplit="11" topLeftCell="C45" activePane="bottomRight" state="frozen"/>
      <selection pane="bottomRight" activeCell="AH54" sqref="AH54"/>
      <pageMargins left="0.7" right="0.7" top="0.75" bottom="0.75" header="0.3" footer="0.3"/>
      <pageSetup paperSize="9" orientation="portrait" r:id="rId20"/>
    </customSheetView>
    <customSheetView guid="{69DABE6F-6182-4403-A4A2-969F10F1C13A}" scale="55">
      <pane xSplit="2" ySplit="11" topLeftCell="C45" activePane="bottomRight" state="frozen"/>
      <selection pane="bottomRight" activeCell="AH54" sqref="AH54"/>
      <pageMargins left="0.7" right="0.7" top="0.75" bottom="0.75" header="0.3" footer="0.3"/>
      <pageSetup paperSize="9" orientation="portrait" r:id="rId21"/>
    </customSheetView>
    <customSheetView guid="{09C3E205-981E-4A4E-BE89-8B7044192060}" scale="55">
      <pane xSplit="2" ySplit="11" topLeftCell="C75" activePane="bottomRight" state="frozen"/>
      <selection pane="bottomRight" activeCell="C78" sqref="C78:E83"/>
      <pageMargins left="0.7" right="0.7" top="0.75" bottom="0.75" header="0.3" footer="0.3"/>
      <pageSetup paperSize="9" orientation="portrait" r:id="rId22"/>
    </customSheetView>
    <customSheetView guid="{6A602CB8-B24C-4ED4-B378-B27354BE0A1A}" scale="55">
      <pane xSplit="2" ySplit="11" topLeftCell="C337" activePane="bottomRight" state="frozen"/>
      <selection pane="bottomRight" activeCell="AD356" sqref="AD356"/>
      <pageMargins left="0.7" right="0.7" top="0.75" bottom="0.75" header="0.3" footer="0.3"/>
      <pageSetup paperSize="9" orientation="portrait" r:id="rId23"/>
    </customSheetView>
    <customSheetView guid="{7C130984-112A-4861-AA43-E2940708E3DC}" scale="55" state="hidden">
      <pane xSplit="2" ySplit="11" topLeftCell="C168" activePane="bottomRight" state="frozen"/>
      <selection pane="bottomRight" activeCell="A54" activeCellId="2" sqref="A17 A48 A54"/>
      <pageMargins left="0.7" right="0.7" top="0.75" bottom="0.75" header="0.3" footer="0.3"/>
      <pageSetup paperSize="9" orientation="portrait" r:id="rId24"/>
    </customSheetView>
  </customSheetViews>
  <mergeCells count="27">
    <mergeCell ref="A4:AF4"/>
    <mergeCell ref="A6:A7"/>
    <mergeCell ref="F6:G6"/>
    <mergeCell ref="H6:I6"/>
    <mergeCell ref="J6:K6"/>
    <mergeCell ref="L6:M6"/>
    <mergeCell ref="N6:O6"/>
    <mergeCell ref="P6:Q6"/>
    <mergeCell ref="R6:S6"/>
    <mergeCell ref="T6:U6"/>
    <mergeCell ref="A159:AF159"/>
    <mergeCell ref="V6:W6"/>
    <mergeCell ref="X6:Y6"/>
    <mergeCell ref="Z6:AA6"/>
    <mergeCell ref="AB6:AC6"/>
    <mergeCell ref="AD6:AE6"/>
    <mergeCell ref="AF6:AF7"/>
    <mergeCell ref="A9:AF9"/>
    <mergeCell ref="A10:AF10"/>
    <mergeCell ref="A29:AF29"/>
    <mergeCell ref="A145:AF145"/>
    <mergeCell ref="A146:AF146"/>
    <mergeCell ref="A160:AF160"/>
    <mergeCell ref="A185:AF185"/>
    <mergeCell ref="A252:AF252"/>
    <mergeCell ref="A253:AF253"/>
    <mergeCell ref="A272:AF272"/>
  </mergeCells>
  <hyperlinks>
    <hyperlink ref="A4:AF4" location="Оглавление!A1" display="Комплексный план (сетевой график) по реализации муниципальной программы  &quot;Развитие образования в городе Когалыме&quot;"/>
  </hyperlinks>
  <pageMargins left="0.7" right="0.7" top="0.75" bottom="0.75" header="0.3" footer="0.3"/>
  <pageSetup paperSize="9" orientation="portrait" r:id="rId25"/>
  <legacyDrawing r:id="rId26"/>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9"/>
  <sheetViews>
    <sheetView zoomScale="90" zoomScaleNormal="90" zoomScaleSheetLayoutView="70" workbookViewId="0">
      <pane xSplit="2" ySplit="9" topLeftCell="C10" activePane="bottomRight" state="frozen"/>
      <selection activeCell="A54" activeCellId="2" sqref="A17 A48 A54"/>
      <selection pane="topRight" activeCell="A54" activeCellId="2" sqref="A17 A48 A54"/>
      <selection pane="bottomLeft" activeCell="A54" activeCellId="2" sqref="A17 A48 A54"/>
      <selection pane="bottomRight" activeCell="A54" activeCellId="2" sqref="A17 A48 A54"/>
    </sheetView>
  </sheetViews>
  <sheetFormatPr defaultColWidth="9.140625" defaultRowHeight="18.75" x14ac:dyDescent="0.3"/>
  <cols>
    <col min="1" max="1" width="67.57031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0"/>
    <col min="34" max="16384" width="9.140625" style="10"/>
  </cols>
  <sheetData>
    <row r="1" spans="1:34" ht="18.75" customHeight="1" x14ac:dyDescent="0.3">
      <c r="A1" s="923"/>
      <c r="B1" s="923"/>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158"/>
      <c r="AF1" s="159"/>
    </row>
    <row r="2" spans="1:34" ht="18.75" customHeight="1" x14ac:dyDescent="0.3">
      <c r="A2" s="923"/>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158"/>
      <c r="AF2" s="159"/>
    </row>
    <row r="3" spans="1:34" ht="18.75" customHeight="1" x14ac:dyDescent="0.3">
      <c r="A3" s="923"/>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158"/>
      <c r="AF3" s="159"/>
    </row>
    <row r="4" spans="1:34" s="164" customFormat="1" ht="18.75" customHeight="1" x14ac:dyDescent="0.25">
      <c r="A4" s="924" t="s">
        <v>328</v>
      </c>
      <c r="B4" s="924"/>
      <c r="C4" s="924"/>
      <c r="D4" s="924"/>
      <c r="E4" s="924"/>
      <c r="F4" s="924"/>
      <c r="G4" s="924"/>
      <c r="H4" s="924"/>
      <c r="I4" s="924"/>
      <c r="J4" s="924"/>
      <c r="K4" s="924"/>
      <c r="L4" s="924"/>
      <c r="M4" s="924"/>
      <c r="N4" s="924"/>
      <c r="O4" s="924"/>
      <c r="P4" s="924"/>
      <c r="Q4" s="924"/>
      <c r="R4" s="924"/>
      <c r="S4" s="924"/>
      <c r="T4" s="924"/>
      <c r="U4" s="924"/>
      <c r="V4" s="924"/>
      <c r="W4" s="924"/>
      <c r="X4" s="924"/>
      <c r="Y4" s="924"/>
      <c r="Z4" s="924"/>
      <c r="AA4" s="924"/>
      <c r="AB4" s="924"/>
      <c r="AC4" s="924"/>
      <c r="AD4" s="924"/>
      <c r="AE4" s="161"/>
      <c r="AF4" s="162"/>
      <c r="AG4" s="163"/>
    </row>
    <row r="5" spans="1:34" ht="18.75" customHeight="1" x14ac:dyDescent="0.3">
      <c r="A5" s="165"/>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925"/>
      <c r="AC5" s="925"/>
      <c r="AD5" s="925"/>
      <c r="AE5" s="166"/>
      <c r="AF5" s="674" t="s">
        <v>1</v>
      </c>
    </row>
    <row r="6" spans="1:34" ht="37.5" customHeight="1" x14ac:dyDescent="0.3">
      <c r="A6" s="912" t="s">
        <v>163</v>
      </c>
      <c r="B6" s="95" t="s">
        <v>3</v>
      </c>
      <c r="C6" s="95" t="s">
        <v>3</v>
      </c>
      <c r="D6" s="95" t="s">
        <v>4</v>
      </c>
      <c r="E6" s="95" t="s">
        <v>5</v>
      </c>
      <c r="F6" s="913" t="s">
        <v>6</v>
      </c>
      <c r="G6" s="914"/>
      <c r="H6" s="927" t="s">
        <v>7</v>
      </c>
      <c r="I6" s="928"/>
      <c r="J6" s="927" t="s">
        <v>8</v>
      </c>
      <c r="K6" s="928"/>
      <c r="L6" s="913" t="s">
        <v>9</v>
      </c>
      <c r="M6" s="915"/>
      <c r="N6" s="913" t="s">
        <v>10</v>
      </c>
      <c r="O6" s="915"/>
      <c r="P6" s="913" t="s">
        <v>11</v>
      </c>
      <c r="Q6" s="915"/>
      <c r="R6" s="913" t="s">
        <v>12</v>
      </c>
      <c r="S6" s="915"/>
      <c r="T6" s="913" t="s">
        <v>13</v>
      </c>
      <c r="U6" s="915"/>
      <c r="V6" s="913" t="s">
        <v>14</v>
      </c>
      <c r="W6" s="915"/>
      <c r="X6" s="913" t="s">
        <v>15</v>
      </c>
      <c r="Y6" s="915"/>
      <c r="Z6" s="913" t="s">
        <v>16</v>
      </c>
      <c r="AA6" s="915"/>
      <c r="AB6" s="913" t="s">
        <v>17</v>
      </c>
      <c r="AC6" s="915"/>
      <c r="AD6" s="916" t="s">
        <v>18</v>
      </c>
      <c r="AE6" s="916"/>
      <c r="AF6" s="902" t="s">
        <v>19</v>
      </c>
    </row>
    <row r="7" spans="1:34" ht="37.5" x14ac:dyDescent="0.3">
      <c r="A7" s="912"/>
      <c r="B7" s="3">
        <v>2024</v>
      </c>
      <c r="C7" s="4">
        <v>45383</v>
      </c>
      <c r="D7" s="4">
        <v>45383</v>
      </c>
      <c r="E7" s="4">
        <v>45383</v>
      </c>
      <c r="F7" s="5" t="s">
        <v>20</v>
      </c>
      <c r="G7" s="5" t="s">
        <v>21</v>
      </c>
      <c r="H7" s="521" t="s">
        <v>22</v>
      </c>
      <c r="I7" s="96" t="s">
        <v>164</v>
      </c>
      <c r="J7" s="521" t="s">
        <v>22</v>
      </c>
      <c r="K7" s="96" t="s">
        <v>164</v>
      </c>
      <c r="L7" s="521" t="s">
        <v>22</v>
      </c>
      <c r="M7" s="96" t="s">
        <v>164</v>
      </c>
      <c r="N7" s="521" t="s">
        <v>22</v>
      </c>
      <c r="O7" s="96" t="s">
        <v>164</v>
      </c>
      <c r="P7" s="521" t="s">
        <v>22</v>
      </c>
      <c r="Q7" s="96" t="s">
        <v>164</v>
      </c>
      <c r="R7" s="521" t="s">
        <v>22</v>
      </c>
      <c r="S7" s="96" t="s">
        <v>164</v>
      </c>
      <c r="T7" s="521" t="s">
        <v>22</v>
      </c>
      <c r="U7" s="96" t="s">
        <v>164</v>
      </c>
      <c r="V7" s="521" t="s">
        <v>22</v>
      </c>
      <c r="W7" s="96" t="s">
        <v>164</v>
      </c>
      <c r="X7" s="521" t="s">
        <v>22</v>
      </c>
      <c r="Y7" s="96" t="s">
        <v>164</v>
      </c>
      <c r="Z7" s="521" t="s">
        <v>22</v>
      </c>
      <c r="AA7" s="96" t="s">
        <v>164</v>
      </c>
      <c r="AB7" s="521" t="s">
        <v>22</v>
      </c>
      <c r="AC7" s="96" t="s">
        <v>164</v>
      </c>
      <c r="AD7" s="521" t="s">
        <v>22</v>
      </c>
      <c r="AE7" s="96" t="s">
        <v>164</v>
      </c>
      <c r="AF7" s="903"/>
    </row>
    <row r="8" spans="1:34" x14ac:dyDescent="0.3">
      <c r="A8" s="168">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4" s="169" customFormat="1" x14ac:dyDescent="0.3">
      <c r="A9" s="920" t="s">
        <v>54</v>
      </c>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2"/>
    </row>
    <row r="10" spans="1:34" ht="37.5" x14ac:dyDescent="0.3">
      <c r="A10" s="219" t="s">
        <v>329</v>
      </c>
      <c r="B10" s="199">
        <f t="shared" ref="B10:J10" si="0">B11</f>
        <v>55375.597999999998</v>
      </c>
      <c r="C10" s="220">
        <f>C11</f>
        <v>13980.067999999999</v>
      </c>
      <c r="D10" s="220">
        <f>D11</f>
        <v>12509.57</v>
      </c>
      <c r="E10" s="199">
        <f t="shared" si="0"/>
        <v>12509.57</v>
      </c>
      <c r="F10" s="221">
        <f t="shared" si="0"/>
        <v>22.590401642254047</v>
      </c>
      <c r="G10" s="221">
        <f t="shared" si="0"/>
        <v>89.481467472118155</v>
      </c>
      <c r="H10" s="199">
        <f>H11</f>
        <v>7226.768</v>
      </c>
      <c r="I10" s="199">
        <f t="shared" si="0"/>
        <v>4094.7</v>
      </c>
      <c r="J10" s="199">
        <f t="shared" si="0"/>
        <v>3409</v>
      </c>
      <c r="K10" s="221">
        <f t="shared" ref="K10:AE10" si="1">K11</f>
        <v>4844.8900000000003</v>
      </c>
      <c r="L10" s="199">
        <f t="shared" si="1"/>
        <v>3344.3</v>
      </c>
      <c r="M10" s="221">
        <f t="shared" si="1"/>
        <v>3569.98</v>
      </c>
      <c r="N10" s="199">
        <f t="shared" si="1"/>
        <v>5005</v>
      </c>
      <c r="O10" s="221">
        <f t="shared" si="1"/>
        <v>0</v>
      </c>
      <c r="P10" s="199">
        <f t="shared" si="1"/>
        <v>4332.8999999999996</v>
      </c>
      <c r="Q10" s="221">
        <f t="shared" si="1"/>
        <v>0</v>
      </c>
      <c r="R10" s="199">
        <f t="shared" si="1"/>
        <v>4650</v>
      </c>
      <c r="S10" s="221">
        <f t="shared" si="1"/>
        <v>0</v>
      </c>
      <c r="T10" s="199">
        <f t="shared" si="1"/>
        <v>5205</v>
      </c>
      <c r="U10" s="221">
        <f t="shared" si="1"/>
        <v>0</v>
      </c>
      <c r="V10" s="199">
        <f t="shared" si="1"/>
        <v>4550</v>
      </c>
      <c r="W10" s="221">
        <f t="shared" si="1"/>
        <v>0</v>
      </c>
      <c r="X10" s="199">
        <f t="shared" si="1"/>
        <v>3777.8</v>
      </c>
      <c r="Y10" s="221">
        <f t="shared" si="1"/>
        <v>0</v>
      </c>
      <c r="Z10" s="199">
        <f t="shared" si="1"/>
        <v>4299.1000000000004</v>
      </c>
      <c r="AA10" s="221">
        <f t="shared" si="1"/>
        <v>0</v>
      </c>
      <c r="AB10" s="199">
        <f t="shared" si="1"/>
        <v>3308</v>
      </c>
      <c r="AC10" s="221">
        <f t="shared" si="1"/>
        <v>0</v>
      </c>
      <c r="AD10" s="199">
        <f t="shared" si="1"/>
        <v>6267.73</v>
      </c>
      <c r="AE10" s="222">
        <f t="shared" si="1"/>
        <v>0</v>
      </c>
      <c r="AF10" s="196"/>
      <c r="AG10" s="176">
        <f>AD10+AB10+Z10+X10+V10+T10+R10+P10+N10+L10+J10+H10-B10</f>
        <v>0</v>
      </c>
      <c r="AH10" s="672"/>
    </row>
    <row r="11" spans="1:34" s="178" customFormat="1" x14ac:dyDescent="0.3">
      <c r="A11" s="223" t="s">
        <v>31</v>
      </c>
      <c r="B11" s="199">
        <f>B12+B13+B14+B15</f>
        <v>55375.597999999998</v>
      </c>
      <c r="C11" s="199">
        <f>C12+C13+C14+C15</f>
        <v>13980.067999999999</v>
      </c>
      <c r="D11" s="199">
        <f>D12+D13+D14+D15</f>
        <v>12509.57</v>
      </c>
      <c r="E11" s="199">
        <f>E12+E13+E14+E15</f>
        <v>12509.57</v>
      </c>
      <c r="F11" s="199">
        <f t="shared" ref="F11:G11" si="2">F12+F13+F14+F15</f>
        <v>22.590401642254047</v>
      </c>
      <c r="G11" s="199">
        <f t="shared" si="2"/>
        <v>89.481467472118155</v>
      </c>
      <c r="H11" s="199">
        <f>H14</f>
        <v>7226.768</v>
      </c>
      <c r="I11" s="199">
        <f t="shared" ref="I11:AE11" si="3">I14</f>
        <v>4094.7</v>
      </c>
      <c r="J11" s="199">
        <f t="shared" si="3"/>
        <v>3409</v>
      </c>
      <c r="K11" s="199">
        <f t="shared" si="3"/>
        <v>4844.8900000000003</v>
      </c>
      <c r="L11" s="199">
        <f t="shared" si="3"/>
        <v>3344.3</v>
      </c>
      <c r="M11" s="199">
        <f t="shared" si="3"/>
        <v>3569.98</v>
      </c>
      <c r="N11" s="199">
        <f t="shared" si="3"/>
        <v>5005</v>
      </c>
      <c r="O11" s="199">
        <f t="shared" si="3"/>
        <v>0</v>
      </c>
      <c r="P11" s="199">
        <f t="shared" si="3"/>
        <v>4332.8999999999996</v>
      </c>
      <c r="Q11" s="199">
        <f t="shared" si="3"/>
        <v>0</v>
      </c>
      <c r="R11" s="199">
        <f t="shared" si="3"/>
        <v>4650</v>
      </c>
      <c r="S11" s="199">
        <f t="shared" si="3"/>
        <v>0</v>
      </c>
      <c r="T11" s="199">
        <f t="shared" si="3"/>
        <v>5205</v>
      </c>
      <c r="U11" s="199">
        <f t="shared" si="3"/>
        <v>0</v>
      </c>
      <c r="V11" s="199">
        <f t="shared" si="3"/>
        <v>4550</v>
      </c>
      <c r="W11" s="199">
        <f t="shared" si="3"/>
        <v>0</v>
      </c>
      <c r="X11" s="199">
        <f t="shared" si="3"/>
        <v>3777.8</v>
      </c>
      <c r="Y11" s="199">
        <f t="shared" si="3"/>
        <v>0</v>
      </c>
      <c r="Z11" s="199">
        <f t="shared" si="3"/>
        <v>4299.1000000000004</v>
      </c>
      <c r="AA11" s="199">
        <f t="shared" si="3"/>
        <v>0</v>
      </c>
      <c r="AB11" s="199">
        <f t="shared" si="3"/>
        <v>3308</v>
      </c>
      <c r="AC11" s="199">
        <f t="shared" si="3"/>
        <v>0</v>
      </c>
      <c r="AD11" s="199">
        <f t="shared" si="3"/>
        <v>6267.73</v>
      </c>
      <c r="AE11" s="199">
        <f t="shared" si="3"/>
        <v>0</v>
      </c>
      <c r="AF11" s="196"/>
      <c r="AG11" s="176">
        <f t="shared" ref="AG11:AG31" si="4">AD11+AB11+Z11+X11+V11+T11+R11+P11+N11+L11+J11+H11-B11</f>
        <v>0</v>
      </c>
      <c r="AH11" s="672"/>
    </row>
    <row r="12" spans="1:34" x14ac:dyDescent="0.3">
      <c r="A12" s="224" t="s">
        <v>169</v>
      </c>
      <c r="B12" s="194">
        <f>H12+J12+L12+N12+P12+R12+T12+V12+X12+Z12+AB12+AD12</f>
        <v>0</v>
      </c>
      <c r="C12" s="225">
        <f>H12+J12</f>
        <v>0</v>
      </c>
      <c r="D12" s="225">
        <f>I12</f>
        <v>0</v>
      </c>
      <c r="E12" s="194">
        <v>0</v>
      </c>
      <c r="F12" s="226">
        <v>0</v>
      </c>
      <c r="G12" s="194">
        <v>0</v>
      </c>
      <c r="H12" s="194">
        <v>0</v>
      </c>
      <c r="I12" s="194">
        <v>0</v>
      </c>
      <c r="J12" s="194">
        <v>0</v>
      </c>
      <c r="K12" s="194">
        <v>0</v>
      </c>
      <c r="L12" s="194">
        <v>0</v>
      </c>
      <c r="M12" s="194">
        <v>0</v>
      </c>
      <c r="N12" s="194">
        <v>0</v>
      </c>
      <c r="O12" s="194">
        <v>0</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227"/>
      <c r="AG12" s="176">
        <f t="shared" si="4"/>
        <v>0</v>
      </c>
      <c r="AH12" s="672"/>
    </row>
    <row r="13" spans="1:34" x14ac:dyDescent="0.3">
      <c r="A13" s="224" t="s">
        <v>32</v>
      </c>
      <c r="B13" s="194">
        <f>H13+J13+L13+N13+P13+R13+T13+V13+X13+Z13+AB13+AD13</f>
        <v>0</v>
      </c>
      <c r="C13" s="225">
        <f>H13+J13</f>
        <v>0</v>
      </c>
      <c r="D13" s="225">
        <f>I13</f>
        <v>0</v>
      </c>
      <c r="E13" s="194">
        <v>0</v>
      </c>
      <c r="F13" s="226">
        <v>0</v>
      </c>
      <c r="G13" s="194">
        <v>0</v>
      </c>
      <c r="H13" s="194">
        <v>0</v>
      </c>
      <c r="I13" s="194">
        <v>0</v>
      </c>
      <c r="J13" s="194">
        <v>0</v>
      </c>
      <c r="K13" s="194">
        <v>0</v>
      </c>
      <c r="L13" s="194">
        <v>0</v>
      </c>
      <c r="M13" s="194">
        <v>0</v>
      </c>
      <c r="N13" s="194">
        <v>0</v>
      </c>
      <c r="O13" s="194">
        <v>0</v>
      </c>
      <c r="P13" s="194">
        <v>0</v>
      </c>
      <c r="Q13" s="194">
        <v>0</v>
      </c>
      <c r="R13" s="194">
        <v>0</v>
      </c>
      <c r="S13" s="194">
        <v>0</v>
      </c>
      <c r="T13" s="194">
        <v>0</v>
      </c>
      <c r="U13" s="194">
        <v>0</v>
      </c>
      <c r="V13" s="194">
        <v>0</v>
      </c>
      <c r="W13" s="194">
        <v>0</v>
      </c>
      <c r="X13" s="194">
        <v>0</v>
      </c>
      <c r="Y13" s="194">
        <v>0</v>
      </c>
      <c r="Z13" s="194">
        <v>0</v>
      </c>
      <c r="AA13" s="194">
        <v>0</v>
      </c>
      <c r="AB13" s="194">
        <v>0</v>
      </c>
      <c r="AC13" s="194">
        <v>0</v>
      </c>
      <c r="AD13" s="194">
        <v>0</v>
      </c>
      <c r="AE13" s="194">
        <v>0</v>
      </c>
      <c r="AF13" s="227"/>
      <c r="AG13" s="176">
        <f t="shared" si="4"/>
        <v>0</v>
      </c>
      <c r="AH13" s="672"/>
    </row>
    <row r="14" spans="1:34" ht="78" customHeight="1" x14ac:dyDescent="0.3">
      <c r="A14" s="224" t="s">
        <v>33</v>
      </c>
      <c r="B14" s="194">
        <f>H14+J14+L14+N14+P14+R14+T14+V14+X14+Z14+AB14+AD14</f>
        <v>55375.597999999998</v>
      </c>
      <c r="C14" s="225">
        <f>H14+J14+L14</f>
        <v>13980.067999999999</v>
      </c>
      <c r="D14" s="225">
        <f>I14+K14+M14</f>
        <v>12509.57</v>
      </c>
      <c r="E14" s="226">
        <f>I14+K14+M14</f>
        <v>12509.57</v>
      </c>
      <c r="F14" s="226">
        <f>E14/B14*100</f>
        <v>22.590401642254047</v>
      </c>
      <c r="G14" s="226">
        <f>E14/C14*100</f>
        <v>89.481467472118155</v>
      </c>
      <c r="H14" s="194">
        <v>7226.768</v>
      </c>
      <c r="I14" s="194">
        <v>4094.7</v>
      </c>
      <c r="J14" s="194">
        <v>3409</v>
      </c>
      <c r="K14" s="194">
        <v>4844.8900000000003</v>
      </c>
      <c r="L14" s="194">
        <v>3344.3</v>
      </c>
      <c r="M14" s="194">
        <v>3569.98</v>
      </c>
      <c r="N14" s="194">
        <v>5005</v>
      </c>
      <c r="O14" s="194">
        <v>0</v>
      </c>
      <c r="P14" s="194">
        <v>4332.8999999999996</v>
      </c>
      <c r="Q14" s="194">
        <v>0</v>
      </c>
      <c r="R14" s="194">
        <v>4650</v>
      </c>
      <c r="S14" s="194">
        <v>0</v>
      </c>
      <c r="T14" s="194">
        <v>5205</v>
      </c>
      <c r="U14" s="194">
        <v>0</v>
      </c>
      <c r="V14" s="194">
        <v>4550</v>
      </c>
      <c r="W14" s="194">
        <v>0</v>
      </c>
      <c r="X14" s="194">
        <v>3777.8</v>
      </c>
      <c r="Y14" s="194">
        <v>0</v>
      </c>
      <c r="Z14" s="194">
        <v>4299.1000000000004</v>
      </c>
      <c r="AA14" s="194">
        <v>0</v>
      </c>
      <c r="AB14" s="194">
        <v>3308</v>
      </c>
      <c r="AC14" s="194">
        <v>0</v>
      </c>
      <c r="AD14" s="194">
        <v>6267.73</v>
      </c>
      <c r="AE14" s="194">
        <v>0</v>
      </c>
      <c r="AF14" s="673" t="s">
        <v>549</v>
      </c>
      <c r="AG14" s="176">
        <f t="shared" si="4"/>
        <v>0</v>
      </c>
      <c r="AH14" s="672">
        <f>C14-E14</f>
        <v>1470.4979999999996</v>
      </c>
    </row>
    <row r="15" spans="1:34" x14ac:dyDescent="0.3">
      <c r="A15" s="224" t="s">
        <v>221</v>
      </c>
      <c r="B15" s="194">
        <f>H15+J15+L15+N15+P15+R15+T15+V15+X15+Z15+AB15+AD15</f>
        <v>0</v>
      </c>
      <c r="C15" s="225">
        <f>H15</f>
        <v>0</v>
      </c>
      <c r="D15" s="225">
        <f>I15</f>
        <v>0</v>
      </c>
      <c r="E15" s="194">
        <v>0</v>
      </c>
      <c r="F15" s="226">
        <v>0</v>
      </c>
      <c r="G15" s="194">
        <v>0</v>
      </c>
      <c r="H15" s="194">
        <v>0</v>
      </c>
      <c r="I15" s="194">
        <v>0</v>
      </c>
      <c r="J15" s="194">
        <v>0</v>
      </c>
      <c r="K15" s="194">
        <v>0</v>
      </c>
      <c r="L15" s="194">
        <v>0</v>
      </c>
      <c r="M15" s="194">
        <v>0</v>
      </c>
      <c r="N15" s="194">
        <v>0</v>
      </c>
      <c r="O15" s="194">
        <v>0</v>
      </c>
      <c r="P15" s="194">
        <v>0</v>
      </c>
      <c r="Q15" s="194">
        <v>0</v>
      </c>
      <c r="R15" s="194">
        <v>0</v>
      </c>
      <c r="S15" s="194">
        <v>0</v>
      </c>
      <c r="T15" s="194">
        <v>0</v>
      </c>
      <c r="U15" s="194">
        <v>0</v>
      </c>
      <c r="V15" s="194">
        <v>0</v>
      </c>
      <c r="W15" s="194">
        <v>0</v>
      </c>
      <c r="X15" s="194">
        <v>0</v>
      </c>
      <c r="Y15" s="194">
        <v>0</v>
      </c>
      <c r="Z15" s="194">
        <v>0</v>
      </c>
      <c r="AA15" s="194">
        <v>0</v>
      </c>
      <c r="AB15" s="194">
        <v>0</v>
      </c>
      <c r="AC15" s="194">
        <v>0</v>
      </c>
      <c r="AD15" s="194">
        <v>0</v>
      </c>
      <c r="AE15" s="194">
        <v>0</v>
      </c>
      <c r="AF15" s="227"/>
      <c r="AG15" s="176">
        <f t="shared" si="4"/>
        <v>0</v>
      </c>
      <c r="AH15" s="672"/>
    </row>
    <row r="16" spans="1:34" ht="93.75" x14ac:dyDescent="0.3">
      <c r="A16" s="219" t="s">
        <v>330</v>
      </c>
      <c r="B16" s="199">
        <f t="shared" ref="B16:I16" si="5">B17</f>
        <v>55.7</v>
      </c>
      <c r="C16" s="220">
        <f t="shared" si="5"/>
        <v>55.7</v>
      </c>
      <c r="D16" s="220">
        <f>D17</f>
        <v>55.65</v>
      </c>
      <c r="E16" s="199">
        <f t="shared" si="5"/>
        <v>55.65</v>
      </c>
      <c r="F16" s="221">
        <f>F17</f>
        <v>99.910233393177734</v>
      </c>
      <c r="G16" s="221">
        <f>G17</f>
        <v>99.910233393177734</v>
      </c>
      <c r="H16" s="199">
        <f>H17</f>
        <v>55.7</v>
      </c>
      <c r="I16" s="199">
        <f t="shared" si="5"/>
        <v>55.65</v>
      </c>
      <c r="J16" s="199">
        <f>J17</f>
        <v>0</v>
      </c>
      <c r="K16" s="221">
        <f>K17</f>
        <v>0</v>
      </c>
      <c r="L16" s="199">
        <f>L17</f>
        <v>0</v>
      </c>
      <c r="M16" s="199">
        <f t="shared" ref="M16:AE16" si="6">M17</f>
        <v>0</v>
      </c>
      <c r="N16" s="199">
        <f t="shared" si="6"/>
        <v>0</v>
      </c>
      <c r="O16" s="199">
        <f t="shared" si="6"/>
        <v>0</v>
      </c>
      <c r="P16" s="199">
        <f t="shared" si="6"/>
        <v>0</v>
      </c>
      <c r="Q16" s="199">
        <f t="shared" si="6"/>
        <v>0</v>
      </c>
      <c r="R16" s="199">
        <f t="shared" si="6"/>
        <v>0</v>
      </c>
      <c r="S16" s="199">
        <f t="shared" si="6"/>
        <v>0</v>
      </c>
      <c r="T16" s="199">
        <f t="shared" si="6"/>
        <v>0</v>
      </c>
      <c r="U16" s="199">
        <f t="shared" si="6"/>
        <v>0</v>
      </c>
      <c r="V16" s="199">
        <f t="shared" si="6"/>
        <v>0</v>
      </c>
      <c r="W16" s="199">
        <f t="shared" si="6"/>
        <v>0</v>
      </c>
      <c r="X16" s="199">
        <f t="shared" si="6"/>
        <v>0</v>
      </c>
      <c r="Y16" s="199">
        <f t="shared" si="6"/>
        <v>0</v>
      </c>
      <c r="Z16" s="199">
        <f t="shared" si="6"/>
        <v>0</v>
      </c>
      <c r="AA16" s="199">
        <f t="shared" si="6"/>
        <v>0</v>
      </c>
      <c r="AB16" s="199">
        <f t="shared" si="6"/>
        <v>0</v>
      </c>
      <c r="AC16" s="199">
        <f t="shared" si="6"/>
        <v>0</v>
      </c>
      <c r="AD16" s="199">
        <f t="shared" si="6"/>
        <v>0</v>
      </c>
      <c r="AE16" s="199">
        <f t="shared" si="6"/>
        <v>0</v>
      </c>
      <c r="AF16" s="196"/>
      <c r="AG16" s="176">
        <f t="shared" si="4"/>
        <v>0</v>
      </c>
      <c r="AH16" s="672">
        <f t="shared" ref="AH16:AH31" si="7">C16-E16</f>
        <v>5.0000000000004263E-2</v>
      </c>
    </row>
    <row r="17" spans="1:34" s="178" customFormat="1" x14ac:dyDescent="0.3">
      <c r="A17" s="223" t="s">
        <v>31</v>
      </c>
      <c r="B17" s="199">
        <f>B18+B19+B20+B21</f>
        <v>55.7</v>
      </c>
      <c r="C17" s="199">
        <f>C18+C19+C20+C21</f>
        <v>55.7</v>
      </c>
      <c r="D17" s="199">
        <f>D18+D19+D20+D21</f>
        <v>55.65</v>
      </c>
      <c r="E17" s="199">
        <f t="shared" ref="E17:G17" si="8">E18+E19+E20+E21</f>
        <v>55.65</v>
      </c>
      <c r="F17" s="199">
        <f t="shared" si="8"/>
        <v>99.910233393177734</v>
      </c>
      <c r="G17" s="199">
        <f t="shared" si="8"/>
        <v>99.910233393177734</v>
      </c>
      <c r="H17" s="199">
        <f>H18+H19+H20+H21</f>
        <v>55.7</v>
      </c>
      <c r="I17" s="199">
        <f>I18+I19+I20+I21</f>
        <v>55.65</v>
      </c>
      <c r="J17" s="199">
        <f t="shared" ref="J17:AE17" si="9">J18+J19+J20+J21</f>
        <v>0</v>
      </c>
      <c r="K17" s="199">
        <f t="shared" si="9"/>
        <v>0</v>
      </c>
      <c r="L17" s="199">
        <f t="shared" si="9"/>
        <v>0</v>
      </c>
      <c r="M17" s="199">
        <f t="shared" si="9"/>
        <v>0</v>
      </c>
      <c r="N17" s="199">
        <f t="shared" si="9"/>
        <v>0</v>
      </c>
      <c r="O17" s="199">
        <f t="shared" si="9"/>
        <v>0</v>
      </c>
      <c r="P17" s="199">
        <f t="shared" si="9"/>
        <v>0</v>
      </c>
      <c r="Q17" s="199">
        <f t="shared" si="9"/>
        <v>0</v>
      </c>
      <c r="R17" s="199">
        <f t="shared" si="9"/>
        <v>0</v>
      </c>
      <c r="S17" s="199">
        <f t="shared" si="9"/>
        <v>0</v>
      </c>
      <c r="T17" s="199">
        <f t="shared" si="9"/>
        <v>0</v>
      </c>
      <c r="U17" s="199">
        <f t="shared" si="9"/>
        <v>0</v>
      </c>
      <c r="V17" s="199">
        <f t="shared" si="9"/>
        <v>0</v>
      </c>
      <c r="W17" s="199">
        <f t="shared" si="9"/>
        <v>0</v>
      </c>
      <c r="X17" s="199">
        <f t="shared" si="9"/>
        <v>0</v>
      </c>
      <c r="Y17" s="199">
        <f t="shared" si="9"/>
        <v>0</v>
      </c>
      <c r="Z17" s="199">
        <f t="shared" si="9"/>
        <v>0</v>
      </c>
      <c r="AA17" s="199">
        <f t="shared" si="9"/>
        <v>0</v>
      </c>
      <c r="AB17" s="199">
        <f t="shared" si="9"/>
        <v>0</v>
      </c>
      <c r="AC17" s="199">
        <f t="shared" si="9"/>
        <v>0</v>
      </c>
      <c r="AD17" s="199">
        <f t="shared" si="9"/>
        <v>0</v>
      </c>
      <c r="AE17" s="199">
        <f t="shared" si="9"/>
        <v>0</v>
      </c>
      <c r="AF17" s="196"/>
      <c r="AG17" s="176">
        <f t="shared" si="4"/>
        <v>0</v>
      </c>
      <c r="AH17" s="672">
        <f t="shared" si="7"/>
        <v>5.0000000000004263E-2</v>
      </c>
    </row>
    <row r="18" spans="1:34" x14ac:dyDescent="0.3">
      <c r="A18" s="224" t="s">
        <v>169</v>
      </c>
      <c r="B18" s="194">
        <f>H18+J18+L18+N18+P18+R18+T18+V18+X18+Z18+AB18+AD18</f>
        <v>0</v>
      </c>
      <c r="C18" s="225">
        <f>H18+J18</f>
        <v>0</v>
      </c>
      <c r="D18" s="225">
        <f>I18</f>
        <v>0</v>
      </c>
      <c r="E18" s="194">
        <v>0</v>
      </c>
      <c r="F18" s="226">
        <v>0</v>
      </c>
      <c r="G18" s="194">
        <v>0</v>
      </c>
      <c r="H18" s="194">
        <v>0</v>
      </c>
      <c r="I18" s="194">
        <v>0</v>
      </c>
      <c r="J18" s="194">
        <v>0</v>
      </c>
      <c r="K18" s="194">
        <v>0</v>
      </c>
      <c r="L18" s="194">
        <v>0</v>
      </c>
      <c r="M18" s="194">
        <v>0</v>
      </c>
      <c r="N18" s="194">
        <v>0</v>
      </c>
      <c r="O18" s="194">
        <v>0</v>
      </c>
      <c r="P18" s="194">
        <v>0</v>
      </c>
      <c r="Q18" s="194">
        <v>0</v>
      </c>
      <c r="R18" s="194">
        <v>0</v>
      </c>
      <c r="S18" s="194">
        <v>0</v>
      </c>
      <c r="T18" s="194">
        <v>0</v>
      </c>
      <c r="U18" s="194">
        <v>0</v>
      </c>
      <c r="V18" s="194">
        <v>0</v>
      </c>
      <c r="W18" s="194">
        <v>0</v>
      </c>
      <c r="X18" s="194">
        <v>0</v>
      </c>
      <c r="Y18" s="194">
        <v>0</v>
      </c>
      <c r="Z18" s="194">
        <v>0</v>
      </c>
      <c r="AA18" s="194">
        <v>0</v>
      </c>
      <c r="AB18" s="194">
        <v>0</v>
      </c>
      <c r="AC18" s="194">
        <v>0</v>
      </c>
      <c r="AD18" s="194">
        <v>0</v>
      </c>
      <c r="AE18" s="194">
        <v>0</v>
      </c>
      <c r="AF18" s="227"/>
      <c r="AG18" s="176">
        <f t="shared" si="4"/>
        <v>0</v>
      </c>
      <c r="AH18" s="672">
        <f t="shared" si="7"/>
        <v>0</v>
      </c>
    </row>
    <row r="19" spans="1:34" x14ac:dyDescent="0.3">
      <c r="A19" s="224" t="s">
        <v>32</v>
      </c>
      <c r="B19" s="194">
        <f>H19+J19+L19+N19+P19+R19+T19+V19+X19+Z19+AB19+AD19</f>
        <v>0</v>
      </c>
      <c r="C19" s="225">
        <f>H19+J19</f>
        <v>0</v>
      </c>
      <c r="D19" s="225">
        <f>I19</f>
        <v>0</v>
      </c>
      <c r="E19" s="194">
        <v>0</v>
      </c>
      <c r="F19" s="226">
        <v>0</v>
      </c>
      <c r="G19" s="194">
        <v>0</v>
      </c>
      <c r="H19" s="194">
        <v>0</v>
      </c>
      <c r="I19" s="194">
        <v>0</v>
      </c>
      <c r="J19" s="194">
        <v>0</v>
      </c>
      <c r="K19" s="194">
        <v>0</v>
      </c>
      <c r="L19" s="194">
        <v>0</v>
      </c>
      <c r="M19" s="194">
        <v>0</v>
      </c>
      <c r="N19" s="194">
        <v>0</v>
      </c>
      <c r="O19" s="194">
        <v>0</v>
      </c>
      <c r="P19" s="194">
        <v>0</v>
      </c>
      <c r="Q19" s="194">
        <v>0</v>
      </c>
      <c r="R19" s="194">
        <v>0</v>
      </c>
      <c r="S19" s="194">
        <v>0</v>
      </c>
      <c r="T19" s="194">
        <v>0</v>
      </c>
      <c r="U19" s="194">
        <v>0</v>
      </c>
      <c r="V19" s="194">
        <v>0</v>
      </c>
      <c r="W19" s="194">
        <v>0</v>
      </c>
      <c r="X19" s="194">
        <v>0</v>
      </c>
      <c r="Y19" s="194">
        <v>0</v>
      </c>
      <c r="Z19" s="194">
        <v>0</v>
      </c>
      <c r="AA19" s="194">
        <v>0</v>
      </c>
      <c r="AB19" s="194">
        <v>0</v>
      </c>
      <c r="AC19" s="194">
        <v>0</v>
      </c>
      <c r="AD19" s="194">
        <v>0</v>
      </c>
      <c r="AE19" s="194">
        <v>0</v>
      </c>
      <c r="AF19" s="227"/>
      <c r="AG19" s="176">
        <f t="shared" si="4"/>
        <v>0</v>
      </c>
      <c r="AH19" s="672">
        <f t="shared" si="7"/>
        <v>0</v>
      </c>
    </row>
    <row r="20" spans="1:34" x14ac:dyDescent="0.3">
      <c r="A20" s="224" t="s">
        <v>33</v>
      </c>
      <c r="B20" s="194">
        <f>H20+J20+L20+N20+P20+R20+T20+V20+X20+Z20+AB20+AD20</f>
        <v>55.7</v>
      </c>
      <c r="C20" s="225">
        <f>H20+J20</f>
        <v>55.7</v>
      </c>
      <c r="D20" s="225">
        <f>I20+K20</f>
        <v>55.65</v>
      </c>
      <c r="E20" s="226">
        <f>I20+K20</f>
        <v>55.65</v>
      </c>
      <c r="F20" s="226">
        <f>E20/B20*100</f>
        <v>99.910233393177734</v>
      </c>
      <c r="G20" s="226">
        <f>E20/C20*100</f>
        <v>99.910233393177734</v>
      </c>
      <c r="H20" s="194">
        <v>55.7</v>
      </c>
      <c r="I20" s="194">
        <v>55.65</v>
      </c>
      <c r="J20" s="194">
        <v>0</v>
      </c>
      <c r="K20" s="194">
        <v>0</v>
      </c>
      <c r="L20" s="194">
        <v>0</v>
      </c>
      <c r="M20" s="194">
        <v>0</v>
      </c>
      <c r="N20" s="194">
        <v>0</v>
      </c>
      <c r="O20" s="194">
        <v>0</v>
      </c>
      <c r="P20" s="194">
        <v>0</v>
      </c>
      <c r="Q20" s="194">
        <v>0</v>
      </c>
      <c r="R20" s="194">
        <v>0</v>
      </c>
      <c r="S20" s="194">
        <v>0</v>
      </c>
      <c r="T20" s="194">
        <v>0</v>
      </c>
      <c r="U20" s="194">
        <v>0</v>
      </c>
      <c r="V20" s="194">
        <v>0</v>
      </c>
      <c r="W20" s="194">
        <v>0</v>
      </c>
      <c r="X20" s="194">
        <v>0</v>
      </c>
      <c r="Y20" s="194">
        <v>0</v>
      </c>
      <c r="Z20" s="194">
        <v>0</v>
      </c>
      <c r="AA20" s="194">
        <v>0</v>
      </c>
      <c r="AB20" s="194">
        <v>0</v>
      </c>
      <c r="AC20" s="194">
        <v>0</v>
      </c>
      <c r="AD20" s="194">
        <v>0</v>
      </c>
      <c r="AE20" s="194">
        <v>0</v>
      </c>
      <c r="AF20" s="227"/>
      <c r="AG20" s="176">
        <f t="shared" si="4"/>
        <v>0</v>
      </c>
      <c r="AH20" s="672">
        <f t="shared" si="7"/>
        <v>5.0000000000004263E-2</v>
      </c>
    </row>
    <row r="21" spans="1:34" x14ac:dyDescent="0.3">
      <c r="A21" s="224" t="s">
        <v>221</v>
      </c>
      <c r="B21" s="194">
        <f>H21+J21+L21+N21+P21+R21+T21+V21+X21+Z21+AB21+AD21</f>
        <v>0</v>
      </c>
      <c r="C21" s="225">
        <f>H21+J21</f>
        <v>0</v>
      </c>
      <c r="D21" s="225">
        <f>I21</f>
        <v>0</v>
      </c>
      <c r="E21" s="194">
        <v>0</v>
      </c>
      <c r="F21" s="226">
        <v>0</v>
      </c>
      <c r="G21" s="194">
        <v>0</v>
      </c>
      <c r="H21" s="194">
        <v>0</v>
      </c>
      <c r="I21" s="194">
        <v>0</v>
      </c>
      <c r="J21" s="194">
        <v>0</v>
      </c>
      <c r="K21" s="194">
        <v>0</v>
      </c>
      <c r="L21" s="194">
        <v>0</v>
      </c>
      <c r="M21" s="194">
        <v>0</v>
      </c>
      <c r="N21" s="194">
        <v>0</v>
      </c>
      <c r="O21" s="194">
        <v>0</v>
      </c>
      <c r="P21" s="194">
        <v>0</v>
      </c>
      <c r="Q21" s="194">
        <v>0</v>
      </c>
      <c r="R21" s="194">
        <v>0</v>
      </c>
      <c r="S21" s="194">
        <v>0</v>
      </c>
      <c r="T21" s="194">
        <v>0</v>
      </c>
      <c r="U21" s="194">
        <v>0</v>
      </c>
      <c r="V21" s="194">
        <v>0</v>
      </c>
      <c r="W21" s="194">
        <v>0</v>
      </c>
      <c r="X21" s="194">
        <v>0</v>
      </c>
      <c r="Y21" s="194">
        <v>0</v>
      </c>
      <c r="Z21" s="194">
        <v>0</v>
      </c>
      <c r="AA21" s="194">
        <v>0</v>
      </c>
      <c r="AB21" s="194">
        <v>0</v>
      </c>
      <c r="AC21" s="194">
        <v>0</v>
      </c>
      <c r="AD21" s="194">
        <v>0</v>
      </c>
      <c r="AE21" s="194">
        <v>0</v>
      </c>
      <c r="AF21" s="227"/>
      <c r="AG21" s="176">
        <f t="shared" si="4"/>
        <v>0</v>
      </c>
      <c r="AH21" s="672">
        <f t="shared" si="7"/>
        <v>0</v>
      </c>
    </row>
    <row r="22" spans="1:34" s="178" customFormat="1" x14ac:dyDescent="0.3">
      <c r="A22" s="149" t="s">
        <v>233</v>
      </c>
      <c r="B22" s="208">
        <f>B23+B24+B25+B26</f>
        <v>55431.297999999995</v>
      </c>
      <c r="C22" s="208">
        <f t="shared" ref="C22:D22" si="10">C23+C24+C25+C26</f>
        <v>14035.768</v>
      </c>
      <c r="D22" s="208">
        <f t="shared" si="10"/>
        <v>12565.22</v>
      </c>
      <c r="E22" s="208">
        <f>E23+E24+E25+E26</f>
        <v>12565.22</v>
      </c>
      <c r="F22" s="208">
        <f>F23+F24+F25+F26</f>
        <v>22.668096280191744</v>
      </c>
      <c r="G22" s="208">
        <f t="shared" ref="G22" si="11">G23+G24+G25+G26</f>
        <v>89.522853327299217</v>
      </c>
      <c r="H22" s="208">
        <f t="shared" ref="H22:AE22" si="12">H23+H24+H25+H26</f>
        <v>7282.4679999999998</v>
      </c>
      <c r="I22" s="208">
        <f t="shared" si="12"/>
        <v>4150.3499999999995</v>
      </c>
      <c r="J22" s="208">
        <f t="shared" si="12"/>
        <v>3409</v>
      </c>
      <c r="K22" s="208">
        <f t="shared" si="12"/>
        <v>4844.8900000000003</v>
      </c>
      <c r="L22" s="208">
        <f t="shared" si="12"/>
        <v>3344.3</v>
      </c>
      <c r="M22" s="208">
        <f t="shared" si="12"/>
        <v>3569.98</v>
      </c>
      <c r="N22" s="208">
        <f t="shared" si="12"/>
        <v>5005</v>
      </c>
      <c r="O22" s="208">
        <f t="shared" si="12"/>
        <v>0</v>
      </c>
      <c r="P22" s="208">
        <f t="shared" si="12"/>
        <v>4332.8999999999996</v>
      </c>
      <c r="Q22" s="208">
        <f t="shared" si="12"/>
        <v>0</v>
      </c>
      <c r="R22" s="208">
        <f t="shared" si="12"/>
        <v>4650</v>
      </c>
      <c r="S22" s="208">
        <f t="shared" si="12"/>
        <v>0</v>
      </c>
      <c r="T22" s="208">
        <f t="shared" si="12"/>
        <v>5205</v>
      </c>
      <c r="U22" s="208">
        <f t="shared" si="12"/>
        <v>0</v>
      </c>
      <c r="V22" s="208">
        <f t="shared" si="12"/>
        <v>4550</v>
      </c>
      <c r="W22" s="208">
        <f t="shared" si="12"/>
        <v>0</v>
      </c>
      <c r="X22" s="208">
        <f t="shared" si="12"/>
        <v>3777.8</v>
      </c>
      <c r="Y22" s="208">
        <f t="shared" si="12"/>
        <v>0</v>
      </c>
      <c r="Z22" s="208">
        <f t="shared" si="12"/>
        <v>4299.1000000000004</v>
      </c>
      <c r="AA22" s="208">
        <f t="shared" si="12"/>
        <v>0</v>
      </c>
      <c r="AB22" s="208">
        <f t="shared" si="12"/>
        <v>3308</v>
      </c>
      <c r="AC22" s="208">
        <f t="shared" si="12"/>
        <v>0</v>
      </c>
      <c r="AD22" s="208">
        <f t="shared" si="12"/>
        <v>6267.73</v>
      </c>
      <c r="AE22" s="208">
        <f t="shared" si="12"/>
        <v>0</v>
      </c>
      <c r="AF22" s="209"/>
      <c r="AG22" s="176">
        <f t="shared" si="4"/>
        <v>0</v>
      </c>
      <c r="AH22" s="672">
        <f t="shared" si="7"/>
        <v>1470.5480000000007</v>
      </c>
    </row>
    <row r="23" spans="1:34" s="178" customFormat="1" x14ac:dyDescent="0.3">
      <c r="A23" s="151" t="s">
        <v>169</v>
      </c>
      <c r="B23" s="210">
        <f>B12+B18</f>
        <v>0</v>
      </c>
      <c r="C23" s="210">
        <f t="shared" ref="C23:D23" si="13">C12+C18</f>
        <v>0</v>
      </c>
      <c r="D23" s="210">
        <f t="shared" si="13"/>
        <v>0</v>
      </c>
      <c r="E23" s="210">
        <f>E12+E18</f>
        <v>0</v>
      </c>
      <c r="F23" s="210">
        <f t="shared" ref="F23:AE23" si="14">F12+F18</f>
        <v>0</v>
      </c>
      <c r="G23" s="210">
        <f t="shared" si="14"/>
        <v>0</v>
      </c>
      <c r="H23" s="210">
        <f t="shared" si="14"/>
        <v>0</v>
      </c>
      <c r="I23" s="210">
        <f t="shared" si="14"/>
        <v>0</v>
      </c>
      <c r="J23" s="210">
        <f t="shared" si="14"/>
        <v>0</v>
      </c>
      <c r="K23" s="210">
        <f t="shared" si="14"/>
        <v>0</v>
      </c>
      <c r="L23" s="210">
        <f t="shared" si="14"/>
        <v>0</v>
      </c>
      <c r="M23" s="210">
        <f t="shared" si="14"/>
        <v>0</v>
      </c>
      <c r="N23" s="210">
        <f t="shared" si="14"/>
        <v>0</v>
      </c>
      <c r="O23" s="210">
        <f t="shared" si="14"/>
        <v>0</v>
      </c>
      <c r="P23" s="210">
        <f t="shared" si="14"/>
        <v>0</v>
      </c>
      <c r="Q23" s="210">
        <f t="shared" si="14"/>
        <v>0</v>
      </c>
      <c r="R23" s="210">
        <f t="shared" si="14"/>
        <v>0</v>
      </c>
      <c r="S23" s="210">
        <f t="shared" si="14"/>
        <v>0</v>
      </c>
      <c r="T23" s="210">
        <f t="shared" si="14"/>
        <v>0</v>
      </c>
      <c r="U23" s="210">
        <f t="shared" si="14"/>
        <v>0</v>
      </c>
      <c r="V23" s="210">
        <f t="shared" si="14"/>
        <v>0</v>
      </c>
      <c r="W23" s="210">
        <f t="shared" si="14"/>
        <v>0</v>
      </c>
      <c r="X23" s="210">
        <f t="shared" si="14"/>
        <v>0</v>
      </c>
      <c r="Y23" s="210">
        <f t="shared" si="14"/>
        <v>0</v>
      </c>
      <c r="Z23" s="210">
        <f t="shared" si="14"/>
        <v>0</v>
      </c>
      <c r="AA23" s="210">
        <f t="shared" si="14"/>
        <v>0</v>
      </c>
      <c r="AB23" s="210">
        <f t="shared" si="14"/>
        <v>0</v>
      </c>
      <c r="AC23" s="210">
        <f t="shared" si="14"/>
        <v>0</v>
      </c>
      <c r="AD23" s="210">
        <f t="shared" si="14"/>
        <v>0</v>
      </c>
      <c r="AE23" s="210">
        <f t="shared" si="14"/>
        <v>0</v>
      </c>
      <c r="AF23" s="211"/>
      <c r="AG23" s="176">
        <f t="shared" si="4"/>
        <v>0</v>
      </c>
      <c r="AH23" s="672">
        <f t="shared" si="7"/>
        <v>0</v>
      </c>
    </row>
    <row r="24" spans="1:34" s="178" customFormat="1" x14ac:dyDescent="0.3">
      <c r="A24" s="151" t="s">
        <v>32</v>
      </c>
      <c r="B24" s="210">
        <f t="shared" ref="B24:E26" si="15">B13+B19</f>
        <v>0</v>
      </c>
      <c r="C24" s="210">
        <f t="shared" si="15"/>
        <v>0</v>
      </c>
      <c r="D24" s="210">
        <f t="shared" si="15"/>
        <v>0</v>
      </c>
      <c r="E24" s="210">
        <f>E13+E19</f>
        <v>0</v>
      </c>
      <c r="F24" s="210">
        <f t="shared" ref="F24:AE24" si="16">F13+F19</f>
        <v>0</v>
      </c>
      <c r="G24" s="210">
        <f t="shared" si="16"/>
        <v>0</v>
      </c>
      <c r="H24" s="210">
        <f t="shared" si="16"/>
        <v>0</v>
      </c>
      <c r="I24" s="210">
        <f t="shared" si="16"/>
        <v>0</v>
      </c>
      <c r="J24" s="210">
        <f t="shared" si="16"/>
        <v>0</v>
      </c>
      <c r="K24" s="210">
        <f t="shared" si="16"/>
        <v>0</v>
      </c>
      <c r="L24" s="210">
        <f t="shared" si="16"/>
        <v>0</v>
      </c>
      <c r="M24" s="210">
        <f t="shared" si="16"/>
        <v>0</v>
      </c>
      <c r="N24" s="210">
        <f t="shared" si="16"/>
        <v>0</v>
      </c>
      <c r="O24" s="210">
        <f t="shared" si="16"/>
        <v>0</v>
      </c>
      <c r="P24" s="210">
        <f t="shared" si="16"/>
        <v>0</v>
      </c>
      <c r="Q24" s="210">
        <f t="shared" si="16"/>
        <v>0</v>
      </c>
      <c r="R24" s="210">
        <f t="shared" si="16"/>
        <v>0</v>
      </c>
      <c r="S24" s="210">
        <f t="shared" si="16"/>
        <v>0</v>
      </c>
      <c r="T24" s="210">
        <f t="shared" si="16"/>
        <v>0</v>
      </c>
      <c r="U24" s="210">
        <f t="shared" si="16"/>
        <v>0</v>
      </c>
      <c r="V24" s="210">
        <f t="shared" si="16"/>
        <v>0</v>
      </c>
      <c r="W24" s="210">
        <f t="shared" si="16"/>
        <v>0</v>
      </c>
      <c r="X24" s="210">
        <f t="shared" si="16"/>
        <v>0</v>
      </c>
      <c r="Y24" s="210">
        <f t="shared" si="16"/>
        <v>0</v>
      </c>
      <c r="Z24" s="210">
        <f t="shared" si="16"/>
        <v>0</v>
      </c>
      <c r="AA24" s="210">
        <f t="shared" si="16"/>
        <v>0</v>
      </c>
      <c r="AB24" s="210">
        <f t="shared" si="16"/>
        <v>0</v>
      </c>
      <c r="AC24" s="210">
        <f t="shared" si="16"/>
        <v>0</v>
      </c>
      <c r="AD24" s="210">
        <f t="shared" si="16"/>
        <v>0</v>
      </c>
      <c r="AE24" s="210">
        <f t="shared" si="16"/>
        <v>0</v>
      </c>
      <c r="AF24" s="212"/>
      <c r="AG24" s="176">
        <f t="shared" si="4"/>
        <v>0</v>
      </c>
      <c r="AH24" s="672">
        <f t="shared" si="7"/>
        <v>0</v>
      </c>
    </row>
    <row r="25" spans="1:34" s="178" customFormat="1" x14ac:dyDescent="0.3">
      <c r="A25" s="151" t="s">
        <v>33</v>
      </c>
      <c r="B25" s="210">
        <f>B14+B20</f>
        <v>55431.297999999995</v>
      </c>
      <c r="C25" s="210">
        <f t="shared" si="15"/>
        <v>14035.768</v>
      </c>
      <c r="D25" s="210">
        <f t="shared" si="15"/>
        <v>12565.22</v>
      </c>
      <c r="E25" s="210">
        <f t="shared" si="15"/>
        <v>12565.22</v>
      </c>
      <c r="F25" s="210">
        <f>E25/B25*100</f>
        <v>22.668096280191744</v>
      </c>
      <c r="G25" s="210">
        <f>E25/C25*100</f>
        <v>89.522853327299217</v>
      </c>
      <c r="H25" s="210">
        <f t="shared" ref="H25:AE26" si="17">H14+H20</f>
        <v>7282.4679999999998</v>
      </c>
      <c r="I25" s="210">
        <f t="shared" si="17"/>
        <v>4150.3499999999995</v>
      </c>
      <c r="J25" s="210">
        <f t="shared" si="17"/>
        <v>3409</v>
      </c>
      <c r="K25" s="210">
        <f t="shared" si="17"/>
        <v>4844.8900000000003</v>
      </c>
      <c r="L25" s="210">
        <f t="shared" si="17"/>
        <v>3344.3</v>
      </c>
      <c r="M25" s="210">
        <f t="shared" si="17"/>
        <v>3569.98</v>
      </c>
      <c r="N25" s="210">
        <f t="shared" si="17"/>
        <v>5005</v>
      </c>
      <c r="O25" s="210">
        <f t="shared" si="17"/>
        <v>0</v>
      </c>
      <c r="P25" s="210">
        <f t="shared" si="17"/>
        <v>4332.8999999999996</v>
      </c>
      <c r="Q25" s="210">
        <f t="shared" si="17"/>
        <v>0</v>
      </c>
      <c r="R25" s="210">
        <f>R14+R20</f>
        <v>4650</v>
      </c>
      <c r="S25" s="210">
        <f t="shared" si="17"/>
        <v>0</v>
      </c>
      <c r="T25" s="210">
        <f t="shared" si="17"/>
        <v>5205</v>
      </c>
      <c r="U25" s="210">
        <f t="shared" si="17"/>
        <v>0</v>
      </c>
      <c r="V25" s="210">
        <f t="shared" si="17"/>
        <v>4550</v>
      </c>
      <c r="W25" s="210">
        <f t="shared" si="17"/>
        <v>0</v>
      </c>
      <c r="X25" s="210">
        <f t="shared" si="17"/>
        <v>3777.8</v>
      </c>
      <c r="Y25" s="210">
        <f t="shared" si="17"/>
        <v>0</v>
      </c>
      <c r="Z25" s="210">
        <f t="shared" si="17"/>
        <v>4299.1000000000004</v>
      </c>
      <c r="AA25" s="210">
        <f t="shared" si="17"/>
        <v>0</v>
      </c>
      <c r="AB25" s="210">
        <f t="shared" si="17"/>
        <v>3308</v>
      </c>
      <c r="AC25" s="210">
        <f t="shared" si="17"/>
        <v>0</v>
      </c>
      <c r="AD25" s="210">
        <f t="shared" si="17"/>
        <v>6267.73</v>
      </c>
      <c r="AE25" s="210">
        <f t="shared" si="17"/>
        <v>0</v>
      </c>
      <c r="AF25" s="212"/>
      <c r="AG25" s="176">
        <f t="shared" si="4"/>
        <v>0</v>
      </c>
      <c r="AH25" s="672">
        <f t="shared" si="7"/>
        <v>1470.5480000000007</v>
      </c>
    </row>
    <row r="26" spans="1:34" s="178" customFormat="1" x14ac:dyDescent="0.3">
      <c r="A26" s="153" t="s">
        <v>221</v>
      </c>
      <c r="B26" s="210">
        <f t="shared" si="15"/>
        <v>0</v>
      </c>
      <c r="C26" s="210">
        <f t="shared" si="15"/>
        <v>0</v>
      </c>
      <c r="D26" s="210">
        <f>D15+D21</f>
        <v>0</v>
      </c>
      <c r="E26" s="210">
        <f>E15+E21</f>
        <v>0</v>
      </c>
      <c r="F26" s="210">
        <f>F21+F15</f>
        <v>0</v>
      </c>
      <c r="G26" s="210">
        <f>G21+G15</f>
        <v>0</v>
      </c>
      <c r="H26" s="210">
        <f t="shared" si="17"/>
        <v>0</v>
      </c>
      <c r="I26" s="210">
        <f>I15+I21</f>
        <v>0</v>
      </c>
      <c r="J26" s="210">
        <f t="shared" si="17"/>
        <v>0</v>
      </c>
      <c r="K26" s="210">
        <f t="shared" si="17"/>
        <v>0</v>
      </c>
      <c r="L26" s="210">
        <f t="shared" si="17"/>
        <v>0</v>
      </c>
      <c r="M26" s="210">
        <f t="shared" si="17"/>
        <v>0</v>
      </c>
      <c r="N26" s="210">
        <f t="shared" si="17"/>
        <v>0</v>
      </c>
      <c r="O26" s="210">
        <f t="shared" si="17"/>
        <v>0</v>
      </c>
      <c r="P26" s="210">
        <f t="shared" si="17"/>
        <v>0</v>
      </c>
      <c r="Q26" s="210">
        <f t="shared" si="17"/>
        <v>0</v>
      </c>
      <c r="R26" s="210">
        <f t="shared" si="17"/>
        <v>0</v>
      </c>
      <c r="S26" s="210">
        <f t="shared" si="17"/>
        <v>0</v>
      </c>
      <c r="T26" s="210">
        <f t="shared" si="17"/>
        <v>0</v>
      </c>
      <c r="U26" s="210">
        <f t="shared" si="17"/>
        <v>0</v>
      </c>
      <c r="V26" s="210">
        <f t="shared" si="17"/>
        <v>0</v>
      </c>
      <c r="W26" s="210">
        <f t="shared" si="17"/>
        <v>0</v>
      </c>
      <c r="X26" s="210">
        <f t="shared" si="17"/>
        <v>0</v>
      </c>
      <c r="Y26" s="210">
        <f t="shared" si="17"/>
        <v>0</v>
      </c>
      <c r="Z26" s="210">
        <f t="shared" si="17"/>
        <v>0</v>
      </c>
      <c r="AA26" s="210">
        <f t="shared" si="17"/>
        <v>0</v>
      </c>
      <c r="AB26" s="210">
        <f t="shared" si="17"/>
        <v>0</v>
      </c>
      <c r="AC26" s="210">
        <f t="shared" si="17"/>
        <v>0</v>
      </c>
      <c r="AD26" s="210">
        <f t="shared" si="17"/>
        <v>0</v>
      </c>
      <c r="AE26" s="210">
        <f t="shared" si="17"/>
        <v>0</v>
      </c>
      <c r="AF26" s="212"/>
      <c r="AG26" s="176">
        <f t="shared" si="4"/>
        <v>0</v>
      </c>
      <c r="AH26" s="672">
        <f t="shared" si="7"/>
        <v>0</v>
      </c>
    </row>
    <row r="27" spans="1:34" s="178" customFormat="1" ht="37.5" x14ac:dyDescent="0.3">
      <c r="A27" s="149" t="s">
        <v>64</v>
      </c>
      <c r="B27" s="208">
        <f>B22</f>
        <v>55431.297999999995</v>
      </c>
      <c r="C27" s="208">
        <f t="shared" ref="C27:AE27" si="18">C22</f>
        <v>14035.768</v>
      </c>
      <c r="D27" s="208">
        <f t="shared" si="18"/>
        <v>12565.22</v>
      </c>
      <c r="E27" s="208">
        <f t="shared" si="18"/>
        <v>12565.22</v>
      </c>
      <c r="F27" s="208">
        <f t="shared" si="18"/>
        <v>22.668096280191744</v>
      </c>
      <c r="G27" s="208">
        <f t="shared" si="18"/>
        <v>89.522853327299217</v>
      </c>
      <c r="H27" s="208">
        <f t="shared" si="18"/>
        <v>7282.4679999999998</v>
      </c>
      <c r="I27" s="208">
        <f t="shared" si="18"/>
        <v>4150.3499999999995</v>
      </c>
      <c r="J27" s="208">
        <f t="shared" si="18"/>
        <v>3409</v>
      </c>
      <c r="K27" s="208">
        <f t="shared" si="18"/>
        <v>4844.8900000000003</v>
      </c>
      <c r="L27" s="208">
        <f t="shared" si="18"/>
        <v>3344.3</v>
      </c>
      <c r="M27" s="208">
        <f t="shared" si="18"/>
        <v>3569.98</v>
      </c>
      <c r="N27" s="208">
        <f t="shared" si="18"/>
        <v>5005</v>
      </c>
      <c r="O27" s="208">
        <f t="shared" si="18"/>
        <v>0</v>
      </c>
      <c r="P27" s="208">
        <f t="shared" si="18"/>
        <v>4332.8999999999996</v>
      </c>
      <c r="Q27" s="208">
        <f t="shared" si="18"/>
        <v>0</v>
      </c>
      <c r="R27" s="208">
        <f t="shared" si="18"/>
        <v>4650</v>
      </c>
      <c r="S27" s="208">
        <f t="shared" si="18"/>
        <v>0</v>
      </c>
      <c r="T27" s="208">
        <f t="shared" si="18"/>
        <v>5205</v>
      </c>
      <c r="U27" s="208">
        <f t="shared" si="18"/>
        <v>0</v>
      </c>
      <c r="V27" s="208">
        <f t="shared" si="18"/>
        <v>4550</v>
      </c>
      <c r="W27" s="208">
        <f t="shared" si="18"/>
        <v>0</v>
      </c>
      <c r="X27" s="208">
        <f t="shared" si="18"/>
        <v>3777.8</v>
      </c>
      <c r="Y27" s="208">
        <f t="shared" si="18"/>
        <v>0</v>
      </c>
      <c r="Z27" s="208">
        <f t="shared" si="18"/>
        <v>4299.1000000000004</v>
      </c>
      <c r="AA27" s="208">
        <f t="shared" si="18"/>
        <v>0</v>
      </c>
      <c r="AB27" s="208">
        <f t="shared" si="18"/>
        <v>3308</v>
      </c>
      <c r="AC27" s="208">
        <f t="shared" si="18"/>
        <v>0</v>
      </c>
      <c r="AD27" s="208">
        <f>AD22</f>
        <v>6267.73</v>
      </c>
      <c r="AE27" s="208">
        <f t="shared" si="18"/>
        <v>0</v>
      </c>
      <c r="AF27" s="209"/>
      <c r="AG27" s="176">
        <f t="shared" si="4"/>
        <v>0</v>
      </c>
      <c r="AH27" s="672">
        <f t="shared" si="7"/>
        <v>1470.5480000000007</v>
      </c>
    </row>
    <row r="28" spans="1:34" s="178" customFormat="1" x14ac:dyDescent="0.3">
      <c r="A28" s="151" t="s">
        <v>169</v>
      </c>
      <c r="B28" s="210">
        <f>B12+B18</f>
        <v>0</v>
      </c>
      <c r="C28" s="210">
        <f t="shared" ref="C28:E28" si="19">C12+C18</f>
        <v>0</v>
      </c>
      <c r="D28" s="210">
        <f t="shared" si="19"/>
        <v>0</v>
      </c>
      <c r="E28" s="210">
        <f t="shared" si="19"/>
        <v>0</v>
      </c>
      <c r="F28" s="210">
        <f t="shared" ref="F28:F29" si="20">IFERROR(E28/B28*100,0)</f>
        <v>0</v>
      </c>
      <c r="G28" s="210">
        <f t="shared" ref="G28:G29" si="21">IFERROR(E28/C28*100,0)</f>
        <v>0</v>
      </c>
      <c r="H28" s="210">
        <f t="shared" ref="H28:AE31" si="22">H12+H18</f>
        <v>0</v>
      </c>
      <c r="I28" s="210">
        <f t="shared" si="22"/>
        <v>0</v>
      </c>
      <c r="J28" s="210">
        <f t="shared" si="22"/>
        <v>0</v>
      </c>
      <c r="K28" s="210">
        <f t="shared" si="22"/>
        <v>0</v>
      </c>
      <c r="L28" s="210">
        <f t="shared" si="22"/>
        <v>0</v>
      </c>
      <c r="M28" s="210">
        <f t="shared" si="22"/>
        <v>0</v>
      </c>
      <c r="N28" s="210">
        <f t="shared" si="22"/>
        <v>0</v>
      </c>
      <c r="O28" s="210">
        <f t="shared" si="22"/>
        <v>0</v>
      </c>
      <c r="P28" s="210">
        <f t="shared" si="22"/>
        <v>0</v>
      </c>
      <c r="Q28" s="210">
        <f t="shared" si="22"/>
        <v>0</v>
      </c>
      <c r="R28" s="210">
        <f t="shared" si="22"/>
        <v>0</v>
      </c>
      <c r="S28" s="210">
        <f t="shared" si="22"/>
        <v>0</v>
      </c>
      <c r="T28" s="210">
        <f t="shared" si="22"/>
        <v>0</v>
      </c>
      <c r="U28" s="210">
        <f t="shared" si="22"/>
        <v>0</v>
      </c>
      <c r="V28" s="210">
        <f t="shared" si="22"/>
        <v>0</v>
      </c>
      <c r="W28" s="210">
        <f t="shared" si="22"/>
        <v>0</v>
      </c>
      <c r="X28" s="210">
        <f t="shared" si="22"/>
        <v>0</v>
      </c>
      <c r="Y28" s="210">
        <f t="shared" si="22"/>
        <v>0</v>
      </c>
      <c r="Z28" s="210">
        <f t="shared" si="22"/>
        <v>0</v>
      </c>
      <c r="AA28" s="210">
        <f t="shared" si="22"/>
        <v>0</v>
      </c>
      <c r="AB28" s="210">
        <f t="shared" si="22"/>
        <v>0</v>
      </c>
      <c r="AC28" s="210">
        <f t="shared" si="22"/>
        <v>0</v>
      </c>
      <c r="AD28" s="210">
        <f t="shared" si="22"/>
        <v>0</v>
      </c>
      <c r="AE28" s="210">
        <f t="shared" si="22"/>
        <v>0</v>
      </c>
      <c r="AF28" s="211"/>
      <c r="AG28" s="176">
        <f t="shared" si="4"/>
        <v>0</v>
      </c>
      <c r="AH28" s="672">
        <f t="shared" si="7"/>
        <v>0</v>
      </c>
    </row>
    <row r="29" spans="1:34" s="178" customFormat="1" x14ac:dyDescent="0.3">
      <c r="A29" s="151" t="s">
        <v>32</v>
      </c>
      <c r="B29" s="210">
        <f t="shared" ref="B29:E31" si="23">B13+B19</f>
        <v>0</v>
      </c>
      <c r="C29" s="210">
        <f t="shared" si="23"/>
        <v>0</v>
      </c>
      <c r="D29" s="210">
        <f t="shared" si="23"/>
        <v>0</v>
      </c>
      <c r="E29" s="210">
        <f t="shared" si="23"/>
        <v>0</v>
      </c>
      <c r="F29" s="210">
        <f t="shared" si="20"/>
        <v>0</v>
      </c>
      <c r="G29" s="210">
        <f t="shared" si="21"/>
        <v>0</v>
      </c>
      <c r="H29" s="210">
        <f t="shared" si="22"/>
        <v>0</v>
      </c>
      <c r="I29" s="210">
        <f t="shared" si="22"/>
        <v>0</v>
      </c>
      <c r="J29" s="210">
        <f t="shared" si="22"/>
        <v>0</v>
      </c>
      <c r="K29" s="210">
        <f t="shared" si="22"/>
        <v>0</v>
      </c>
      <c r="L29" s="210">
        <f t="shared" si="22"/>
        <v>0</v>
      </c>
      <c r="M29" s="210">
        <f t="shared" si="22"/>
        <v>0</v>
      </c>
      <c r="N29" s="210">
        <f t="shared" si="22"/>
        <v>0</v>
      </c>
      <c r="O29" s="210">
        <f t="shared" si="22"/>
        <v>0</v>
      </c>
      <c r="P29" s="210">
        <f t="shared" si="22"/>
        <v>0</v>
      </c>
      <c r="Q29" s="210">
        <f t="shared" si="22"/>
        <v>0</v>
      </c>
      <c r="R29" s="210">
        <f t="shared" si="22"/>
        <v>0</v>
      </c>
      <c r="S29" s="210">
        <f t="shared" si="22"/>
        <v>0</v>
      </c>
      <c r="T29" s="210">
        <f t="shared" si="22"/>
        <v>0</v>
      </c>
      <c r="U29" s="210">
        <f t="shared" si="22"/>
        <v>0</v>
      </c>
      <c r="V29" s="210">
        <f t="shared" si="22"/>
        <v>0</v>
      </c>
      <c r="W29" s="210">
        <f t="shared" si="22"/>
        <v>0</v>
      </c>
      <c r="X29" s="210">
        <f t="shared" si="22"/>
        <v>0</v>
      </c>
      <c r="Y29" s="210">
        <f t="shared" si="22"/>
        <v>0</v>
      </c>
      <c r="Z29" s="210">
        <f t="shared" si="22"/>
        <v>0</v>
      </c>
      <c r="AA29" s="210">
        <f t="shared" si="22"/>
        <v>0</v>
      </c>
      <c r="AB29" s="210">
        <f t="shared" si="22"/>
        <v>0</v>
      </c>
      <c r="AC29" s="210">
        <f t="shared" si="22"/>
        <v>0</v>
      </c>
      <c r="AD29" s="210">
        <f t="shared" si="22"/>
        <v>0</v>
      </c>
      <c r="AE29" s="210">
        <f t="shared" si="22"/>
        <v>0</v>
      </c>
      <c r="AF29" s="212"/>
      <c r="AG29" s="176">
        <f t="shared" si="4"/>
        <v>0</v>
      </c>
      <c r="AH29" s="672">
        <f t="shared" si="7"/>
        <v>0</v>
      </c>
    </row>
    <row r="30" spans="1:34" s="178" customFormat="1" x14ac:dyDescent="0.3">
      <c r="A30" s="151" t="s">
        <v>33</v>
      </c>
      <c r="B30" s="210">
        <f>B25</f>
        <v>55431.297999999995</v>
      </c>
      <c r="C30" s="210">
        <f>C25</f>
        <v>14035.768</v>
      </c>
      <c r="D30" s="210">
        <f>D25</f>
        <v>12565.22</v>
      </c>
      <c r="E30" s="210">
        <f t="shared" ref="E30:AE30" si="24">E25</f>
        <v>12565.22</v>
      </c>
      <c r="F30" s="210">
        <f t="shared" si="24"/>
        <v>22.668096280191744</v>
      </c>
      <c r="G30" s="210">
        <f t="shared" si="24"/>
        <v>89.522853327299217</v>
      </c>
      <c r="H30" s="210">
        <f t="shared" si="24"/>
        <v>7282.4679999999998</v>
      </c>
      <c r="I30" s="210">
        <f t="shared" si="24"/>
        <v>4150.3499999999995</v>
      </c>
      <c r="J30" s="210">
        <f t="shared" si="24"/>
        <v>3409</v>
      </c>
      <c r="K30" s="210">
        <f t="shared" si="24"/>
        <v>4844.8900000000003</v>
      </c>
      <c r="L30" s="210">
        <f t="shared" si="24"/>
        <v>3344.3</v>
      </c>
      <c r="M30" s="210">
        <f t="shared" si="24"/>
        <v>3569.98</v>
      </c>
      <c r="N30" s="210">
        <f t="shared" si="24"/>
        <v>5005</v>
      </c>
      <c r="O30" s="210">
        <f t="shared" si="24"/>
        <v>0</v>
      </c>
      <c r="P30" s="210">
        <f t="shared" si="24"/>
        <v>4332.8999999999996</v>
      </c>
      <c r="Q30" s="210">
        <f t="shared" si="24"/>
        <v>0</v>
      </c>
      <c r="R30" s="210">
        <f t="shared" si="24"/>
        <v>4650</v>
      </c>
      <c r="S30" s="210">
        <f t="shared" si="24"/>
        <v>0</v>
      </c>
      <c r="T30" s="210">
        <f t="shared" si="24"/>
        <v>5205</v>
      </c>
      <c r="U30" s="210">
        <f t="shared" si="24"/>
        <v>0</v>
      </c>
      <c r="V30" s="210">
        <f t="shared" si="24"/>
        <v>4550</v>
      </c>
      <c r="W30" s="210">
        <f t="shared" si="24"/>
        <v>0</v>
      </c>
      <c r="X30" s="210">
        <f t="shared" si="24"/>
        <v>3777.8</v>
      </c>
      <c r="Y30" s="210">
        <f t="shared" si="24"/>
        <v>0</v>
      </c>
      <c r="Z30" s="210">
        <f t="shared" si="24"/>
        <v>4299.1000000000004</v>
      </c>
      <c r="AA30" s="210">
        <f t="shared" si="24"/>
        <v>0</v>
      </c>
      <c r="AB30" s="210">
        <f t="shared" si="24"/>
        <v>3308</v>
      </c>
      <c r="AC30" s="210">
        <f t="shared" si="24"/>
        <v>0</v>
      </c>
      <c r="AD30" s="210">
        <f t="shared" si="24"/>
        <v>6267.73</v>
      </c>
      <c r="AE30" s="210">
        <f t="shared" si="24"/>
        <v>0</v>
      </c>
      <c r="AF30" s="212"/>
      <c r="AG30" s="176">
        <f t="shared" si="4"/>
        <v>0</v>
      </c>
      <c r="AH30" s="672">
        <f t="shared" si="7"/>
        <v>1470.5480000000007</v>
      </c>
    </row>
    <row r="31" spans="1:34" s="178" customFormat="1" x14ac:dyDescent="0.3">
      <c r="A31" s="153" t="s">
        <v>221</v>
      </c>
      <c r="B31" s="210">
        <f t="shared" si="23"/>
        <v>0</v>
      </c>
      <c r="C31" s="210">
        <f t="shared" si="23"/>
        <v>0</v>
      </c>
      <c r="D31" s="210">
        <f t="shared" si="23"/>
        <v>0</v>
      </c>
      <c r="E31" s="210">
        <f>E15+E21</f>
        <v>0</v>
      </c>
      <c r="F31" s="210">
        <f t="shared" ref="F31:G31" si="25">F15+F21</f>
        <v>0</v>
      </c>
      <c r="G31" s="210">
        <f t="shared" si="25"/>
        <v>0</v>
      </c>
      <c r="H31" s="210">
        <f t="shared" si="22"/>
        <v>0</v>
      </c>
      <c r="I31" s="210">
        <f t="shared" si="22"/>
        <v>0</v>
      </c>
      <c r="J31" s="210">
        <f t="shared" si="22"/>
        <v>0</v>
      </c>
      <c r="K31" s="210">
        <f t="shared" si="22"/>
        <v>0</v>
      </c>
      <c r="L31" s="210">
        <f t="shared" si="22"/>
        <v>0</v>
      </c>
      <c r="M31" s="210">
        <f t="shared" si="22"/>
        <v>0</v>
      </c>
      <c r="N31" s="210">
        <f t="shared" si="22"/>
        <v>0</v>
      </c>
      <c r="O31" s="210">
        <f t="shared" si="22"/>
        <v>0</v>
      </c>
      <c r="P31" s="210">
        <f t="shared" si="22"/>
        <v>0</v>
      </c>
      <c r="Q31" s="210">
        <f t="shared" si="22"/>
        <v>0</v>
      </c>
      <c r="R31" s="210">
        <f t="shared" si="22"/>
        <v>0</v>
      </c>
      <c r="S31" s="210">
        <f t="shared" si="22"/>
        <v>0</v>
      </c>
      <c r="T31" s="210">
        <f t="shared" si="22"/>
        <v>0</v>
      </c>
      <c r="U31" s="210">
        <f t="shared" si="22"/>
        <v>0</v>
      </c>
      <c r="V31" s="210">
        <f t="shared" si="22"/>
        <v>0</v>
      </c>
      <c r="W31" s="210">
        <f t="shared" si="22"/>
        <v>0</v>
      </c>
      <c r="X31" s="210">
        <f t="shared" si="22"/>
        <v>0</v>
      </c>
      <c r="Y31" s="210">
        <f t="shared" si="22"/>
        <v>0</v>
      </c>
      <c r="Z31" s="210">
        <f t="shared" si="22"/>
        <v>0</v>
      </c>
      <c r="AA31" s="210">
        <f t="shared" si="22"/>
        <v>0</v>
      </c>
      <c r="AB31" s="210">
        <f t="shared" si="22"/>
        <v>0</v>
      </c>
      <c r="AC31" s="210">
        <f t="shared" si="22"/>
        <v>0</v>
      </c>
      <c r="AD31" s="210">
        <f t="shared" si="22"/>
        <v>0</v>
      </c>
      <c r="AE31" s="210">
        <f t="shared" si="22"/>
        <v>0</v>
      </c>
      <c r="AF31" s="212"/>
      <c r="AG31" s="176">
        <f t="shared" si="4"/>
        <v>0</v>
      </c>
      <c r="AH31" s="672">
        <f t="shared" si="7"/>
        <v>0</v>
      </c>
    </row>
    <row r="32" spans="1:34" s="160" customFormat="1" x14ac:dyDescent="0.3">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G32" s="176"/>
    </row>
    <row r="33" spans="1:40" s="523" customFormat="1" ht="15.75" x14ac:dyDescent="0.25">
      <c r="A33" s="526" t="s">
        <v>484</v>
      </c>
      <c r="B33" s="526"/>
      <c r="C33" s="526"/>
      <c r="D33" s="526"/>
      <c r="E33" s="526"/>
      <c r="F33" s="526"/>
      <c r="G33" s="526"/>
      <c r="H33" s="526"/>
      <c r="I33" s="526"/>
      <c r="J33" s="526"/>
      <c r="K33" s="526"/>
      <c r="L33" s="526"/>
      <c r="M33" s="526"/>
      <c r="P33" s="522"/>
      <c r="Q33" s="522"/>
      <c r="R33" s="522"/>
      <c r="S33" s="522"/>
      <c r="V33" s="524"/>
      <c r="W33" s="524"/>
      <c r="AF33" s="522"/>
      <c r="AG33" s="522"/>
      <c r="AH33" s="522"/>
      <c r="AI33" s="522"/>
      <c r="AJ33" s="522"/>
      <c r="AK33" s="522"/>
      <c r="AL33" s="522"/>
      <c r="AM33" s="522"/>
      <c r="AN33" s="525"/>
    </row>
    <row r="34" spans="1:40" s="523" customFormat="1" ht="15.75" x14ac:dyDescent="0.25">
      <c r="A34" s="526" t="s">
        <v>485</v>
      </c>
      <c r="B34" s="527" t="s">
        <v>486</v>
      </c>
      <c r="C34" s="527" t="s">
        <v>487</v>
      </c>
      <c r="D34" s="731"/>
      <c r="E34" s="527"/>
      <c r="F34" s="527"/>
      <c r="G34" s="527"/>
      <c r="H34" s="528"/>
      <c r="I34" s="528"/>
      <c r="J34" s="528"/>
      <c r="K34" s="528"/>
      <c r="L34" s="522"/>
      <c r="M34" s="522"/>
      <c r="N34" s="522"/>
      <c r="O34" s="522"/>
      <c r="P34" s="522"/>
      <c r="Q34" s="522"/>
      <c r="R34" s="522"/>
      <c r="S34" s="522"/>
      <c r="V34" s="524"/>
      <c r="W34" s="524"/>
      <c r="AF34" s="522"/>
      <c r="AG34" s="522"/>
      <c r="AH34" s="522"/>
      <c r="AI34" s="522"/>
      <c r="AJ34" s="522"/>
      <c r="AK34" s="522"/>
      <c r="AL34" s="522"/>
      <c r="AM34" s="522"/>
      <c r="AN34" s="525"/>
    </row>
    <row r="35" spans="1:40" s="523" customFormat="1" ht="15.75" x14ac:dyDescent="0.25">
      <c r="A35" s="525"/>
      <c r="H35" s="522"/>
      <c r="I35" s="522"/>
      <c r="J35" s="522"/>
      <c r="K35" s="522"/>
      <c r="L35" s="522"/>
      <c r="M35" s="522"/>
      <c r="N35" s="522"/>
      <c r="O35" s="522"/>
      <c r="P35" s="522"/>
      <c r="Q35" s="522"/>
      <c r="R35" s="522"/>
      <c r="S35" s="522"/>
      <c r="V35" s="524"/>
      <c r="W35" s="524"/>
      <c r="AF35" s="522"/>
      <c r="AG35" s="522"/>
      <c r="AH35" s="522"/>
      <c r="AI35" s="522"/>
      <c r="AJ35" s="522"/>
      <c r="AK35" s="522"/>
      <c r="AL35" s="522"/>
      <c r="AM35" s="522"/>
      <c r="AN35" s="525"/>
    </row>
    <row r="36" spans="1:40" s="523" customFormat="1" ht="15.75" x14ac:dyDescent="0.25">
      <c r="A36" s="526" t="s">
        <v>488</v>
      </c>
      <c r="B36" s="526"/>
      <c r="C36" s="526"/>
      <c r="D36" s="526"/>
      <c r="E36" s="526"/>
      <c r="F36" s="526"/>
      <c r="G36" s="526"/>
      <c r="H36" s="526"/>
      <c r="I36" s="526"/>
      <c r="J36" s="526"/>
      <c r="K36" s="526"/>
      <c r="L36" s="526"/>
      <c r="M36" s="526"/>
      <c r="N36" s="526"/>
      <c r="O36" s="526"/>
      <c r="P36" s="522"/>
      <c r="Q36" s="522"/>
      <c r="R36" s="522"/>
      <c r="S36" s="522"/>
      <c r="V36" s="524"/>
      <c r="W36" s="524"/>
      <c r="AF36" s="522"/>
      <c r="AG36" s="522"/>
      <c r="AH36" s="522"/>
      <c r="AI36" s="522"/>
      <c r="AJ36" s="522"/>
      <c r="AK36" s="522"/>
      <c r="AL36" s="522"/>
      <c r="AM36" s="522"/>
      <c r="AN36" s="525"/>
    </row>
    <row r="37" spans="1:40" x14ac:dyDescent="0.3">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row>
    <row r="86" spans="6:7" x14ac:dyDescent="0.3">
      <c r="F86" s="10">
        <v>0</v>
      </c>
      <c r="G86" s="10" t="e">
        <f>E86/C86*100</f>
        <v>#DIV/0!</v>
      </c>
    </row>
    <row r="89" spans="6:7" x14ac:dyDescent="0.3">
      <c r="F89" s="10">
        <v>0</v>
      </c>
      <c r="G89" s="10">
        <v>0</v>
      </c>
    </row>
  </sheetData>
  <customSheetViews>
    <customSheetView guid="{533DC55B-6AD4-4674-9488-685EF2039F3E}" scale="90">
      <pane xSplit="2" ySplit="9" topLeftCell="C10" activePane="bottomRight" state="frozen"/>
      <selection pane="bottomRight" activeCell="D16" sqref="D16"/>
      <pageMargins left="0.7" right="0.7" top="0.75" bottom="0.75" header="0.3" footer="0.3"/>
      <pageSetup paperSize="9" orientation="portrait" r:id="rId1"/>
    </customSheetView>
    <customSheetView guid="{85F4575B-DBC5-482A-9916-255D8F0BC94E}" scale="90">
      <pane xSplit="2" ySplit="9" topLeftCell="C10" activePane="bottomRight" state="frozen"/>
      <selection pane="bottomRight" activeCell="D16" sqref="D16"/>
      <pageMargins left="0.7" right="0.7" top="0.75" bottom="0.75" header="0.3" footer="0.3"/>
      <pageSetup paperSize="9" orientation="portrait" r:id="rId2"/>
    </customSheetView>
    <customSheetView guid="{B1BF08D1-D416-4B47-ADD0-4F59132DC9E8}" scale="90">
      <pane xSplit="2" ySplit="9" topLeftCell="C10" activePane="bottomRight" state="frozen"/>
      <selection pane="bottomRight" activeCell="D16" sqref="D16"/>
      <pageMargins left="0.7" right="0.7" top="0.75" bottom="0.75" header="0.3" footer="0.3"/>
      <pageSetup paperSize="9" orientation="portrait" r:id="rId3"/>
    </customSheetView>
    <customSheetView guid="{4F41B9CC-959D-442C-80B0-1F0DB2C76D27}" scale="90">
      <pane xSplit="2" ySplit="9" topLeftCell="C10" activePane="bottomRight" state="frozen"/>
      <selection pane="bottomRight" activeCell="D16" sqref="D16"/>
      <pageMargins left="0.7" right="0.7" top="0.75" bottom="0.75" header="0.3" footer="0.3"/>
      <pageSetup paperSize="9" orientation="portrait" r:id="rId4"/>
    </customSheetView>
    <customSheetView guid="{602C8EDB-B9EF-4C85-B0D5-0558C3A0ABAB}" scale="90">
      <pane xSplit="2" ySplit="9" topLeftCell="C10" activePane="bottomRight" state="frozen"/>
      <selection pane="bottomRight" activeCell="D16" sqref="D16"/>
      <pageMargins left="0.7" right="0.7" top="0.75" bottom="0.75" header="0.3" footer="0.3"/>
      <pageSetup paperSize="9" orientation="portrait" r:id="rId5"/>
    </customSheetView>
    <customSheetView guid="{D01FA037-9AEC-4167-ADB8-2F327C01ECE6}" scale="90">
      <pane xSplit="2" ySplit="9" topLeftCell="C10" activePane="bottomRight" state="frozen"/>
      <selection pane="bottomRight" activeCell="D16" sqref="D16"/>
      <pageMargins left="0.7" right="0.7" top="0.75" bottom="0.75" header="0.3" footer="0.3"/>
      <pageSetup paperSize="9" orientation="portrait" r:id="rId6"/>
    </customSheetView>
    <customSheetView guid="{84867370-1F3E-4368-AF79-FBCE46FFFE92}" scale="90">
      <pane xSplit="2" ySplit="9" topLeftCell="C10" activePane="bottomRight" state="frozen"/>
      <selection pane="bottomRight" activeCell="D16" sqref="D16"/>
      <pageMargins left="0.7" right="0.7" top="0.75" bottom="0.75" header="0.3" footer="0.3"/>
      <pageSetup paperSize="9" orientation="portrait" r:id="rId7"/>
    </customSheetView>
    <customSheetView guid="{0C2B9C2A-7B94-41EF-A2E6-F8AC9A67DE25}" scale="90">
      <pane xSplit="2" ySplit="9" topLeftCell="W19" activePane="bottomRight" state="frozen"/>
      <selection pane="bottomRight" activeCell="AI16" sqref="AI16"/>
      <pageMargins left="0.7" right="0.7" top="0.75" bottom="0.75" header="0.3" footer="0.3"/>
      <pageSetup paperSize="9" orientation="portrait" r:id="rId8"/>
    </customSheetView>
    <customSheetView guid="{47B983AB-FE5F-4725-860C-A2F29420596D}" scale="90">
      <pane xSplit="2" ySplit="9" topLeftCell="W19" activePane="bottomRight" state="frozen"/>
      <selection pane="bottomRight" activeCell="AI16" sqref="AI16"/>
      <pageMargins left="0.7" right="0.7" top="0.75" bottom="0.75" header="0.3" footer="0.3"/>
      <pageSetup paperSize="9" orientation="portrait" r:id="rId9"/>
    </customSheetView>
    <customSheetView guid="{DAA8A688-7558-4B5B-8DBD-E2629BD9E9A8}" scale="70">
      <pane xSplit="2" ySplit="9" topLeftCell="C25" activePane="bottomRight" state="frozen"/>
      <selection pane="bottomRight" activeCell="A27" sqref="A27"/>
      <pageMargins left="0.7" right="0.7" top="0.75" bottom="0.75" header="0.3" footer="0.3"/>
      <pageSetup paperSize="9" orientation="portrait" r:id="rId10"/>
    </customSheetView>
    <customSheetView guid="{BCD82A82-B724-4763-8580-D765356E09BA}" scale="70">
      <pane xSplit="2" ySplit="9" topLeftCell="C10" activePane="bottomRight" state="frozen"/>
      <selection pane="bottomRight" activeCell="A4" sqref="A4:AD4"/>
      <pageMargins left="0.7" right="0.7" top="0.75" bottom="0.75" header="0.3" footer="0.3"/>
      <pageSetup paperSize="9" orientation="portrait" r:id="rId11"/>
    </customSheetView>
    <customSheetView guid="{C236B307-BD63-48C4-A75F-B3F3717BF55C}" scale="70">
      <pane xSplit="2" ySplit="9" topLeftCell="C25" activePane="bottomRight" state="frozen"/>
      <selection pane="bottomRight" activeCell="A27" sqref="A27"/>
      <pageMargins left="0.7" right="0.7" top="0.75" bottom="0.75" header="0.3" footer="0.3"/>
      <pageSetup paperSize="9" orientation="portrait" r:id="rId12"/>
    </customSheetView>
    <customSheetView guid="{87218168-6C8E-4D5B-A5E5-DCCC26803AA3}" scale="70">
      <pane xSplit="2" ySplit="9" topLeftCell="C25" activePane="bottomRight" state="frozen"/>
      <selection pane="bottomRight" activeCell="A27" sqref="A27"/>
      <pageMargins left="0.7" right="0.7" top="0.75" bottom="0.75" header="0.3" footer="0.3"/>
      <pageSetup paperSize="9" orientation="portrait" r:id="rId13"/>
    </customSheetView>
    <customSheetView guid="{874882D1-E741-4CCA-BF0D-E72FA60B771D}" scale="70">
      <pane xSplit="2" ySplit="9" topLeftCell="C25" activePane="bottomRight" state="frozen"/>
      <selection pane="bottomRight" activeCell="A27" sqref="A27"/>
      <pageMargins left="0.7" right="0.7" top="0.75" bottom="0.75" header="0.3" footer="0.3"/>
      <pageSetup paperSize="9" orientation="portrait" r:id="rId14"/>
    </customSheetView>
    <customSheetView guid="{B82BA08A-1A30-4F4D-A478-74A6BD09EA97}" scale="70">
      <pane xSplit="2" ySplit="9" topLeftCell="C10" activePane="bottomRight" state="frozen"/>
      <selection pane="bottomRight" activeCell="I20" sqref="I20"/>
      <pageMargins left="0.7" right="0.7" top="0.75" bottom="0.75" header="0.3" footer="0.3"/>
      <pageSetup paperSize="9" orientation="portrait" r:id="rId15"/>
    </customSheetView>
    <customSheetView guid="{4D0DFB57-2CBA-42F2-9A97-C453A6851FBA}">
      <pane xSplit="2" ySplit="9" topLeftCell="Y10" activePane="bottomRight" state="frozen"/>
      <selection pane="bottomRight" activeCell="AF14" sqref="AF14"/>
      <pageMargins left="0.7" right="0.7" top="0.75" bottom="0.75" header="0.3" footer="0.3"/>
      <pageSetup paperSize="9" orientation="portrait" r:id="rId16"/>
    </customSheetView>
    <customSheetView guid="{770624BF-07F3-44B6-94C3-4CC447CDD45C}" scale="90">
      <pane xSplit="2" ySplit="9" topLeftCell="W19" activePane="bottomRight" state="frozen"/>
      <selection pane="bottomRight" activeCell="AI16" sqref="AI16"/>
      <pageMargins left="0.7" right="0.7" top="0.75" bottom="0.75" header="0.3" footer="0.3"/>
      <pageSetup paperSize="9" orientation="portrait" r:id="rId17"/>
    </customSheetView>
    <customSheetView guid="{E508E171-4ED9-4B07-84DF-DA28C60E1969}" scale="90">
      <pane xSplit="2" ySplit="9" topLeftCell="W19" activePane="bottomRight" state="frozen"/>
      <selection pane="bottomRight" activeCell="AI16" sqref="AI16"/>
      <pageMargins left="0.7" right="0.7" top="0.75" bottom="0.75" header="0.3" footer="0.3"/>
      <pageSetup paperSize="9" orientation="portrait" r:id="rId18"/>
    </customSheetView>
    <customSheetView guid="{74870EE6-26B9-40F7-9DC9-260EF16D8959}" scale="90">
      <pane xSplit="2" ySplit="9" topLeftCell="W19" activePane="bottomRight" state="frozen"/>
      <selection pane="bottomRight" activeCell="AI16" sqref="AI16"/>
      <pageMargins left="0.7" right="0.7" top="0.75" bottom="0.75" header="0.3" footer="0.3"/>
      <pageSetup paperSize="9" orientation="portrait" r:id="rId19"/>
    </customSheetView>
    <customSheetView guid="{009B3074-D8EC-4952-BF50-43CD64449612}" scale="90">
      <pane xSplit="2" ySplit="9" topLeftCell="G28" activePane="bottomRight" state="frozen"/>
      <selection pane="bottomRight" activeCell="I30" activeCellId="2" sqref="M30 K30 I30"/>
      <pageMargins left="0.7" right="0.7" top="0.75" bottom="0.75" header="0.3" footer="0.3"/>
      <pageSetup paperSize="9" orientation="portrait" r:id="rId20"/>
    </customSheetView>
    <customSheetView guid="{F679EF4A-C5FD-4B86-B87B-D85968E0F2CA}" scale="90">
      <pane xSplit="2" ySplit="9" topLeftCell="C10" activePane="bottomRight" state="frozen"/>
      <selection pane="bottomRight" activeCell="D16" sqref="D16"/>
      <pageMargins left="0.7" right="0.7" top="0.75" bottom="0.75" header="0.3" footer="0.3"/>
      <pageSetup paperSize="9" orientation="portrait" r:id="rId21"/>
    </customSheetView>
    <customSheetView guid="{959E901C-5DDE-42EE-AE94-AB8976B5E00B}" scale="90">
      <pane xSplit="2" ySplit="9" topLeftCell="C10" activePane="bottomRight" state="frozen"/>
      <selection pane="bottomRight" activeCell="D16" sqref="D16"/>
      <pageMargins left="0.7" right="0.7" top="0.75" bottom="0.75" header="0.3" footer="0.3"/>
      <pageSetup paperSize="9" orientation="portrait" r:id="rId22"/>
    </customSheetView>
    <customSheetView guid="{69DABE6F-6182-4403-A4A2-969F10F1C13A}" scale="90">
      <pane xSplit="2" ySplit="9" topLeftCell="C10" activePane="bottomRight" state="frozen"/>
      <selection pane="bottomRight" activeCell="D16" sqref="D16"/>
      <pageMargins left="0.7" right="0.7" top="0.75" bottom="0.75" header="0.3" footer="0.3"/>
      <pageSetup paperSize="9" orientation="portrait" r:id="rId23"/>
    </customSheetView>
    <customSheetView guid="{09C3E205-981E-4A4E-BE89-8B7044192060}" scale="90">
      <pane xSplit="2" ySplit="9" topLeftCell="C10" activePane="bottomRight" state="frozen"/>
      <selection pane="bottomRight" activeCell="D16" sqref="D16"/>
      <pageMargins left="0.7" right="0.7" top="0.75" bottom="0.75" header="0.3" footer="0.3"/>
      <pageSetup paperSize="9" orientation="portrait" r:id="rId24"/>
    </customSheetView>
    <customSheetView guid="{6A602CB8-B24C-4ED4-B378-B27354BE0A1A}" scale="90">
      <pane xSplit="2" ySplit="9" topLeftCell="C10" activePane="bottomRight" state="frozen"/>
      <selection pane="bottomRight" activeCell="D16" sqref="D16"/>
      <pageMargins left="0.7" right="0.7" top="0.75" bottom="0.75" header="0.3" footer="0.3"/>
      <pageSetup paperSize="9" orientation="portrait" r:id="rId25"/>
    </customSheetView>
    <customSheetView guid="{7C130984-112A-4861-AA43-E2940708E3DC}" scale="90" state="hidden">
      <pane xSplit="2" ySplit="9" topLeftCell="C10" activePane="bottomRight" state="frozen"/>
      <selection pane="bottomRight" activeCell="A54" activeCellId="2" sqref="A17 A48 A54"/>
      <pageMargins left="0.7" right="0.7" top="0.75" bottom="0.75" header="0.3" footer="0.3"/>
      <pageSetup paperSize="9" orientation="portrait" r:id="rId26"/>
    </customSheetView>
  </customSheetViews>
  <mergeCells count="21">
    <mergeCell ref="A1:AD1"/>
    <mergeCell ref="A2:AD2"/>
    <mergeCell ref="A3:AD3"/>
    <mergeCell ref="A4:AD4"/>
    <mergeCell ref="AB5:AD5"/>
    <mergeCell ref="Z6:AA6"/>
    <mergeCell ref="AB6:AC6"/>
    <mergeCell ref="AD6:AE6"/>
    <mergeCell ref="AF6:AF7"/>
    <mergeCell ref="A9:AF9"/>
    <mergeCell ref="N6:O6"/>
    <mergeCell ref="P6:Q6"/>
    <mergeCell ref="R6:S6"/>
    <mergeCell ref="T6:U6"/>
    <mergeCell ref="V6:W6"/>
    <mergeCell ref="X6:Y6"/>
    <mergeCell ref="A6:A7"/>
    <mergeCell ref="F6:G6"/>
    <mergeCell ref="H6:I6"/>
    <mergeCell ref="J6:K6"/>
    <mergeCell ref="L6:M6"/>
  </mergeCells>
  <hyperlinks>
    <hyperlink ref="A4:AD4" location="Оглавление!A1" display="Комплексный план (сетевой график) по реализации муниципальной программы &quot;Управление муниципальными финансами в городе Когалыме&quot;"/>
  </hyperlinks>
  <pageMargins left="0.7" right="0.7" top="0.75" bottom="0.75" header="0.3" footer="0.3"/>
  <pageSetup paperSize="9" orientation="portrait" r:id="rId27"/>
  <legacyDrawing r:id="rId2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4" activeCellId="2" sqref="A17 A48 A54"/>
    </sheetView>
  </sheetViews>
  <sheetFormatPr defaultRowHeight="15" x14ac:dyDescent="0.25"/>
  <sheetData/>
  <customSheetViews>
    <customSheetView guid="{533DC55B-6AD4-4674-9488-685EF2039F3E}">
      <pageMargins left="0.7" right="0.7" top="0.75" bottom="0.75" header="0.3" footer="0.3"/>
    </customSheetView>
    <customSheetView guid="{85F4575B-DBC5-482A-9916-255D8F0BC94E}">
      <pageMargins left="0.7" right="0.7" top="0.75" bottom="0.75" header="0.3" footer="0.3"/>
    </customSheetView>
    <customSheetView guid="{B1BF08D1-D416-4B47-ADD0-4F59132DC9E8}">
      <pageMargins left="0.7" right="0.7" top="0.75" bottom="0.75" header="0.3" footer="0.3"/>
    </customSheetView>
    <customSheetView guid="{4F41B9CC-959D-442C-80B0-1F0DB2C76D27}">
      <pageMargins left="0.7" right="0.7" top="0.75" bottom="0.75" header="0.3" footer="0.3"/>
    </customSheetView>
    <customSheetView guid="{602C8EDB-B9EF-4C85-B0D5-0558C3A0ABAB}">
      <pageMargins left="0.7" right="0.7" top="0.75" bottom="0.75" header="0.3" footer="0.3"/>
    </customSheetView>
    <customSheetView guid="{D01FA037-9AEC-4167-ADB8-2F327C01ECE6}">
      <pageMargins left="0.7" right="0.7" top="0.75" bottom="0.75" header="0.3" footer="0.3"/>
    </customSheetView>
    <customSheetView guid="{84867370-1F3E-4368-AF79-FBCE46FFFE92}">
      <pageMargins left="0.7" right="0.7" top="0.75" bottom="0.75" header="0.3" footer="0.3"/>
    </customSheetView>
    <customSheetView guid="{0C2B9C2A-7B94-41EF-A2E6-F8AC9A67DE25}">
      <pageMargins left="0.7" right="0.7" top="0.75" bottom="0.75" header="0.3" footer="0.3"/>
    </customSheetView>
    <customSheetView guid="{47B983AB-FE5F-4725-860C-A2F29420596D}">
      <pageMargins left="0.7" right="0.7" top="0.75" bottom="0.75" header="0.3" footer="0.3"/>
    </customSheetView>
    <customSheetView guid="{DAA8A688-7558-4B5B-8DBD-E2629BD9E9A8}">
      <pageMargins left="0.7" right="0.7" top="0.75" bottom="0.75" header="0.3" footer="0.3"/>
    </customSheetView>
    <customSheetView guid="{C236B307-BD63-48C4-A75F-B3F3717BF55C}">
      <pageMargins left="0.7" right="0.7" top="0.75" bottom="0.75" header="0.3" footer="0.3"/>
    </customSheetView>
    <customSheetView guid="{87218168-6C8E-4D5B-A5E5-DCCC26803AA3}">
      <pageMargins left="0.7" right="0.7" top="0.75" bottom="0.75" header="0.3" footer="0.3"/>
    </customSheetView>
    <customSheetView guid="{874882D1-E741-4CCA-BF0D-E72FA60B771D}">
      <pageMargins left="0.7" right="0.7" top="0.75" bottom="0.75" header="0.3" footer="0.3"/>
    </customSheetView>
    <customSheetView guid="{B82BA08A-1A30-4F4D-A478-74A6BD09EA97}">
      <pageMargins left="0.7" right="0.7" top="0.75" bottom="0.75" header="0.3" footer="0.3"/>
    </customSheetView>
    <customSheetView guid="{4D0DFB57-2CBA-42F2-9A97-C453A6851FBA}">
      <pageMargins left="0.7" right="0.7" top="0.75" bottom="0.75" header="0.3" footer="0.3"/>
    </customSheetView>
    <customSheetView guid="{770624BF-07F3-44B6-94C3-4CC447CDD45C}">
      <pageMargins left="0.7" right="0.7" top="0.75" bottom="0.75" header="0.3" footer="0.3"/>
    </customSheetView>
    <customSheetView guid="{E508E171-4ED9-4B07-84DF-DA28C60E1969}">
      <pageMargins left="0.7" right="0.7" top="0.75" bottom="0.75" header="0.3" footer="0.3"/>
    </customSheetView>
    <customSheetView guid="{74870EE6-26B9-40F7-9DC9-260EF16D8959}">
      <pageMargins left="0.7" right="0.7" top="0.75" bottom="0.75" header="0.3" footer="0.3"/>
    </customSheetView>
    <customSheetView guid="{009B3074-D8EC-4952-BF50-43CD64449612}">
      <pageMargins left="0.7" right="0.7" top="0.75" bottom="0.75" header="0.3" footer="0.3"/>
    </customSheetView>
    <customSheetView guid="{F679EF4A-C5FD-4B86-B87B-D85968E0F2CA}">
      <pageMargins left="0.7" right="0.7" top="0.75" bottom="0.75" header="0.3" footer="0.3"/>
    </customSheetView>
    <customSheetView guid="{959E901C-5DDE-42EE-AE94-AB8976B5E00B}">
      <pageMargins left="0.7" right="0.7" top="0.75" bottom="0.75" header="0.3" footer="0.3"/>
    </customSheetView>
    <customSheetView guid="{69DABE6F-6182-4403-A4A2-969F10F1C13A}">
      <pageMargins left="0.7" right="0.7" top="0.75" bottom="0.75" header="0.3" footer="0.3"/>
    </customSheetView>
    <customSheetView guid="{09C3E205-981E-4A4E-BE89-8B7044192060}">
      <pageMargins left="0.7" right="0.7" top="0.75" bottom="0.75" header="0.3" footer="0.3"/>
    </customSheetView>
    <customSheetView guid="{6A602CB8-B24C-4ED4-B378-B27354BE0A1A}">
      <pageMargins left="0.7" right="0.7" top="0.75" bottom="0.75" header="0.3" footer="0.3"/>
    </customSheetView>
    <customSheetView guid="{7C130984-112A-4861-AA43-E2940708E3DC}" state="hidden">
      <selection activeCell="A54" activeCellId="2" sqref="A17 A48 A54"/>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35"/>
  <sheetViews>
    <sheetView zoomScale="60" zoomScaleNormal="60" workbookViewId="0">
      <pane xSplit="2" ySplit="11" topLeftCell="C12" activePane="bottomRight" state="frozen"/>
      <selection activeCell="A54" activeCellId="2" sqref="A17 A48 A54"/>
      <selection pane="topRight" activeCell="A54" activeCellId="2" sqref="A17 A48 A54"/>
      <selection pane="bottomLeft" activeCell="A54" activeCellId="2" sqref="A17 A48 A54"/>
      <selection pane="bottomRight" activeCell="A54" activeCellId="2" sqref="A17 A48 A54"/>
    </sheetView>
  </sheetViews>
  <sheetFormatPr defaultColWidth="9.140625" defaultRowHeight="18.75" x14ac:dyDescent="0.3"/>
  <cols>
    <col min="1" max="1" width="55" style="33" customWidth="1"/>
    <col min="2" max="5" width="16.7109375" style="33" customWidth="1"/>
    <col min="6" max="7" width="16.42578125" style="33" customWidth="1"/>
    <col min="8" max="8" width="15.140625" style="33" customWidth="1"/>
    <col min="9" max="9" width="13.42578125" style="33" customWidth="1"/>
    <col min="10" max="10" width="16.28515625" style="33" customWidth="1"/>
    <col min="11" max="11" width="14.5703125" style="33" customWidth="1"/>
    <col min="12" max="12" width="15.140625" style="33" customWidth="1"/>
    <col min="13" max="17" width="13.42578125" style="33" customWidth="1"/>
    <col min="18" max="18" width="15.5703125" style="33" customWidth="1"/>
    <col min="19" max="27" width="13.42578125" style="33" customWidth="1"/>
    <col min="28" max="28" width="15.140625" style="33" customWidth="1"/>
    <col min="29" max="29" width="13.42578125" style="33" customWidth="1"/>
    <col min="30" max="30" width="15.85546875" style="33" customWidth="1"/>
    <col min="31" max="31" width="13.42578125" style="33" customWidth="1"/>
    <col min="32" max="32" width="17.7109375" style="33" customWidth="1"/>
    <col min="33" max="33" width="15" style="33" hidden="1" customWidth="1"/>
    <col min="34" max="16384" width="9.140625" style="33"/>
  </cols>
  <sheetData>
    <row r="4" spans="1:33" x14ac:dyDescent="0.3">
      <c r="A4" s="911" t="s">
        <v>331</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row>
    <row r="6" spans="1:33" ht="50.25" customHeight="1" x14ac:dyDescent="0.3">
      <c r="A6" s="912" t="s">
        <v>163</v>
      </c>
      <c r="B6" s="95" t="s">
        <v>3</v>
      </c>
      <c r="C6" s="95" t="s">
        <v>3</v>
      </c>
      <c r="D6" s="95" t="s">
        <v>4</v>
      </c>
      <c r="E6" s="95" t="s">
        <v>5</v>
      </c>
      <c r="F6" s="913" t="s">
        <v>6</v>
      </c>
      <c r="G6" s="914"/>
      <c r="H6" s="913" t="s">
        <v>7</v>
      </c>
      <c r="I6" s="915"/>
      <c r="J6" s="913" t="s">
        <v>8</v>
      </c>
      <c r="K6" s="915"/>
      <c r="L6" s="913" t="s">
        <v>9</v>
      </c>
      <c r="M6" s="915"/>
      <c r="N6" s="913" t="s">
        <v>10</v>
      </c>
      <c r="O6" s="915"/>
      <c r="P6" s="913" t="s">
        <v>11</v>
      </c>
      <c r="Q6" s="915"/>
      <c r="R6" s="913" t="s">
        <v>12</v>
      </c>
      <c r="S6" s="915"/>
      <c r="T6" s="913" t="s">
        <v>13</v>
      </c>
      <c r="U6" s="915"/>
      <c r="V6" s="913" t="s">
        <v>14</v>
      </c>
      <c r="W6" s="915"/>
      <c r="X6" s="913" t="s">
        <v>15</v>
      </c>
      <c r="Y6" s="915"/>
      <c r="Z6" s="913" t="s">
        <v>16</v>
      </c>
      <c r="AA6" s="915"/>
      <c r="AB6" s="913" t="s">
        <v>17</v>
      </c>
      <c r="AC6" s="915"/>
      <c r="AD6" s="916" t="s">
        <v>18</v>
      </c>
      <c r="AE6" s="916"/>
      <c r="AF6" s="902" t="s">
        <v>19</v>
      </c>
    </row>
    <row r="7" spans="1:33" ht="56.25" x14ac:dyDescent="0.3">
      <c r="A7" s="912"/>
      <c r="B7" s="3">
        <v>2024</v>
      </c>
      <c r="C7" s="4">
        <v>45352</v>
      </c>
      <c r="D7" s="4">
        <v>45352</v>
      </c>
      <c r="E7" s="4">
        <v>45352</v>
      </c>
      <c r="F7" s="5" t="s">
        <v>20</v>
      </c>
      <c r="G7" s="5" t="s">
        <v>21</v>
      </c>
      <c r="H7" s="96" t="s">
        <v>22</v>
      </c>
      <c r="I7" s="96" t="s">
        <v>164</v>
      </c>
      <c r="J7" s="96" t="s">
        <v>22</v>
      </c>
      <c r="K7" s="96" t="s">
        <v>164</v>
      </c>
      <c r="L7" s="96" t="s">
        <v>22</v>
      </c>
      <c r="M7" s="96" t="s">
        <v>164</v>
      </c>
      <c r="N7" s="96" t="s">
        <v>22</v>
      </c>
      <c r="O7" s="96" t="s">
        <v>164</v>
      </c>
      <c r="P7" s="96" t="s">
        <v>22</v>
      </c>
      <c r="Q7" s="96" t="s">
        <v>164</v>
      </c>
      <c r="R7" s="96" t="s">
        <v>22</v>
      </c>
      <c r="S7" s="96" t="s">
        <v>164</v>
      </c>
      <c r="T7" s="96" t="s">
        <v>22</v>
      </c>
      <c r="U7" s="96" t="s">
        <v>164</v>
      </c>
      <c r="V7" s="96" t="s">
        <v>22</v>
      </c>
      <c r="W7" s="96" t="s">
        <v>164</v>
      </c>
      <c r="X7" s="96" t="s">
        <v>22</v>
      </c>
      <c r="Y7" s="96" t="s">
        <v>164</v>
      </c>
      <c r="Z7" s="96" t="s">
        <v>22</v>
      </c>
      <c r="AA7" s="96" t="s">
        <v>164</v>
      </c>
      <c r="AB7" s="96" t="s">
        <v>22</v>
      </c>
      <c r="AC7" s="96" t="s">
        <v>164</v>
      </c>
      <c r="AD7" s="96" t="s">
        <v>165</v>
      </c>
      <c r="AE7" s="96" t="s">
        <v>164</v>
      </c>
      <c r="AF7" s="903"/>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631" customFormat="1" ht="37.5" x14ac:dyDescent="0.3">
      <c r="A9" s="643" t="s">
        <v>332</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row>
    <row r="10" spans="1:33" s="631" customFormat="1" x14ac:dyDescent="0.3">
      <c r="A10" s="929" t="s">
        <v>167</v>
      </c>
      <c r="B10" s="930"/>
      <c r="C10" s="930"/>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1"/>
    </row>
    <row r="11" spans="1:33" s="637" customFormat="1" ht="56.25" customHeight="1" x14ac:dyDescent="0.3">
      <c r="A11" s="632" t="s">
        <v>333</v>
      </c>
      <c r="B11" s="633"/>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5"/>
      <c r="AG11" s="636">
        <f>B11-H11-J11-L11-N11-P11-R11-T11-V11-X11-Z11-AB11-AD11</f>
        <v>0</v>
      </c>
    </row>
    <row r="12" spans="1:33" s="637" customFormat="1" x14ac:dyDescent="0.3">
      <c r="A12" s="638" t="s">
        <v>31</v>
      </c>
      <c r="B12" s="639">
        <f>B13+B14+B15+B16</f>
        <v>0</v>
      </c>
      <c r="C12" s="639">
        <f>C13+C14+C15+C16</f>
        <v>0</v>
      </c>
      <c r="D12" s="639">
        <f>D13+D14+D15+D16</f>
        <v>0</v>
      </c>
      <c r="E12" s="639">
        <f>E13+E14+E15+E16</f>
        <v>0</v>
      </c>
      <c r="F12" s="640">
        <f t="shared" ref="F12:F16" si="0">IFERROR(E12/B12*100,0)</f>
        <v>0</v>
      </c>
      <c r="G12" s="640">
        <f t="shared" ref="G12:G16" si="1">IFERROR(E12/C12*100,0)</f>
        <v>0</v>
      </c>
      <c r="H12" s="639">
        <f>H13+H14+H15+H16</f>
        <v>0</v>
      </c>
      <c r="I12" s="639">
        <f t="shared" ref="I12:AE12" si="2">I13+I14+I15+I16</f>
        <v>0</v>
      </c>
      <c r="J12" s="639">
        <f t="shared" si="2"/>
        <v>0</v>
      </c>
      <c r="K12" s="639">
        <f t="shared" si="2"/>
        <v>0</v>
      </c>
      <c r="L12" s="639">
        <f t="shared" si="2"/>
        <v>0</v>
      </c>
      <c r="M12" s="639">
        <f t="shared" si="2"/>
        <v>0</v>
      </c>
      <c r="N12" s="639">
        <f t="shared" si="2"/>
        <v>0</v>
      </c>
      <c r="O12" s="639">
        <f t="shared" si="2"/>
        <v>0</v>
      </c>
      <c r="P12" s="639">
        <f t="shared" si="2"/>
        <v>0</v>
      </c>
      <c r="Q12" s="639">
        <f t="shared" si="2"/>
        <v>0</v>
      </c>
      <c r="R12" s="639">
        <f t="shared" si="2"/>
        <v>0</v>
      </c>
      <c r="S12" s="639">
        <f t="shared" si="2"/>
        <v>0</v>
      </c>
      <c r="T12" s="639">
        <f t="shared" si="2"/>
        <v>0</v>
      </c>
      <c r="U12" s="639">
        <f t="shared" si="2"/>
        <v>0</v>
      </c>
      <c r="V12" s="639">
        <f t="shared" si="2"/>
        <v>0</v>
      </c>
      <c r="W12" s="639">
        <f t="shared" si="2"/>
        <v>0</v>
      </c>
      <c r="X12" s="639">
        <f t="shared" si="2"/>
        <v>0</v>
      </c>
      <c r="Y12" s="639">
        <f t="shared" si="2"/>
        <v>0</v>
      </c>
      <c r="Z12" s="639">
        <f t="shared" si="2"/>
        <v>0</v>
      </c>
      <c r="AA12" s="639">
        <f t="shared" si="2"/>
        <v>0</v>
      </c>
      <c r="AB12" s="639">
        <f t="shared" si="2"/>
        <v>0</v>
      </c>
      <c r="AC12" s="639">
        <f t="shared" si="2"/>
        <v>0</v>
      </c>
      <c r="AD12" s="639">
        <f t="shared" si="2"/>
        <v>0</v>
      </c>
      <c r="AE12" s="639">
        <f t="shared" si="2"/>
        <v>0</v>
      </c>
      <c r="AF12" s="635"/>
      <c r="AG12" s="636">
        <f t="shared" ref="AG12:AG86" si="3">B12-H12-J12-L12-N12-P12-R12-T12-V12-X12-Z12-AB12-AD12</f>
        <v>0</v>
      </c>
    </row>
    <row r="13" spans="1:33" s="637" customFormat="1" x14ac:dyDescent="0.3">
      <c r="A13" s="641" t="s">
        <v>169</v>
      </c>
      <c r="B13" s="642">
        <f t="shared" ref="B13:B16" si="4">J13+L13+N13+P13+R13+T13+V13+X13+Z13+AB13+AD13+H13</f>
        <v>0</v>
      </c>
      <c r="C13" s="642">
        <f t="shared" ref="C13:C16" si="5">SUM(H13)</f>
        <v>0</v>
      </c>
      <c r="D13" s="642">
        <f t="shared" ref="D13:D16" si="6">E13</f>
        <v>0</v>
      </c>
      <c r="E13" s="642">
        <f t="shared" ref="E13:E16" si="7">SUM(I13,K13,M13,O13,Q13,S13,U13,W13,Y13,AA13,AC13,AE13)</f>
        <v>0</v>
      </c>
      <c r="F13" s="642">
        <f t="shared" si="0"/>
        <v>0</v>
      </c>
      <c r="G13" s="642">
        <f t="shared" si="1"/>
        <v>0</v>
      </c>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35"/>
      <c r="AG13" s="636">
        <f t="shared" si="3"/>
        <v>0</v>
      </c>
    </row>
    <row r="14" spans="1:33" s="637" customFormat="1" x14ac:dyDescent="0.3">
      <c r="A14" s="641" t="s">
        <v>32</v>
      </c>
      <c r="B14" s="642">
        <f t="shared" si="4"/>
        <v>0</v>
      </c>
      <c r="C14" s="642">
        <f t="shared" si="5"/>
        <v>0</v>
      </c>
      <c r="D14" s="642">
        <f t="shared" si="6"/>
        <v>0</v>
      </c>
      <c r="E14" s="642">
        <f t="shared" si="7"/>
        <v>0</v>
      </c>
      <c r="F14" s="642">
        <f t="shared" si="0"/>
        <v>0</v>
      </c>
      <c r="G14" s="642">
        <f t="shared" si="1"/>
        <v>0</v>
      </c>
      <c r="H14" s="642"/>
      <c r="I14" s="642"/>
      <c r="J14" s="642"/>
      <c r="K14" s="642"/>
      <c r="L14" s="642"/>
      <c r="M14" s="642"/>
      <c r="N14" s="642"/>
      <c r="O14" s="642"/>
      <c r="P14" s="642"/>
      <c r="Q14" s="642"/>
      <c r="R14" s="642"/>
      <c r="S14" s="642"/>
      <c r="T14" s="642"/>
      <c r="U14" s="642"/>
      <c r="V14" s="642"/>
      <c r="W14" s="642"/>
      <c r="X14" s="642"/>
      <c r="Y14" s="642"/>
      <c r="Z14" s="642"/>
      <c r="AA14" s="642"/>
      <c r="AB14" s="642">
        <v>0</v>
      </c>
      <c r="AC14" s="642"/>
      <c r="AD14" s="642"/>
      <c r="AE14" s="642"/>
      <c r="AF14" s="635"/>
      <c r="AG14" s="636">
        <f t="shared" si="3"/>
        <v>0</v>
      </c>
    </row>
    <row r="15" spans="1:33" s="637" customFormat="1" x14ac:dyDescent="0.3">
      <c r="A15" s="641" t="s">
        <v>33</v>
      </c>
      <c r="B15" s="642">
        <f t="shared" si="4"/>
        <v>0</v>
      </c>
      <c r="C15" s="642">
        <f t="shared" si="5"/>
        <v>0</v>
      </c>
      <c r="D15" s="642">
        <f t="shared" si="6"/>
        <v>0</v>
      </c>
      <c r="E15" s="642">
        <f t="shared" si="7"/>
        <v>0</v>
      </c>
      <c r="F15" s="642">
        <f t="shared" si="0"/>
        <v>0</v>
      </c>
      <c r="G15" s="642">
        <f t="shared" si="1"/>
        <v>0</v>
      </c>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35"/>
      <c r="AG15" s="636">
        <f t="shared" si="3"/>
        <v>0</v>
      </c>
    </row>
    <row r="16" spans="1:33" s="637" customFormat="1" x14ac:dyDescent="0.3">
      <c r="A16" s="641" t="s">
        <v>170</v>
      </c>
      <c r="B16" s="642">
        <f t="shared" si="4"/>
        <v>0</v>
      </c>
      <c r="C16" s="642">
        <f t="shared" si="5"/>
        <v>0</v>
      </c>
      <c r="D16" s="642">
        <f t="shared" si="6"/>
        <v>0</v>
      </c>
      <c r="E16" s="642">
        <f t="shared" si="7"/>
        <v>0</v>
      </c>
      <c r="F16" s="642">
        <f t="shared" si="0"/>
        <v>0</v>
      </c>
      <c r="G16" s="642">
        <f t="shared" si="1"/>
        <v>0</v>
      </c>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35"/>
      <c r="AG16" s="636">
        <f t="shared" si="3"/>
        <v>0</v>
      </c>
    </row>
    <row r="17" spans="1:33" s="637" customFormat="1" ht="109.5" customHeight="1" x14ac:dyDescent="0.3">
      <c r="A17" s="632" t="s">
        <v>334</v>
      </c>
      <c r="B17" s="633"/>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5"/>
      <c r="AG17" s="636">
        <f>B17-H17-J17-L17-N17-P17-R17-T17-V17-X17-Z17-AB17-AD17</f>
        <v>0</v>
      </c>
    </row>
    <row r="18" spans="1:33" s="637" customFormat="1" x14ac:dyDescent="0.3">
      <c r="A18" s="638" t="s">
        <v>31</v>
      </c>
      <c r="B18" s="639">
        <f>B19+B20+B21+B22</f>
        <v>0</v>
      </c>
      <c r="C18" s="639">
        <f>C19+C20+C21+C22</f>
        <v>0</v>
      </c>
      <c r="D18" s="639">
        <f>D19+D20+D21+D22</f>
        <v>0</v>
      </c>
      <c r="E18" s="639">
        <f>E19+E20+E21+E22</f>
        <v>0</v>
      </c>
      <c r="F18" s="640">
        <f t="shared" ref="F18:F22" si="8">IFERROR(E18/B18*100,0)</f>
        <v>0</v>
      </c>
      <c r="G18" s="640">
        <f t="shared" ref="G18:G22" si="9">IFERROR(E18/C18*100,0)</f>
        <v>0</v>
      </c>
      <c r="H18" s="639">
        <f>H19+H20+H21+H22</f>
        <v>0</v>
      </c>
      <c r="I18" s="639">
        <f t="shared" ref="I18:AE18" si="10">I19+I20+I21+I22</f>
        <v>0</v>
      </c>
      <c r="J18" s="639">
        <f t="shared" si="10"/>
        <v>0</v>
      </c>
      <c r="K18" s="639">
        <f t="shared" si="10"/>
        <v>0</v>
      </c>
      <c r="L18" s="639">
        <f t="shared" si="10"/>
        <v>0</v>
      </c>
      <c r="M18" s="639">
        <f t="shared" si="10"/>
        <v>0</v>
      </c>
      <c r="N18" s="639">
        <f t="shared" si="10"/>
        <v>0</v>
      </c>
      <c r="O18" s="639">
        <f t="shared" si="10"/>
        <v>0</v>
      </c>
      <c r="P18" s="639">
        <f t="shared" si="10"/>
        <v>0</v>
      </c>
      <c r="Q18" s="639">
        <f t="shared" si="10"/>
        <v>0</v>
      </c>
      <c r="R18" s="639">
        <f t="shared" si="10"/>
        <v>0</v>
      </c>
      <c r="S18" s="639">
        <f t="shared" si="10"/>
        <v>0</v>
      </c>
      <c r="T18" s="639">
        <f t="shared" si="10"/>
        <v>0</v>
      </c>
      <c r="U18" s="639">
        <f t="shared" si="10"/>
        <v>0</v>
      </c>
      <c r="V18" s="639">
        <f t="shared" si="10"/>
        <v>0</v>
      </c>
      <c r="W18" s="639">
        <f t="shared" si="10"/>
        <v>0</v>
      </c>
      <c r="X18" s="639">
        <f t="shared" si="10"/>
        <v>0</v>
      </c>
      <c r="Y18" s="639">
        <f t="shared" si="10"/>
        <v>0</v>
      </c>
      <c r="Z18" s="639">
        <f t="shared" si="10"/>
        <v>0</v>
      </c>
      <c r="AA18" s="639">
        <f t="shared" si="10"/>
        <v>0</v>
      </c>
      <c r="AB18" s="639">
        <f t="shared" si="10"/>
        <v>0</v>
      </c>
      <c r="AC18" s="639">
        <f t="shared" si="10"/>
        <v>0</v>
      </c>
      <c r="AD18" s="639">
        <f t="shared" si="10"/>
        <v>0</v>
      </c>
      <c r="AE18" s="639">
        <f t="shared" si="10"/>
        <v>0</v>
      </c>
      <c r="AF18" s="635"/>
      <c r="AG18" s="636">
        <f t="shared" ref="AG18:AG22" si="11">B18-H18-J18-L18-N18-P18-R18-T18-V18-X18-Z18-AB18-AD18</f>
        <v>0</v>
      </c>
    </row>
    <row r="19" spans="1:33" s="637" customFormat="1" x14ac:dyDescent="0.3">
      <c r="A19" s="641" t="s">
        <v>169</v>
      </c>
      <c r="B19" s="642">
        <f t="shared" ref="B19:B22" si="12">J19+L19+N19+P19+R19+T19+V19+X19+Z19+AB19+AD19+H19</f>
        <v>0</v>
      </c>
      <c r="C19" s="642">
        <f t="shared" ref="C19:C22" si="13">SUM(H19)</f>
        <v>0</v>
      </c>
      <c r="D19" s="642">
        <f t="shared" ref="D19:D22" si="14">E19</f>
        <v>0</v>
      </c>
      <c r="E19" s="642">
        <f t="shared" ref="E19:E22" si="15">SUM(I19,K19,M19,O19,Q19,S19,U19,W19,Y19,AA19,AC19,AE19)</f>
        <v>0</v>
      </c>
      <c r="F19" s="642">
        <f t="shared" si="8"/>
        <v>0</v>
      </c>
      <c r="G19" s="642">
        <f t="shared" si="9"/>
        <v>0</v>
      </c>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35"/>
      <c r="AG19" s="636">
        <f t="shared" si="11"/>
        <v>0</v>
      </c>
    </row>
    <row r="20" spans="1:33" s="637" customFormat="1" x14ac:dyDescent="0.3">
      <c r="A20" s="641" t="s">
        <v>32</v>
      </c>
      <c r="B20" s="642">
        <f t="shared" si="12"/>
        <v>0</v>
      </c>
      <c r="C20" s="642">
        <f t="shared" si="13"/>
        <v>0</v>
      </c>
      <c r="D20" s="642">
        <f t="shared" si="14"/>
        <v>0</v>
      </c>
      <c r="E20" s="642">
        <f t="shared" si="15"/>
        <v>0</v>
      </c>
      <c r="F20" s="642">
        <f t="shared" si="8"/>
        <v>0</v>
      </c>
      <c r="G20" s="642">
        <f t="shared" si="9"/>
        <v>0</v>
      </c>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35"/>
      <c r="AG20" s="636">
        <f t="shared" si="11"/>
        <v>0</v>
      </c>
    </row>
    <row r="21" spans="1:33" s="637" customFormat="1" x14ac:dyDescent="0.3">
      <c r="A21" s="641" t="s">
        <v>33</v>
      </c>
      <c r="B21" s="642">
        <f t="shared" si="12"/>
        <v>0</v>
      </c>
      <c r="C21" s="642">
        <f t="shared" si="13"/>
        <v>0</v>
      </c>
      <c r="D21" s="642">
        <f t="shared" si="14"/>
        <v>0</v>
      </c>
      <c r="E21" s="642">
        <f t="shared" si="15"/>
        <v>0</v>
      </c>
      <c r="F21" s="642">
        <f t="shared" si="8"/>
        <v>0</v>
      </c>
      <c r="G21" s="642">
        <f t="shared" si="9"/>
        <v>0</v>
      </c>
      <c r="H21" s="642"/>
      <c r="I21" s="642"/>
      <c r="J21" s="642"/>
      <c r="K21" s="642"/>
      <c r="L21" s="642">
        <v>0</v>
      </c>
      <c r="M21" s="642"/>
      <c r="N21" s="642"/>
      <c r="O21" s="642"/>
      <c r="P21" s="642"/>
      <c r="Q21" s="642"/>
      <c r="R21" s="642"/>
      <c r="S21" s="642"/>
      <c r="T21" s="642"/>
      <c r="U21" s="642"/>
      <c r="V21" s="642"/>
      <c r="W21" s="642"/>
      <c r="X21" s="642"/>
      <c r="Y21" s="642"/>
      <c r="Z21" s="642"/>
      <c r="AA21" s="642"/>
      <c r="AB21" s="642">
        <v>0</v>
      </c>
      <c r="AC21" s="642"/>
      <c r="AD21" s="642">
        <v>0</v>
      </c>
      <c r="AE21" s="642"/>
      <c r="AF21" s="635"/>
      <c r="AG21" s="636">
        <f t="shared" si="11"/>
        <v>0</v>
      </c>
    </row>
    <row r="22" spans="1:33" s="637" customFormat="1" x14ac:dyDescent="0.3">
      <c r="A22" s="641" t="s">
        <v>170</v>
      </c>
      <c r="B22" s="642">
        <f t="shared" si="12"/>
        <v>0</v>
      </c>
      <c r="C22" s="642">
        <f t="shared" si="13"/>
        <v>0</v>
      </c>
      <c r="D22" s="642">
        <f t="shared" si="14"/>
        <v>0</v>
      </c>
      <c r="E22" s="642">
        <f t="shared" si="15"/>
        <v>0</v>
      </c>
      <c r="F22" s="642">
        <f t="shared" si="8"/>
        <v>0</v>
      </c>
      <c r="G22" s="642">
        <f t="shared" si="9"/>
        <v>0</v>
      </c>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35"/>
      <c r="AG22" s="636">
        <f t="shared" si="11"/>
        <v>0</v>
      </c>
    </row>
    <row r="23" spans="1:33" s="631" customFormat="1" x14ac:dyDescent="0.3">
      <c r="A23" s="929" t="s">
        <v>54</v>
      </c>
      <c r="B23" s="930"/>
      <c r="C23" s="930"/>
      <c r="D23" s="930"/>
      <c r="E23" s="930"/>
      <c r="F23" s="930"/>
      <c r="G23" s="930"/>
      <c r="H23" s="930"/>
      <c r="I23" s="930"/>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1"/>
      <c r="AG23" s="636">
        <f t="shared" si="3"/>
        <v>0</v>
      </c>
    </row>
    <row r="24" spans="1:33" s="637" customFormat="1" ht="37.5" x14ac:dyDescent="0.3">
      <c r="A24" s="632" t="s">
        <v>335</v>
      </c>
      <c r="B24" s="633"/>
      <c r="C24" s="634"/>
      <c r="D24" s="634"/>
      <c r="E24" s="634"/>
      <c r="F24" s="634"/>
      <c r="G24" s="634"/>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5"/>
      <c r="AG24" s="636">
        <f t="shared" si="3"/>
        <v>0</v>
      </c>
    </row>
    <row r="25" spans="1:33" s="637" customFormat="1" x14ac:dyDescent="0.3">
      <c r="A25" s="638" t="s">
        <v>31</v>
      </c>
      <c r="B25" s="639">
        <f>B26+B27+B28+B30</f>
        <v>7926.21</v>
      </c>
      <c r="C25" s="639">
        <f>C26+C27+C28+C30</f>
        <v>0</v>
      </c>
      <c r="D25" s="639">
        <f>D26+D27+D28+D30</f>
        <v>0</v>
      </c>
      <c r="E25" s="639">
        <f>E26+E27+E28+E30</f>
        <v>0</v>
      </c>
      <c r="F25" s="640">
        <f t="shared" ref="F25:F30" si="16">IFERROR(E25/B25*100,0)</f>
        <v>0</v>
      </c>
      <c r="G25" s="640">
        <f t="shared" ref="G25:G30" si="17">IFERROR(E25/C25*100,0)</f>
        <v>0</v>
      </c>
      <c r="H25" s="639">
        <f>H26+H27+H28+H30</f>
        <v>0</v>
      </c>
      <c r="I25" s="639">
        <f t="shared" ref="I25:AE25" si="18">I26+I27+I28+I30</f>
        <v>0</v>
      </c>
      <c r="J25" s="639">
        <f t="shared" si="18"/>
        <v>0</v>
      </c>
      <c r="K25" s="639">
        <f t="shared" si="18"/>
        <v>0</v>
      </c>
      <c r="L25" s="639">
        <f t="shared" si="18"/>
        <v>765</v>
      </c>
      <c r="M25" s="639">
        <f t="shared" si="18"/>
        <v>0</v>
      </c>
      <c r="N25" s="639">
        <f t="shared" si="18"/>
        <v>0</v>
      </c>
      <c r="O25" s="639">
        <f t="shared" si="18"/>
        <v>0</v>
      </c>
      <c r="P25" s="639">
        <f t="shared" si="18"/>
        <v>0</v>
      </c>
      <c r="Q25" s="639">
        <f t="shared" si="18"/>
        <v>0</v>
      </c>
      <c r="R25" s="639">
        <f t="shared" si="18"/>
        <v>0</v>
      </c>
      <c r="S25" s="639">
        <f t="shared" si="18"/>
        <v>0</v>
      </c>
      <c r="T25" s="639">
        <f t="shared" si="18"/>
        <v>0</v>
      </c>
      <c r="U25" s="639">
        <f t="shared" si="18"/>
        <v>0</v>
      </c>
      <c r="V25" s="639">
        <f t="shared" si="18"/>
        <v>0</v>
      </c>
      <c r="W25" s="639">
        <f t="shared" si="18"/>
        <v>0</v>
      </c>
      <c r="X25" s="639">
        <f t="shared" si="18"/>
        <v>0</v>
      </c>
      <c r="Y25" s="639">
        <f t="shared" si="18"/>
        <v>0</v>
      </c>
      <c r="Z25" s="639">
        <f t="shared" si="18"/>
        <v>0</v>
      </c>
      <c r="AA25" s="639">
        <f t="shared" si="18"/>
        <v>0</v>
      </c>
      <c r="AB25" s="639">
        <f t="shared" si="18"/>
        <v>6211.21</v>
      </c>
      <c r="AC25" s="639">
        <f t="shared" si="18"/>
        <v>0</v>
      </c>
      <c r="AD25" s="639">
        <f t="shared" si="18"/>
        <v>950</v>
      </c>
      <c r="AE25" s="639">
        <f t="shared" si="18"/>
        <v>0</v>
      </c>
      <c r="AF25" s="635"/>
      <c r="AG25" s="636">
        <f t="shared" si="3"/>
        <v>0</v>
      </c>
    </row>
    <row r="26" spans="1:33" s="637" customFormat="1" x14ac:dyDescent="0.3">
      <c r="A26" s="641" t="s">
        <v>169</v>
      </c>
      <c r="B26" s="642">
        <f t="shared" ref="B26:B30" si="19">J26+L26+N26+P26+R26+T26+V26+X26+Z26+AB26+AD26+H26</f>
        <v>0</v>
      </c>
      <c r="C26" s="642">
        <f>H26+J26</f>
        <v>0</v>
      </c>
      <c r="D26" s="642">
        <f t="shared" ref="D26:D30" si="20">E26</f>
        <v>0</v>
      </c>
      <c r="E26" s="642">
        <f t="shared" ref="E26:E30" si="21">SUM(I26,K26,M26,O26,Q26,S26,U26,W26,Y26,AA26,AC26,AE26)</f>
        <v>0</v>
      </c>
      <c r="F26" s="642">
        <f t="shared" si="16"/>
        <v>0</v>
      </c>
      <c r="G26" s="642">
        <f t="shared" si="17"/>
        <v>0</v>
      </c>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35"/>
      <c r="AG26" s="636">
        <f t="shared" si="3"/>
        <v>0</v>
      </c>
    </row>
    <row r="27" spans="1:33" s="637" customFormat="1" x14ac:dyDescent="0.3">
      <c r="A27" s="641" t="s">
        <v>32</v>
      </c>
      <c r="B27" s="642">
        <f t="shared" si="19"/>
        <v>5652.2</v>
      </c>
      <c r="C27" s="642">
        <f t="shared" ref="C27:C30" si="22">H27+J27</f>
        <v>0</v>
      </c>
      <c r="D27" s="642">
        <f t="shared" si="20"/>
        <v>0</v>
      </c>
      <c r="E27" s="642">
        <f t="shared" si="21"/>
        <v>0</v>
      </c>
      <c r="F27" s="642">
        <f t="shared" si="16"/>
        <v>0</v>
      </c>
      <c r="G27" s="642">
        <f t="shared" si="17"/>
        <v>0</v>
      </c>
      <c r="H27" s="642"/>
      <c r="I27" s="642"/>
      <c r="J27" s="642"/>
      <c r="K27" s="642"/>
      <c r="L27" s="642"/>
      <c r="M27" s="642"/>
      <c r="N27" s="642"/>
      <c r="O27" s="642"/>
      <c r="P27" s="642"/>
      <c r="Q27" s="642"/>
      <c r="R27" s="642"/>
      <c r="S27" s="642"/>
      <c r="T27" s="642"/>
      <c r="U27" s="642"/>
      <c r="V27" s="642"/>
      <c r="W27" s="642"/>
      <c r="X27" s="642"/>
      <c r="Y27" s="642"/>
      <c r="Z27" s="642"/>
      <c r="AA27" s="642"/>
      <c r="AB27" s="642">
        <v>5652.2</v>
      </c>
      <c r="AC27" s="642"/>
      <c r="AD27" s="642"/>
      <c r="AE27" s="642"/>
      <c r="AF27" s="635"/>
      <c r="AG27" s="636">
        <f t="shared" si="3"/>
        <v>0</v>
      </c>
    </row>
    <row r="28" spans="1:33" s="637" customFormat="1" x14ac:dyDescent="0.3">
      <c r="A28" s="641" t="s">
        <v>33</v>
      </c>
      <c r="B28" s="642">
        <f t="shared" si="19"/>
        <v>559.01</v>
      </c>
      <c r="C28" s="642">
        <f t="shared" si="22"/>
        <v>0</v>
      </c>
      <c r="D28" s="642">
        <f t="shared" si="20"/>
        <v>0</v>
      </c>
      <c r="E28" s="642">
        <f t="shared" si="21"/>
        <v>0</v>
      </c>
      <c r="F28" s="642">
        <f t="shared" si="16"/>
        <v>0</v>
      </c>
      <c r="G28" s="642">
        <f t="shared" si="17"/>
        <v>0</v>
      </c>
      <c r="H28" s="642"/>
      <c r="I28" s="642"/>
      <c r="J28" s="642"/>
      <c r="K28" s="642"/>
      <c r="L28" s="642"/>
      <c r="M28" s="642"/>
      <c r="N28" s="642"/>
      <c r="O28" s="642"/>
      <c r="P28" s="642"/>
      <c r="Q28" s="642"/>
      <c r="R28" s="642"/>
      <c r="S28" s="642"/>
      <c r="T28" s="642"/>
      <c r="U28" s="642"/>
      <c r="V28" s="642"/>
      <c r="W28" s="642"/>
      <c r="X28" s="642"/>
      <c r="Y28" s="642"/>
      <c r="Z28" s="642"/>
      <c r="AA28" s="642"/>
      <c r="AB28" s="642">
        <v>559.01</v>
      </c>
      <c r="AC28" s="642"/>
      <c r="AD28" s="642"/>
      <c r="AE28" s="642"/>
      <c r="AF28" s="635"/>
      <c r="AG28" s="636">
        <f t="shared" si="3"/>
        <v>0</v>
      </c>
    </row>
    <row r="29" spans="1:33" s="637" customFormat="1" ht="37.5" x14ac:dyDescent="0.3">
      <c r="A29" s="648" t="s">
        <v>174</v>
      </c>
      <c r="B29" s="642">
        <f t="shared" si="19"/>
        <v>559.01</v>
      </c>
      <c r="C29" s="642">
        <f t="shared" si="22"/>
        <v>0</v>
      </c>
      <c r="D29" s="642">
        <f t="shared" si="20"/>
        <v>0</v>
      </c>
      <c r="E29" s="642">
        <f t="shared" si="21"/>
        <v>0</v>
      </c>
      <c r="F29" s="642">
        <f t="shared" si="16"/>
        <v>0</v>
      </c>
      <c r="G29" s="642">
        <f t="shared" si="17"/>
        <v>0</v>
      </c>
      <c r="H29" s="642"/>
      <c r="I29" s="642"/>
      <c r="J29" s="642"/>
      <c r="K29" s="642"/>
      <c r="L29" s="642"/>
      <c r="M29" s="642"/>
      <c r="N29" s="642"/>
      <c r="O29" s="642"/>
      <c r="P29" s="642"/>
      <c r="Q29" s="642"/>
      <c r="R29" s="642"/>
      <c r="S29" s="642"/>
      <c r="T29" s="642"/>
      <c r="U29" s="642"/>
      <c r="V29" s="642"/>
      <c r="W29" s="642"/>
      <c r="X29" s="642"/>
      <c r="Y29" s="642"/>
      <c r="Z29" s="642"/>
      <c r="AA29" s="642"/>
      <c r="AB29" s="642">
        <v>559.01</v>
      </c>
      <c r="AC29" s="642"/>
      <c r="AD29" s="642"/>
      <c r="AE29" s="642"/>
      <c r="AF29" s="635"/>
      <c r="AG29" s="636"/>
    </row>
    <row r="30" spans="1:33" s="637" customFormat="1" ht="22.5" customHeight="1" x14ac:dyDescent="0.3">
      <c r="A30" s="641" t="s">
        <v>170</v>
      </c>
      <c r="B30" s="642">
        <f t="shared" si="19"/>
        <v>1715</v>
      </c>
      <c r="C30" s="642">
        <f t="shared" si="22"/>
        <v>0</v>
      </c>
      <c r="D30" s="642">
        <f t="shared" si="20"/>
        <v>0</v>
      </c>
      <c r="E30" s="642">
        <f t="shared" si="21"/>
        <v>0</v>
      </c>
      <c r="F30" s="642">
        <f t="shared" si="16"/>
        <v>0</v>
      </c>
      <c r="G30" s="642">
        <f t="shared" si="17"/>
        <v>0</v>
      </c>
      <c r="H30" s="642"/>
      <c r="I30" s="642"/>
      <c r="J30" s="642"/>
      <c r="K30" s="642"/>
      <c r="L30" s="642">
        <v>765</v>
      </c>
      <c r="M30" s="642"/>
      <c r="N30" s="642"/>
      <c r="O30" s="642"/>
      <c r="P30" s="642"/>
      <c r="Q30" s="642"/>
      <c r="R30" s="642"/>
      <c r="S30" s="642"/>
      <c r="T30" s="642"/>
      <c r="U30" s="642"/>
      <c r="V30" s="642"/>
      <c r="W30" s="642"/>
      <c r="X30" s="642"/>
      <c r="Y30" s="642"/>
      <c r="Z30" s="642"/>
      <c r="AA30" s="642"/>
      <c r="AB30" s="642"/>
      <c r="AC30" s="642"/>
      <c r="AD30" s="642">
        <v>950</v>
      </c>
      <c r="AE30" s="642"/>
      <c r="AF30" s="635"/>
      <c r="AG30" s="636">
        <f t="shared" si="3"/>
        <v>0</v>
      </c>
    </row>
    <row r="31" spans="1:33" s="637" customFormat="1" ht="75" x14ac:dyDescent="0.3">
      <c r="A31" s="644" t="s">
        <v>336</v>
      </c>
      <c r="B31" s="639"/>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35"/>
      <c r="AG31" s="636">
        <f t="shared" si="3"/>
        <v>0</v>
      </c>
    </row>
    <row r="32" spans="1:33" s="637" customFormat="1" x14ac:dyDescent="0.3">
      <c r="A32" s="638" t="s">
        <v>31</v>
      </c>
      <c r="B32" s="639">
        <f>B33+B34+B35</f>
        <v>34383</v>
      </c>
      <c r="C32" s="639">
        <f>C33+C34+C35</f>
        <v>10163.5</v>
      </c>
      <c r="D32" s="639">
        <f>D33+D34+D35</f>
        <v>10163</v>
      </c>
      <c r="E32" s="639">
        <f>E33+E34+E35</f>
        <v>10163</v>
      </c>
      <c r="F32" s="640">
        <f t="shared" ref="F32:F37" si="23">IFERROR(E32/B32*100,0)</f>
        <v>29.558211907047088</v>
      </c>
      <c r="G32" s="640">
        <f t="shared" ref="G32:G37" si="24">IFERROR(E32/C32*100,0)</f>
        <v>99.995080434889559</v>
      </c>
      <c r="H32" s="639">
        <f t="shared" ref="H32:AE32" si="25">H33+H34+H35</f>
        <v>4676.5</v>
      </c>
      <c r="I32" s="639">
        <f t="shared" si="25"/>
        <v>420.84</v>
      </c>
      <c r="J32" s="639">
        <f t="shared" si="25"/>
        <v>5487</v>
      </c>
      <c r="K32" s="639">
        <f t="shared" si="25"/>
        <v>9742.16</v>
      </c>
      <c r="L32" s="639">
        <f t="shared" si="25"/>
        <v>0</v>
      </c>
      <c r="M32" s="639">
        <f t="shared" si="25"/>
        <v>0</v>
      </c>
      <c r="N32" s="639">
        <f t="shared" si="25"/>
        <v>0</v>
      </c>
      <c r="O32" s="639">
        <f t="shared" si="25"/>
        <v>0</v>
      </c>
      <c r="P32" s="639">
        <f t="shared" si="25"/>
        <v>0</v>
      </c>
      <c r="Q32" s="639">
        <f t="shared" si="25"/>
        <v>0</v>
      </c>
      <c r="R32" s="639">
        <f t="shared" si="25"/>
        <v>0</v>
      </c>
      <c r="S32" s="639">
        <f t="shared" si="25"/>
        <v>0</v>
      </c>
      <c r="T32" s="639">
        <f t="shared" si="25"/>
        <v>0</v>
      </c>
      <c r="U32" s="639">
        <f t="shared" si="25"/>
        <v>0</v>
      </c>
      <c r="V32" s="639">
        <f t="shared" si="25"/>
        <v>0</v>
      </c>
      <c r="W32" s="639">
        <f t="shared" si="25"/>
        <v>0</v>
      </c>
      <c r="X32" s="639">
        <f t="shared" si="25"/>
        <v>0</v>
      </c>
      <c r="Y32" s="639">
        <f t="shared" si="25"/>
        <v>0</v>
      </c>
      <c r="Z32" s="639">
        <f t="shared" si="25"/>
        <v>0</v>
      </c>
      <c r="AA32" s="639">
        <f t="shared" si="25"/>
        <v>0</v>
      </c>
      <c r="AB32" s="639">
        <f t="shared" si="25"/>
        <v>0</v>
      </c>
      <c r="AC32" s="639">
        <f t="shared" si="25"/>
        <v>0</v>
      </c>
      <c r="AD32" s="639">
        <f t="shared" si="25"/>
        <v>24219.5</v>
      </c>
      <c r="AE32" s="639">
        <f t="shared" si="25"/>
        <v>0</v>
      </c>
      <c r="AF32" s="635"/>
      <c r="AG32" s="636">
        <f t="shared" si="3"/>
        <v>0</v>
      </c>
    </row>
    <row r="33" spans="1:33" s="637" customFormat="1" x14ac:dyDescent="0.3">
      <c r="A33" s="641" t="s">
        <v>169</v>
      </c>
      <c r="B33" s="642">
        <f t="shared" ref="B33:B37" si="26">J33+L33+N33+P33+R33+T33+V33+X33+Z33+AB33+AD33+H33</f>
        <v>0</v>
      </c>
      <c r="C33" s="642">
        <f>SUM(H33+J33)</f>
        <v>0</v>
      </c>
      <c r="D33" s="642">
        <f t="shared" ref="D33:D37" si="27">E33</f>
        <v>0</v>
      </c>
      <c r="E33" s="642">
        <f t="shared" ref="E33:E37" si="28">SUM(I33,K33,M33,O33,Q33,S33,U33,W33,Y33,AA33,AC33,AE33)</f>
        <v>0</v>
      </c>
      <c r="F33" s="642">
        <f t="shared" si="23"/>
        <v>0</v>
      </c>
      <c r="G33" s="642">
        <f t="shared" si="24"/>
        <v>0</v>
      </c>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35"/>
      <c r="AG33" s="636">
        <f t="shared" si="3"/>
        <v>0</v>
      </c>
    </row>
    <row r="34" spans="1:33" s="637" customFormat="1" x14ac:dyDescent="0.3">
      <c r="A34" s="641" t="s">
        <v>32</v>
      </c>
      <c r="B34" s="642">
        <f t="shared" si="26"/>
        <v>31288.5</v>
      </c>
      <c r="C34" s="642">
        <f t="shared" ref="C34:C37" si="29">SUM(H34+J34)</f>
        <v>9248.67</v>
      </c>
      <c r="D34" s="642">
        <f t="shared" si="27"/>
        <v>9248.33</v>
      </c>
      <c r="E34" s="642">
        <f t="shared" si="28"/>
        <v>9248.33</v>
      </c>
      <c r="F34" s="642">
        <f t="shared" si="23"/>
        <v>29.558240248014446</v>
      </c>
      <c r="G34" s="642">
        <f t="shared" si="24"/>
        <v>99.996323795745766</v>
      </c>
      <c r="H34" s="642">
        <v>4255.5</v>
      </c>
      <c r="I34" s="642"/>
      <c r="J34" s="642">
        <v>4993.17</v>
      </c>
      <c r="K34" s="642">
        <v>9248.33</v>
      </c>
      <c r="L34" s="642"/>
      <c r="M34" s="642"/>
      <c r="N34" s="642"/>
      <c r="O34" s="642"/>
      <c r="P34" s="642"/>
      <c r="Q34" s="642"/>
      <c r="R34" s="642"/>
      <c r="S34" s="642"/>
      <c r="T34" s="642"/>
      <c r="U34" s="642"/>
      <c r="V34" s="642"/>
      <c r="W34" s="642"/>
      <c r="X34" s="642"/>
      <c r="Y34" s="642"/>
      <c r="Z34" s="642"/>
      <c r="AA34" s="642"/>
      <c r="AB34" s="642"/>
      <c r="AC34" s="642"/>
      <c r="AD34" s="642">
        <v>22039.83</v>
      </c>
      <c r="AE34" s="642"/>
      <c r="AF34" s="635"/>
      <c r="AG34" s="636">
        <f t="shared" si="3"/>
        <v>0</v>
      </c>
    </row>
    <row r="35" spans="1:33" s="637" customFormat="1" x14ac:dyDescent="0.3">
      <c r="A35" s="641" t="s">
        <v>33</v>
      </c>
      <c r="B35" s="642">
        <f t="shared" si="26"/>
        <v>3094.5</v>
      </c>
      <c r="C35" s="642">
        <f t="shared" si="29"/>
        <v>914.82999999999993</v>
      </c>
      <c r="D35" s="642">
        <f t="shared" si="27"/>
        <v>914.67</v>
      </c>
      <c r="E35" s="642">
        <f t="shared" si="28"/>
        <v>914.67</v>
      </c>
      <c r="F35" s="642">
        <f t="shared" si="23"/>
        <v>29.557925351429954</v>
      </c>
      <c r="G35" s="642">
        <f t="shared" si="24"/>
        <v>99.982510411770491</v>
      </c>
      <c r="H35" s="642">
        <v>421</v>
      </c>
      <c r="I35" s="642">
        <v>420.84</v>
      </c>
      <c r="J35" s="642">
        <v>493.83</v>
      </c>
      <c r="K35" s="642">
        <v>493.83</v>
      </c>
      <c r="L35" s="642"/>
      <c r="M35" s="642"/>
      <c r="N35" s="642"/>
      <c r="O35" s="642"/>
      <c r="P35" s="642"/>
      <c r="Q35" s="642"/>
      <c r="R35" s="642"/>
      <c r="S35" s="642"/>
      <c r="T35" s="642"/>
      <c r="U35" s="642"/>
      <c r="V35" s="642"/>
      <c r="W35" s="642"/>
      <c r="X35" s="642"/>
      <c r="Y35" s="642"/>
      <c r="Z35" s="642"/>
      <c r="AA35" s="642"/>
      <c r="AB35" s="642"/>
      <c r="AC35" s="642"/>
      <c r="AD35" s="642">
        <v>2179.67</v>
      </c>
      <c r="AE35" s="642"/>
      <c r="AF35" s="635"/>
      <c r="AG35" s="636">
        <f t="shared" si="3"/>
        <v>0</v>
      </c>
    </row>
    <row r="36" spans="1:33" s="637" customFormat="1" ht="37.5" x14ac:dyDescent="0.3">
      <c r="A36" s="648" t="s">
        <v>174</v>
      </c>
      <c r="B36" s="642">
        <f t="shared" si="26"/>
        <v>3094.5</v>
      </c>
      <c r="C36" s="642">
        <f t="shared" si="29"/>
        <v>914.82999999999993</v>
      </c>
      <c r="D36" s="642">
        <f t="shared" si="27"/>
        <v>914.67</v>
      </c>
      <c r="E36" s="642">
        <f t="shared" si="28"/>
        <v>914.67</v>
      </c>
      <c r="F36" s="642">
        <f t="shared" si="23"/>
        <v>29.557925351429954</v>
      </c>
      <c r="G36" s="642">
        <f t="shared" si="24"/>
        <v>99.982510411770491</v>
      </c>
      <c r="H36" s="642">
        <v>421</v>
      </c>
      <c r="I36" s="642">
        <v>420.84</v>
      </c>
      <c r="J36" s="642">
        <v>493.83</v>
      </c>
      <c r="K36" s="642">
        <v>493.83</v>
      </c>
      <c r="L36" s="642"/>
      <c r="M36" s="642"/>
      <c r="N36" s="642"/>
      <c r="O36" s="642"/>
      <c r="P36" s="642"/>
      <c r="Q36" s="642"/>
      <c r="R36" s="642"/>
      <c r="S36" s="642"/>
      <c r="T36" s="642"/>
      <c r="U36" s="642"/>
      <c r="V36" s="642"/>
      <c r="W36" s="642"/>
      <c r="X36" s="642"/>
      <c r="Y36" s="642"/>
      <c r="Z36" s="642"/>
      <c r="AA36" s="642"/>
      <c r="AB36" s="642"/>
      <c r="AC36" s="642"/>
      <c r="AD36" s="642">
        <v>2179.67</v>
      </c>
      <c r="AE36" s="642"/>
      <c r="AF36" s="635"/>
      <c r="AG36" s="636"/>
    </row>
    <row r="37" spans="1:33" s="637" customFormat="1" x14ac:dyDescent="0.3">
      <c r="A37" s="641" t="s">
        <v>170</v>
      </c>
      <c r="B37" s="642">
        <f t="shared" si="26"/>
        <v>0</v>
      </c>
      <c r="C37" s="642">
        <f t="shared" si="29"/>
        <v>0</v>
      </c>
      <c r="D37" s="642">
        <f t="shared" si="27"/>
        <v>0</v>
      </c>
      <c r="E37" s="642">
        <f t="shared" si="28"/>
        <v>0</v>
      </c>
      <c r="F37" s="642">
        <f t="shared" si="23"/>
        <v>0</v>
      </c>
      <c r="G37" s="642">
        <f t="shared" si="24"/>
        <v>0</v>
      </c>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35"/>
      <c r="AG37" s="636">
        <f t="shared" si="3"/>
        <v>0</v>
      </c>
    </row>
    <row r="38" spans="1:33" s="637" customFormat="1" ht="121.5" customHeight="1" x14ac:dyDescent="0.3">
      <c r="A38" s="644" t="s">
        <v>337</v>
      </c>
      <c r="B38" s="639"/>
      <c r="C38" s="645"/>
      <c r="D38" s="645"/>
      <c r="E38" s="645"/>
      <c r="F38" s="645"/>
      <c r="G38" s="645"/>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5"/>
      <c r="AG38" s="636">
        <f t="shared" si="3"/>
        <v>0</v>
      </c>
    </row>
    <row r="39" spans="1:33" s="637" customFormat="1" x14ac:dyDescent="0.3">
      <c r="A39" s="646" t="s">
        <v>31</v>
      </c>
      <c r="B39" s="639">
        <f>B40+B41+B42+B44</f>
        <v>19928.958000000002</v>
      </c>
      <c r="C39" s="639">
        <f>C40+C41+C42</f>
        <v>1918</v>
      </c>
      <c r="D39" s="639">
        <f>D40+D41+D42</f>
        <v>1318</v>
      </c>
      <c r="E39" s="639">
        <f>E40+E41+E42</f>
        <v>1318</v>
      </c>
      <c r="F39" s="640">
        <f t="shared" ref="F39:F44" si="30">IFERROR(E39/B39*100,0)</f>
        <v>6.6134917841665377</v>
      </c>
      <c r="G39" s="640">
        <f t="shared" ref="G39:G44" si="31">IFERROR(E39/C39*100,0)</f>
        <v>68.717413972888437</v>
      </c>
      <c r="H39" s="639">
        <f>H40+H41+H42+H44</f>
        <v>0</v>
      </c>
      <c r="I39" s="639">
        <f t="shared" ref="I39:AE39" si="32">I40+I41+I42+I44</f>
        <v>0</v>
      </c>
      <c r="J39" s="639">
        <f t="shared" si="32"/>
        <v>1918</v>
      </c>
      <c r="K39" s="639">
        <f t="shared" si="32"/>
        <v>1318</v>
      </c>
      <c r="L39" s="639">
        <f t="shared" si="32"/>
        <v>2264.4450000000002</v>
      </c>
      <c r="M39" s="639">
        <f t="shared" si="32"/>
        <v>0</v>
      </c>
      <c r="N39" s="639">
        <f t="shared" si="32"/>
        <v>0</v>
      </c>
      <c r="O39" s="639">
        <f t="shared" si="32"/>
        <v>0</v>
      </c>
      <c r="P39" s="639">
        <f t="shared" si="32"/>
        <v>0</v>
      </c>
      <c r="Q39" s="639">
        <f t="shared" si="32"/>
        <v>0</v>
      </c>
      <c r="R39" s="639">
        <f t="shared" si="32"/>
        <v>4433.5129999999999</v>
      </c>
      <c r="S39" s="639">
        <f t="shared" si="32"/>
        <v>0</v>
      </c>
      <c r="T39" s="639">
        <f t="shared" si="32"/>
        <v>0</v>
      </c>
      <c r="U39" s="639">
        <f t="shared" si="32"/>
        <v>0</v>
      </c>
      <c r="V39" s="639">
        <f t="shared" si="32"/>
        <v>0</v>
      </c>
      <c r="W39" s="639">
        <f t="shared" si="32"/>
        <v>0</v>
      </c>
      <c r="X39" s="639">
        <f t="shared" si="32"/>
        <v>0</v>
      </c>
      <c r="Y39" s="639">
        <f t="shared" si="32"/>
        <v>0</v>
      </c>
      <c r="Z39" s="639">
        <f t="shared" si="32"/>
        <v>0</v>
      </c>
      <c r="AA39" s="639">
        <f t="shared" si="32"/>
        <v>0</v>
      </c>
      <c r="AB39" s="639">
        <f t="shared" si="32"/>
        <v>0</v>
      </c>
      <c r="AC39" s="639">
        <f t="shared" si="32"/>
        <v>0</v>
      </c>
      <c r="AD39" s="639">
        <f t="shared" si="32"/>
        <v>11313</v>
      </c>
      <c r="AE39" s="639">
        <f t="shared" si="32"/>
        <v>0</v>
      </c>
      <c r="AF39" s="635"/>
      <c r="AG39" s="636">
        <f t="shared" si="3"/>
        <v>0</v>
      </c>
    </row>
    <row r="40" spans="1:33" s="637" customFormat="1" x14ac:dyDescent="0.3">
      <c r="A40" s="647" t="s">
        <v>169</v>
      </c>
      <c r="B40" s="642">
        <f t="shared" ref="B40:B44" si="33">J40+L40+N40+P40+R40+T40+V40+X40+Z40+AB40+AD40+H40</f>
        <v>0</v>
      </c>
      <c r="C40" s="642">
        <f>SUM(H40+J40)</f>
        <v>0</v>
      </c>
      <c r="D40" s="642">
        <f t="shared" ref="D40:D44" si="34">E40</f>
        <v>0</v>
      </c>
      <c r="E40" s="642">
        <f t="shared" ref="E40:E44" si="35">SUM(I40,K40,M40,O40,Q40,S40,U40,W40,Y40,AA40,AC40,AE40)</f>
        <v>0</v>
      </c>
      <c r="F40" s="642">
        <f t="shared" si="30"/>
        <v>0</v>
      </c>
      <c r="G40" s="642">
        <f t="shared" si="31"/>
        <v>0</v>
      </c>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35"/>
      <c r="AG40" s="636">
        <f t="shared" si="3"/>
        <v>0</v>
      </c>
    </row>
    <row r="41" spans="1:33" s="637" customFormat="1" x14ac:dyDescent="0.3">
      <c r="A41" s="647" t="s">
        <v>32</v>
      </c>
      <c r="B41" s="642">
        <f t="shared" si="33"/>
        <v>18135.292000000001</v>
      </c>
      <c r="C41" s="642">
        <f t="shared" ref="C41:C44" si="36">SUM(H41+J41)</f>
        <v>1745.38</v>
      </c>
      <c r="D41" s="642">
        <f t="shared" si="34"/>
        <v>1199.3800000000001</v>
      </c>
      <c r="E41" s="642">
        <f t="shared" si="35"/>
        <v>1199.3800000000001</v>
      </c>
      <c r="F41" s="642">
        <f t="shared" si="30"/>
        <v>6.6135135844517965</v>
      </c>
      <c r="G41" s="642">
        <f t="shared" si="31"/>
        <v>68.717413972888437</v>
      </c>
      <c r="H41" s="642"/>
      <c r="I41" s="642"/>
      <c r="J41" s="642">
        <v>1745.38</v>
      </c>
      <c r="K41" s="642">
        <v>1199.3800000000001</v>
      </c>
      <c r="L41" s="642">
        <v>2060.645</v>
      </c>
      <c r="M41" s="642"/>
      <c r="N41" s="642"/>
      <c r="O41" s="642"/>
      <c r="P41" s="642"/>
      <c r="Q41" s="642"/>
      <c r="R41" s="642">
        <v>4034.4670000000001</v>
      </c>
      <c r="S41" s="642"/>
      <c r="T41" s="642"/>
      <c r="U41" s="642"/>
      <c r="V41" s="642"/>
      <c r="W41" s="642"/>
      <c r="X41" s="642"/>
      <c r="Y41" s="642"/>
      <c r="Z41" s="642"/>
      <c r="AA41" s="642"/>
      <c r="AB41" s="642"/>
      <c r="AC41" s="642"/>
      <c r="AD41" s="642">
        <v>10294.799999999999</v>
      </c>
      <c r="AE41" s="642"/>
      <c r="AF41" s="635"/>
      <c r="AG41" s="636">
        <f t="shared" si="3"/>
        <v>0</v>
      </c>
    </row>
    <row r="42" spans="1:33" s="637" customFormat="1" x14ac:dyDescent="0.3">
      <c r="A42" s="647" t="s">
        <v>33</v>
      </c>
      <c r="B42" s="642">
        <f t="shared" si="33"/>
        <v>1793.6660000000002</v>
      </c>
      <c r="C42" s="642">
        <f t="shared" si="36"/>
        <v>172.62</v>
      </c>
      <c r="D42" s="642">
        <f t="shared" si="34"/>
        <v>118.62</v>
      </c>
      <c r="E42" s="642">
        <f t="shared" si="35"/>
        <v>118.62</v>
      </c>
      <c r="F42" s="642">
        <f t="shared" si="30"/>
        <v>6.6132713671330112</v>
      </c>
      <c r="G42" s="642">
        <f t="shared" si="31"/>
        <v>68.717413972888437</v>
      </c>
      <c r="H42" s="642"/>
      <c r="I42" s="642"/>
      <c r="J42" s="642">
        <v>172.62</v>
      </c>
      <c r="K42" s="642">
        <v>118.62</v>
      </c>
      <c r="L42" s="642">
        <v>203.8</v>
      </c>
      <c r="M42" s="642"/>
      <c r="N42" s="642"/>
      <c r="O42" s="642"/>
      <c r="P42" s="642"/>
      <c r="Q42" s="642"/>
      <c r="R42" s="642">
        <v>399.04599999999999</v>
      </c>
      <c r="S42" s="642"/>
      <c r="T42" s="642"/>
      <c r="U42" s="642"/>
      <c r="V42" s="642"/>
      <c r="W42" s="642"/>
      <c r="X42" s="642"/>
      <c r="Y42" s="642"/>
      <c r="Z42" s="642"/>
      <c r="AA42" s="642"/>
      <c r="AB42" s="642"/>
      <c r="AC42" s="642"/>
      <c r="AD42" s="642">
        <v>1018.2</v>
      </c>
      <c r="AE42" s="642"/>
      <c r="AF42" s="635"/>
      <c r="AG42" s="636">
        <f t="shared" si="3"/>
        <v>0</v>
      </c>
    </row>
    <row r="43" spans="1:33" s="637" customFormat="1" ht="37.5" x14ac:dyDescent="0.3">
      <c r="A43" s="648" t="s">
        <v>174</v>
      </c>
      <c r="B43" s="642">
        <f t="shared" si="33"/>
        <v>1793.6660000000002</v>
      </c>
      <c r="C43" s="642">
        <f t="shared" si="36"/>
        <v>172.62</v>
      </c>
      <c r="D43" s="642">
        <f t="shared" si="34"/>
        <v>118.62</v>
      </c>
      <c r="E43" s="642">
        <f t="shared" si="35"/>
        <v>118.62</v>
      </c>
      <c r="F43" s="642">
        <f t="shared" si="30"/>
        <v>6.6132713671330112</v>
      </c>
      <c r="G43" s="642">
        <f t="shared" si="31"/>
        <v>68.717413972888437</v>
      </c>
      <c r="H43" s="642"/>
      <c r="I43" s="642"/>
      <c r="J43" s="642">
        <v>172.62</v>
      </c>
      <c r="K43" s="642">
        <v>118.62</v>
      </c>
      <c r="L43" s="642">
        <v>203.8</v>
      </c>
      <c r="M43" s="642"/>
      <c r="N43" s="642"/>
      <c r="O43" s="642"/>
      <c r="P43" s="642"/>
      <c r="Q43" s="642"/>
      <c r="R43" s="642">
        <v>399.04599999999999</v>
      </c>
      <c r="S43" s="642"/>
      <c r="T43" s="642"/>
      <c r="U43" s="642"/>
      <c r="V43" s="642"/>
      <c r="W43" s="642"/>
      <c r="X43" s="642"/>
      <c r="Y43" s="642"/>
      <c r="Z43" s="642"/>
      <c r="AA43" s="642"/>
      <c r="AB43" s="642"/>
      <c r="AC43" s="642"/>
      <c r="AD43" s="642">
        <v>1018.2</v>
      </c>
      <c r="AE43" s="642"/>
      <c r="AF43" s="635"/>
      <c r="AG43" s="636"/>
    </row>
    <row r="44" spans="1:33" s="637" customFormat="1" x14ac:dyDescent="0.3">
      <c r="A44" s="647" t="s">
        <v>170</v>
      </c>
      <c r="B44" s="642">
        <f t="shared" si="33"/>
        <v>0</v>
      </c>
      <c r="C44" s="642">
        <f t="shared" si="36"/>
        <v>0</v>
      </c>
      <c r="D44" s="642">
        <f t="shared" si="34"/>
        <v>0</v>
      </c>
      <c r="E44" s="642">
        <f t="shared" si="35"/>
        <v>0</v>
      </c>
      <c r="F44" s="642">
        <f t="shared" si="30"/>
        <v>0</v>
      </c>
      <c r="G44" s="642">
        <f t="shared" si="31"/>
        <v>0</v>
      </c>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35"/>
      <c r="AG44" s="636">
        <f t="shared" si="3"/>
        <v>0</v>
      </c>
    </row>
    <row r="45" spans="1:33" s="637" customFormat="1" ht="112.5" x14ac:dyDescent="0.3">
      <c r="A45" s="644" t="s">
        <v>338</v>
      </c>
      <c r="B45" s="639"/>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35"/>
      <c r="AG45" s="636">
        <f t="shared" si="3"/>
        <v>0</v>
      </c>
    </row>
    <row r="46" spans="1:33" s="637" customFormat="1" x14ac:dyDescent="0.3">
      <c r="A46" s="646" t="s">
        <v>31</v>
      </c>
      <c r="B46" s="639">
        <f>B47+B48+B49+B50</f>
        <v>0</v>
      </c>
      <c r="C46" s="639">
        <f>C47+C48+C49</f>
        <v>0</v>
      </c>
      <c r="D46" s="639">
        <f>D47+D48+D49</f>
        <v>0</v>
      </c>
      <c r="E46" s="639">
        <f>E47+E48+E49</f>
        <v>0</v>
      </c>
      <c r="F46" s="639">
        <f t="shared" ref="F46:F48" si="37">IFERROR(E46/B46*100,0)</f>
        <v>0</v>
      </c>
      <c r="G46" s="639">
        <f t="shared" ref="G46:G48" si="38">IFERROR(E46/C46*100,0)</f>
        <v>0</v>
      </c>
      <c r="H46" s="639">
        <f>H47+H48+H49</f>
        <v>0</v>
      </c>
      <c r="I46" s="639">
        <f t="shared" ref="I46:AE46" si="39">I47+I48+I49</f>
        <v>0</v>
      </c>
      <c r="J46" s="639">
        <f t="shared" si="39"/>
        <v>0</v>
      </c>
      <c r="K46" s="639">
        <f t="shared" si="39"/>
        <v>0</v>
      </c>
      <c r="L46" s="639">
        <f t="shared" si="39"/>
        <v>0</v>
      </c>
      <c r="M46" s="639">
        <f t="shared" si="39"/>
        <v>0</v>
      </c>
      <c r="N46" s="639">
        <f t="shared" si="39"/>
        <v>0</v>
      </c>
      <c r="O46" s="639">
        <f t="shared" si="39"/>
        <v>0</v>
      </c>
      <c r="P46" s="639">
        <f t="shared" si="39"/>
        <v>0</v>
      </c>
      <c r="Q46" s="639">
        <f t="shared" si="39"/>
        <v>0</v>
      </c>
      <c r="R46" s="639">
        <f t="shared" si="39"/>
        <v>0</v>
      </c>
      <c r="S46" s="639">
        <f t="shared" si="39"/>
        <v>0</v>
      </c>
      <c r="T46" s="639">
        <f t="shared" si="39"/>
        <v>0</v>
      </c>
      <c r="U46" s="639">
        <f t="shared" si="39"/>
        <v>0</v>
      </c>
      <c r="V46" s="639">
        <f t="shared" si="39"/>
        <v>0</v>
      </c>
      <c r="W46" s="639">
        <f t="shared" si="39"/>
        <v>0</v>
      </c>
      <c r="X46" s="639">
        <f t="shared" si="39"/>
        <v>0</v>
      </c>
      <c r="Y46" s="639">
        <f t="shared" si="39"/>
        <v>0</v>
      </c>
      <c r="Z46" s="639">
        <f t="shared" si="39"/>
        <v>0</v>
      </c>
      <c r="AA46" s="639">
        <f t="shared" si="39"/>
        <v>0</v>
      </c>
      <c r="AB46" s="639">
        <f t="shared" si="39"/>
        <v>0</v>
      </c>
      <c r="AC46" s="639">
        <f t="shared" si="39"/>
        <v>0</v>
      </c>
      <c r="AD46" s="639">
        <f t="shared" si="39"/>
        <v>0</v>
      </c>
      <c r="AE46" s="639">
        <f t="shared" si="39"/>
        <v>0</v>
      </c>
      <c r="AF46" s="635"/>
      <c r="AG46" s="636">
        <f t="shared" si="3"/>
        <v>0</v>
      </c>
    </row>
    <row r="47" spans="1:33" s="637" customFormat="1" x14ac:dyDescent="0.3">
      <c r="A47" s="647" t="s">
        <v>169</v>
      </c>
      <c r="B47" s="642">
        <f t="shared" ref="B47:B50" si="40">J47+L47+N47+P47+R47+T47+V47+X47+Z47+AB47+AD47+H47</f>
        <v>0</v>
      </c>
      <c r="C47" s="642">
        <f t="shared" ref="C47:C50" si="41">SUM(H47)</f>
        <v>0</v>
      </c>
      <c r="D47" s="642">
        <f t="shared" ref="D47:D50" si="42">E47</f>
        <v>0</v>
      </c>
      <c r="E47" s="642">
        <f t="shared" ref="E47:E50" si="43">SUM(I47,K47,M47,O47,Q47,S47,U47,W47,Y47,AA47,AC47,AE47)</f>
        <v>0</v>
      </c>
      <c r="F47" s="642">
        <f t="shared" si="37"/>
        <v>0</v>
      </c>
      <c r="G47" s="642">
        <f t="shared" si="38"/>
        <v>0</v>
      </c>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35"/>
      <c r="AG47" s="636">
        <f t="shared" si="3"/>
        <v>0</v>
      </c>
    </row>
    <row r="48" spans="1:33" s="637" customFormat="1" x14ac:dyDescent="0.3">
      <c r="A48" s="647" t="s">
        <v>32</v>
      </c>
      <c r="B48" s="642">
        <f t="shared" si="40"/>
        <v>0</v>
      </c>
      <c r="C48" s="642">
        <f t="shared" si="41"/>
        <v>0</v>
      </c>
      <c r="D48" s="642">
        <f t="shared" si="42"/>
        <v>0</v>
      </c>
      <c r="E48" s="642">
        <f t="shared" si="43"/>
        <v>0</v>
      </c>
      <c r="F48" s="642">
        <f t="shared" si="37"/>
        <v>0</v>
      </c>
      <c r="G48" s="642">
        <f t="shared" si="38"/>
        <v>0</v>
      </c>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35"/>
      <c r="AG48" s="636">
        <f t="shared" si="3"/>
        <v>0</v>
      </c>
    </row>
    <row r="49" spans="1:33" s="637" customFormat="1" x14ac:dyDescent="0.3">
      <c r="A49" s="647" t="s">
        <v>33</v>
      </c>
      <c r="B49" s="642">
        <f t="shared" si="40"/>
        <v>0</v>
      </c>
      <c r="C49" s="642">
        <f t="shared" si="41"/>
        <v>0</v>
      </c>
      <c r="D49" s="642">
        <f t="shared" si="42"/>
        <v>0</v>
      </c>
      <c r="E49" s="642">
        <f t="shared" si="43"/>
        <v>0</v>
      </c>
      <c r="F49" s="642">
        <f>IFERROR(E49/B49*100,0)</f>
        <v>0</v>
      </c>
      <c r="G49" s="642">
        <f>IFERROR(E49/C49*100,0)</f>
        <v>0</v>
      </c>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35"/>
      <c r="AG49" s="636">
        <f t="shared" si="3"/>
        <v>0</v>
      </c>
    </row>
    <row r="50" spans="1:33" s="637" customFormat="1" x14ac:dyDescent="0.3">
      <c r="A50" s="647" t="s">
        <v>170</v>
      </c>
      <c r="B50" s="642">
        <f t="shared" si="40"/>
        <v>0</v>
      </c>
      <c r="C50" s="642">
        <f t="shared" si="41"/>
        <v>0</v>
      </c>
      <c r="D50" s="642">
        <f t="shared" si="42"/>
        <v>0</v>
      </c>
      <c r="E50" s="642">
        <f t="shared" si="43"/>
        <v>0</v>
      </c>
      <c r="F50" s="642">
        <f t="shared" ref="F50" si="44">IFERROR(E50/B50*100,0)</f>
        <v>0</v>
      </c>
      <c r="G50" s="642">
        <f t="shared" ref="G50" si="45">IFERROR(E50/C50*100,0)</f>
        <v>0</v>
      </c>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35"/>
      <c r="AG50" s="636">
        <f t="shared" si="3"/>
        <v>0</v>
      </c>
    </row>
    <row r="51" spans="1:33" s="637" customFormat="1" ht="93.75" x14ac:dyDescent="0.3">
      <c r="A51" s="644" t="s">
        <v>510</v>
      </c>
      <c r="B51" s="642"/>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35"/>
      <c r="AG51" s="636"/>
    </row>
    <row r="52" spans="1:33" s="637" customFormat="1" x14ac:dyDescent="0.3">
      <c r="A52" s="646" t="s">
        <v>31</v>
      </c>
      <c r="B52" s="639">
        <f>B53+B54+B55+B57</f>
        <v>2697.0390000000002</v>
      </c>
      <c r="C52" s="639">
        <f t="shared" ref="C52:E52" si="46">C53+C54+C55+C57</f>
        <v>0</v>
      </c>
      <c r="D52" s="639">
        <f t="shared" si="46"/>
        <v>0</v>
      </c>
      <c r="E52" s="639">
        <f t="shared" si="46"/>
        <v>0</v>
      </c>
      <c r="F52" s="639">
        <f>IFERROR(E52/B52*100,0)</f>
        <v>0</v>
      </c>
      <c r="G52" s="639">
        <f>IFERROR(E52/C52*100,0)</f>
        <v>0</v>
      </c>
      <c r="H52" s="639">
        <f>H53+H54+H55+H57</f>
        <v>0</v>
      </c>
      <c r="I52" s="639">
        <f t="shared" ref="I52:AF52" si="47">I53+I54+I55+I57</f>
        <v>0</v>
      </c>
      <c r="J52" s="639">
        <f t="shared" si="47"/>
        <v>0</v>
      </c>
      <c r="K52" s="639">
        <f t="shared" si="47"/>
        <v>0</v>
      </c>
      <c r="L52" s="639">
        <f t="shared" si="47"/>
        <v>0</v>
      </c>
      <c r="M52" s="639">
        <f t="shared" si="47"/>
        <v>0</v>
      </c>
      <c r="N52" s="639">
        <f t="shared" si="47"/>
        <v>0</v>
      </c>
      <c r="O52" s="639">
        <f t="shared" si="47"/>
        <v>0</v>
      </c>
      <c r="P52" s="639">
        <f t="shared" si="47"/>
        <v>0</v>
      </c>
      <c r="Q52" s="639">
        <f t="shared" si="47"/>
        <v>0</v>
      </c>
      <c r="R52" s="639">
        <f t="shared" si="47"/>
        <v>2697.0390000000002</v>
      </c>
      <c r="S52" s="639">
        <f t="shared" si="47"/>
        <v>0</v>
      </c>
      <c r="T52" s="639">
        <f t="shared" si="47"/>
        <v>0</v>
      </c>
      <c r="U52" s="639">
        <f t="shared" si="47"/>
        <v>0</v>
      </c>
      <c r="V52" s="639">
        <f t="shared" si="47"/>
        <v>0</v>
      </c>
      <c r="W52" s="639">
        <f t="shared" si="47"/>
        <v>0</v>
      </c>
      <c r="X52" s="639">
        <f t="shared" si="47"/>
        <v>0</v>
      </c>
      <c r="Y52" s="639">
        <f t="shared" si="47"/>
        <v>0</v>
      </c>
      <c r="Z52" s="639">
        <f t="shared" si="47"/>
        <v>0</v>
      </c>
      <c r="AA52" s="639">
        <f t="shared" si="47"/>
        <v>0</v>
      </c>
      <c r="AB52" s="639">
        <f t="shared" si="47"/>
        <v>0</v>
      </c>
      <c r="AC52" s="639">
        <f t="shared" si="47"/>
        <v>0</v>
      </c>
      <c r="AD52" s="639">
        <f t="shared" si="47"/>
        <v>0</v>
      </c>
      <c r="AE52" s="639">
        <f t="shared" si="47"/>
        <v>0</v>
      </c>
      <c r="AF52" s="639">
        <f t="shared" si="47"/>
        <v>0</v>
      </c>
      <c r="AG52" s="636"/>
    </row>
    <row r="53" spans="1:33" s="637" customFormat="1" x14ac:dyDescent="0.3">
      <c r="A53" s="647" t="s">
        <v>169</v>
      </c>
      <c r="B53" s="642">
        <f>H53+J53+L53+N53+P53+R53+T53+V53+X53+Z53+AB53+AD53+AF53</f>
        <v>0</v>
      </c>
      <c r="C53" s="642">
        <f>H53+J53</f>
        <v>0</v>
      </c>
      <c r="D53" s="642">
        <f>E53</f>
        <v>0</v>
      </c>
      <c r="E53" s="642">
        <f>I53+K53+M53+O53+Q53+S53+U53+W53+Y53+AA53+AC53+AE53</f>
        <v>0</v>
      </c>
      <c r="F53" s="642">
        <f t="shared" ref="F53:F57" si="48">IFERROR(E53/B53*100,0)</f>
        <v>0</v>
      </c>
      <c r="G53" s="642">
        <f t="shared" ref="G53:G57" si="49">IFERROR(E53/C53*100,0)</f>
        <v>0</v>
      </c>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35"/>
      <c r="AG53" s="636"/>
    </row>
    <row r="54" spans="1:33" s="637" customFormat="1" x14ac:dyDescent="0.3">
      <c r="A54" s="647" t="s">
        <v>32</v>
      </c>
      <c r="B54" s="642">
        <f t="shared" ref="B54:B57" si="50">H54+J54+L54+N54+P54+R54+T54+V54+X54+Z54+AB54+AD54+AF54</f>
        <v>2454.306</v>
      </c>
      <c r="C54" s="642">
        <f t="shared" ref="C54:C57" si="51">H54+J54</f>
        <v>0</v>
      </c>
      <c r="D54" s="642">
        <f t="shared" ref="D54:D57" si="52">E54</f>
        <v>0</v>
      </c>
      <c r="E54" s="642">
        <f t="shared" ref="E54:E57" si="53">I54+K54+M54+O54+Q54+S54+U54+W54+Y54+AA54+AC54+AE54</f>
        <v>0</v>
      </c>
      <c r="F54" s="642">
        <f t="shared" si="48"/>
        <v>0</v>
      </c>
      <c r="G54" s="642">
        <f t="shared" si="49"/>
        <v>0</v>
      </c>
      <c r="H54" s="642"/>
      <c r="I54" s="642"/>
      <c r="J54" s="642"/>
      <c r="K54" s="642"/>
      <c r="L54" s="642"/>
      <c r="M54" s="642"/>
      <c r="N54" s="642"/>
      <c r="O54" s="642"/>
      <c r="P54" s="642"/>
      <c r="Q54" s="642"/>
      <c r="R54" s="642">
        <v>2454.306</v>
      </c>
      <c r="S54" s="642"/>
      <c r="T54" s="642"/>
      <c r="U54" s="642"/>
      <c r="V54" s="642"/>
      <c r="W54" s="642"/>
      <c r="X54" s="642"/>
      <c r="Y54" s="642"/>
      <c r="Z54" s="642"/>
      <c r="AA54" s="642"/>
      <c r="AB54" s="642"/>
      <c r="AC54" s="642"/>
      <c r="AD54" s="642"/>
      <c r="AE54" s="642"/>
      <c r="AF54" s="635"/>
      <c r="AG54" s="636"/>
    </row>
    <row r="55" spans="1:33" s="637" customFormat="1" x14ac:dyDescent="0.3">
      <c r="A55" s="647" t="s">
        <v>33</v>
      </c>
      <c r="B55" s="642">
        <f t="shared" si="50"/>
        <v>242.733</v>
      </c>
      <c r="C55" s="642">
        <f t="shared" si="51"/>
        <v>0</v>
      </c>
      <c r="D55" s="642">
        <f t="shared" si="52"/>
        <v>0</v>
      </c>
      <c r="E55" s="642">
        <f t="shared" si="53"/>
        <v>0</v>
      </c>
      <c r="F55" s="642">
        <f t="shared" si="48"/>
        <v>0</v>
      </c>
      <c r="G55" s="642">
        <f t="shared" si="49"/>
        <v>0</v>
      </c>
      <c r="H55" s="642"/>
      <c r="I55" s="642"/>
      <c r="J55" s="642"/>
      <c r="K55" s="642"/>
      <c r="L55" s="642"/>
      <c r="M55" s="642"/>
      <c r="N55" s="642"/>
      <c r="O55" s="642"/>
      <c r="P55" s="642"/>
      <c r="Q55" s="642"/>
      <c r="R55" s="642">
        <v>242.733</v>
      </c>
      <c r="S55" s="642"/>
      <c r="T55" s="642"/>
      <c r="U55" s="642"/>
      <c r="V55" s="642"/>
      <c r="W55" s="642"/>
      <c r="X55" s="642"/>
      <c r="Y55" s="642"/>
      <c r="Z55" s="642"/>
      <c r="AA55" s="642"/>
      <c r="AB55" s="642"/>
      <c r="AC55" s="642"/>
      <c r="AD55" s="642"/>
      <c r="AE55" s="642"/>
      <c r="AF55" s="635"/>
      <c r="AG55" s="636"/>
    </row>
    <row r="56" spans="1:33" s="637" customFormat="1" ht="37.5" x14ac:dyDescent="0.3">
      <c r="A56" s="642" t="s">
        <v>174</v>
      </c>
      <c r="B56" s="642">
        <f t="shared" si="50"/>
        <v>242.733</v>
      </c>
      <c r="C56" s="642">
        <f t="shared" si="51"/>
        <v>0</v>
      </c>
      <c r="D56" s="642">
        <f t="shared" si="52"/>
        <v>0</v>
      </c>
      <c r="E56" s="642">
        <f t="shared" si="53"/>
        <v>0</v>
      </c>
      <c r="F56" s="642">
        <f t="shared" si="48"/>
        <v>0</v>
      </c>
      <c r="G56" s="642">
        <f t="shared" si="49"/>
        <v>0</v>
      </c>
      <c r="H56" s="642"/>
      <c r="I56" s="642"/>
      <c r="J56" s="642"/>
      <c r="K56" s="642"/>
      <c r="L56" s="642"/>
      <c r="M56" s="642"/>
      <c r="N56" s="642"/>
      <c r="O56" s="642"/>
      <c r="P56" s="642"/>
      <c r="Q56" s="642"/>
      <c r="R56" s="642">
        <v>242.733</v>
      </c>
      <c r="S56" s="642"/>
      <c r="T56" s="642"/>
      <c r="U56" s="642"/>
      <c r="V56" s="642"/>
      <c r="W56" s="642"/>
      <c r="X56" s="642"/>
      <c r="Y56" s="642"/>
      <c r="Z56" s="642"/>
      <c r="AA56" s="642"/>
      <c r="AB56" s="642"/>
      <c r="AC56" s="642"/>
      <c r="AD56" s="642"/>
      <c r="AE56" s="642"/>
      <c r="AF56" s="635"/>
      <c r="AG56" s="636"/>
    </row>
    <row r="57" spans="1:33" s="637" customFormat="1" x14ac:dyDescent="0.3">
      <c r="A57" s="647" t="s">
        <v>170</v>
      </c>
      <c r="B57" s="642">
        <f t="shared" si="50"/>
        <v>0</v>
      </c>
      <c r="C57" s="642">
        <f t="shared" si="51"/>
        <v>0</v>
      </c>
      <c r="D57" s="642">
        <f t="shared" si="52"/>
        <v>0</v>
      </c>
      <c r="E57" s="642">
        <f t="shared" si="53"/>
        <v>0</v>
      </c>
      <c r="F57" s="642">
        <f t="shared" si="48"/>
        <v>0</v>
      </c>
      <c r="G57" s="642">
        <f t="shared" si="49"/>
        <v>0</v>
      </c>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635"/>
      <c r="AG57" s="636"/>
    </row>
    <row r="58" spans="1:33" ht="75" x14ac:dyDescent="0.3">
      <c r="A58" s="643" t="s">
        <v>339</v>
      </c>
      <c r="B58" s="643"/>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102">
        <f t="shared" si="3"/>
        <v>0</v>
      </c>
    </row>
    <row r="59" spans="1:33" s="637" customFormat="1" x14ac:dyDescent="0.3">
      <c r="A59" s="929" t="s">
        <v>54</v>
      </c>
      <c r="B59" s="930"/>
      <c r="C59" s="930"/>
      <c r="D59" s="930"/>
      <c r="E59" s="930"/>
      <c r="F59" s="930"/>
      <c r="G59" s="930"/>
      <c r="H59" s="930"/>
      <c r="I59" s="930"/>
      <c r="J59" s="930"/>
      <c r="K59" s="930"/>
      <c r="L59" s="930"/>
      <c r="M59" s="930"/>
      <c r="N59" s="930"/>
      <c r="O59" s="930"/>
      <c r="P59" s="930"/>
      <c r="Q59" s="930"/>
      <c r="R59" s="930"/>
      <c r="S59" s="930"/>
      <c r="T59" s="930"/>
      <c r="U59" s="930"/>
      <c r="V59" s="930"/>
      <c r="W59" s="930"/>
      <c r="X59" s="930"/>
      <c r="Y59" s="930"/>
      <c r="Z59" s="930"/>
      <c r="AA59" s="930"/>
      <c r="AB59" s="930"/>
      <c r="AC59" s="930"/>
      <c r="AD59" s="930"/>
      <c r="AE59" s="930"/>
      <c r="AF59" s="931"/>
      <c r="AG59" s="636">
        <f t="shared" si="3"/>
        <v>0</v>
      </c>
    </row>
    <row r="60" spans="1:33" s="637" customFormat="1" ht="124.5" customHeight="1" x14ac:dyDescent="0.3">
      <c r="A60" s="644" t="s">
        <v>340</v>
      </c>
      <c r="B60" s="648"/>
      <c r="C60" s="649"/>
      <c r="D60" s="649"/>
      <c r="E60" s="649"/>
      <c r="F60" s="649"/>
      <c r="G60" s="649"/>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35"/>
      <c r="AG60" s="636">
        <f t="shared" si="3"/>
        <v>0</v>
      </c>
    </row>
    <row r="61" spans="1:33" s="637" customFormat="1" x14ac:dyDescent="0.3">
      <c r="A61" s="638" t="s">
        <v>31</v>
      </c>
      <c r="B61" s="639">
        <f>B62+B63+B64</f>
        <v>5480.5969999999998</v>
      </c>
      <c r="C61" s="639">
        <f>C62+C63+C64</f>
        <v>0</v>
      </c>
      <c r="D61" s="639">
        <f>D62+D63+D64</f>
        <v>0</v>
      </c>
      <c r="E61" s="639">
        <f>E62+E63+E64</f>
        <v>0</v>
      </c>
      <c r="F61" s="639">
        <f>IFERROR(E61/B61*100,0)</f>
        <v>0</v>
      </c>
      <c r="G61" s="639">
        <f>IFERROR(E61/C61*100,0)</f>
        <v>0</v>
      </c>
      <c r="H61" s="639">
        <f t="shared" ref="H61:AE61" si="54">H62+H63+H64</f>
        <v>0</v>
      </c>
      <c r="I61" s="639">
        <f t="shared" si="54"/>
        <v>0</v>
      </c>
      <c r="J61" s="639">
        <f t="shared" si="54"/>
        <v>0</v>
      </c>
      <c r="K61" s="639">
        <f t="shared" si="54"/>
        <v>0</v>
      </c>
      <c r="L61" s="639">
        <f t="shared" si="54"/>
        <v>2127.5990000000002</v>
      </c>
      <c r="M61" s="639">
        <f t="shared" si="54"/>
        <v>0</v>
      </c>
      <c r="N61" s="639">
        <f t="shared" si="54"/>
        <v>0</v>
      </c>
      <c r="O61" s="639">
        <f t="shared" si="54"/>
        <v>0</v>
      </c>
      <c r="P61" s="639">
        <f t="shared" si="54"/>
        <v>0</v>
      </c>
      <c r="Q61" s="639">
        <f t="shared" si="54"/>
        <v>0</v>
      </c>
      <c r="R61" s="639">
        <f t="shared" si="54"/>
        <v>0</v>
      </c>
      <c r="S61" s="639">
        <f t="shared" si="54"/>
        <v>0</v>
      </c>
      <c r="T61" s="639">
        <f t="shared" si="54"/>
        <v>0</v>
      </c>
      <c r="U61" s="639">
        <f t="shared" si="54"/>
        <v>0</v>
      </c>
      <c r="V61" s="639">
        <f t="shared" si="54"/>
        <v>0</v>
      </c>
      <c r="W61" s="639">
        <f t="shared" si="54"/>
        <v>0</v>
      </c>
      <c r="X61" s="639">
        <f t="shared" si="54"/>
        <v>0</v>
      </c>
      <c r="Y61" s="639">
        <f t="shared" si="54"/>
        <v>0</v>
      </c>
      <c r="Z61" s="639">
        <f t="shared" si="54"/>
        <v>0</v>
      </c>
      <c r="AA61" s="639">
        <f t="shared" si="54"/>
        <v>0</v>
      </c>
      <c r="AB61" s="639">
        <f t="shared" si="54"/>
        <v>0</v>
      </c>
      <c r="AC61" s="639">
        <f t="shared" si="54"/>
        <v>0</v>
      </c>
      <c r="AD61" s="639">
        <f t="shared" si="54"/>
        <v>3352.998</v>
      </c>
      <c r="AE61" s="639">
        <f t="shared" si="54"/>
        <v>0</v>
      </c>
      <c r="AF61" s="635"/>
      <c r="AG61" s="636">
        <f t="shared" si="3"/>
        <v>0</v>
      </c>
    </row>
    <row r="62" spans="1:33" s="637" customFormat="1" x14ac:dyDescent="0.3">
      <c r="A62" s="641" t="s">
        <v>169</v>
      </c>
      <c r="B62" s="642">
        <f t="shared" ref="B62:B66" si="55">J62+L62+N62+P62+R62+T62+V62+X62+Z62+AB62+AD62+H62</f>
        <v>407.99900000000002</v>
      </c>
      <c r="C62" s="642">
        <f>SUM(H62+J62)</f>
        <v>0</v>
      </c>
      <c r="D62" s="642">
        <f t="shared" ref="D62:D66" si="56">E62</f>
        <v>0</v>
      </c>
      <c r="E62" s="642">
        <f t="shared" ref="E62:E66" si="57">SUM(I62,K62,M62,O62,Q62,S62,U62,W62,Y62,AA62,AC62,AE62)</f>
        <v>0</v>
      </c>
      <c r="F62" s="642">
        <f>IFERROR(E62/B62*100,0)</f>
        <v>0</v>
      </c>
      <c r="G62" s="642">
        <f>IFERROR(E62/C62*100,0)</f>
        <v>0</v>
      </c>
      <c r="H62" s="642"/>
      <c r="I62" s="642"/>
      <c r="J62" s="642"/>
      <c r="K62" s="642"/>
      <c r="L62" s="642">
        <v>158.38200000000001</v>
      </c>
      <c r="M62" s="642"/>
      <c r="N62" s="642"/>
      <c r="O62" s="642"/>
      <c r="P62" s="642"/>
      <c r="Q62" s="642"/>
      <c r="R62" s="642"/>
      <c r="S62" s="642"/>
      <c r="T62" s="642"/>
      <c r="U62" s="642"/>
      <c r="V62" s="642"/>
      <c r="W62" s="642"/>
      <c r="X62" s="642"/>
      <c r="Y62" s="642"/>
      <c r="Z62" s="642"/>
      <c r="AA62" s="642"/>
      <c r="AB62" s="642"/>
      <c r="AC62" s="642"/>
      <c r="AD62" s="642">
        <v>249.61699999999999</v>
      </c>
      <c r="AE62" s="642"/>
      <c r="AF62" s="635"/>
      <c r="AG62" s="636">
        <f t="shared" si="3"/>
        <v>0</v>
      </c>
    </row>
    <row r="63" spans="1:33" s="637" customFormat="1" x14ac:dyDescent="0.3">
      <c r="A63" s="641" t="s">
        <v>32</v>
      </c>
      <c r="B63" s="642">
        <f t="shared" si="55"/>
        <v>4798.4989999999998</v>
      </c>
      <c r="C63" s="642">
        <f t="shared" ref="C63:C66" si="58">SUM(H63+J63)</f>
        <v>0</v>
      </c>
      <c r="D63" s="642">
        <f t="shared" si="56"/>
        <v>0</v>
      </c>
      <c r="E63" s="642">
        <f t="shared" si="57"/>
        <v>0</v>
      </c>
      <c r="F63" s="642"/>
      <c r="G63" s="642"/>
      <c r="H63" s="642"/>
      <c r="I63" s="642"/>
      <c r="J63" s="642"/>
      <c r="K63" s="642"/>
      <c r="L63" s="642">
        <v>1862.81</v>
      </c>
      <c r="M63" s="642"/>
      <c r="N63" s="642"/>
      <c r="O63" s="642"/>
      <c r="P63" s="642"/>
      <c r="Q63" s="642"/>
      <c r="R63" s="642"/>
      <c r="S63" s="642"/>
      <c r="T63" s="642"/>
      <c r="U63" s="642"/>
      <c r="V63" s="642"/>
      <c r="W63" s="642"/>
      <c r="X63" s="642"/>
      <c r="Y63" s="642"/>
      <c r="Z63" s="642"/>
      <c r="AA63" s="642"/>
      <c r="AB63" s="642"/>
      <c r="AC63" s="642"/>
      <c r="AD63" s="642">
        <v>2935.6889999999999</v>
      </c>
      <c r="AE63" s="642"/>
      <c r="AF63" s="635"/>
      <c r="AG63" s="636">
        <f t="shared" si="3"/>
        <v>0</v>
      </c>
    </row>
    <row r="64" spans="1:33" s="637" customFormat="1" x14ac:dyDescent="0.3">
      <c r="A64" s="641" t="s">
        <v>33</v>
      </c>
      <c r="B64" s="642">
        <f t="shared" si="55"/>
        <v>274.09899999999999</v>
      </c>
      <c r="C64" s="642">
        <f t="shared" si="58"/>
        <v>0</v>
      </c>
      <c r="D64" s="642">
        <f t="shared" si="56"/>
        <v>0</v>
      </c>
      <c r="E64" s="642">
        <f t="shared" si="57"/>
        <v>0</v>
      </c>
      <c r="F64" s="642">
        <f>IFERROR(E64/B64*100,0)</f>
        <v>0</v>
      </c>
      <c r="G64" s="642">
        <f>IFERROR(E64/C64*100,0)</f>
        <v>0</v>
      </c>
      <c r="H64" s="642"/>
      <c r="I64" s="642"/>
      <c r="J64" s="642"/>
      <c r="K64" s="642"/>
      <c r="L64" s="642">
        <v>106.407</v>
      </c>
      <c r="M64" s="642"/>
      <c r="N64" s="642"/>
      <c r="O64" s="642"/>
      <c r="P64" s="642"/>
      <c r="Q64" s="642"/>
      <c r="R64" s="642"/>
      <c r="S64" s="642"/>
      <c r="T64" s="642"/>
      <c r="U64" s="642"/>
      <c r="V64" s="642"/>
      <c r="W64" s="642"/>
      <c r="X64" s="642"/>
      <c r="Y64" s="642"/>
      <c r="Z64" s="642"/>
      <c r="AA64" s="642"/>
      <c r="AB64" s="642"/>
      <c r="AC64" s="642"/>
      <c r="AD64" s="642">
        <v>167.69200000000001</v>
      </c>
      <c r="AE64" s="642"/>
      <c r="AF64" s="635"/>
      <c r="AG64" s="636">
        <f t="shared" si="3"/>
        <v>0</v>
      </c>
    </row>
    <row r="65" spans="1:33" s="637" customFormat="1" ht="37.5" x14ac:dyDescent="0.3">
      <c r="A65" s="648" t="s">
        <v>174</v>
      </c>
      <c r="B65" s="642">
        <f t="shared" si="55"/>
        <v>274.09899999999999</v>
      </c>
      <c r="C65" s="642">
        <f t="shared" si="58"/>
        <v>0</v>
      </c>
      <c r="D65" s="642">
        <f t="shared" si="56"/>
        <v>0</v>
      </c>
      <c r="E65" s="642">
        <f t="shared" si="57"/>
        <v>0</v>
      </c>
      <c r="F65" s="642">
        <f>IFERROR(E65/B65*100,0)</f>
        <v>0</v>
      </c>
      <c r="G65" s="642">
        <f>IFERROR(E65/C65*100,0)</f>
        <v>0</v>
      </c>
      <c r="H65" s="642"/>
      <c r="I65" s="642"/>
      <c r="J65" s="642"/>
      <c r="K65" s="642"/>
      <c r="L65" s="642">
        <v>106.407</v>
      </c>
      <c r="M65" s="642"/>
      <c r="N65" s="642"/>
      <c r="O65" s="642"/>
      <c r="P65" s="642"/>
      <c r="Q65" s="642"/>
      <c r="R65" s="642"/>
      <c r="S65" s="642"/>
      <c r="T65" s="642"/>
      <c r="U65" s="642"/>
      <c r="V65" s="642"/>
      <c r="W65" s="642"/>
      <c r="X65" s="642"/>
      <c r="Y65" s="642"/>
      <c r="Z65" s="642"/>
      <c r="AA65" s="642"/>
      <c r="AB65" s="642"/>
      <c r="AC65" s="642"/>
      <c r="AD65" s="642">
        <v>167.69200000000001</v>
      </c>
      <c r="AE65" s="642"/>
      <c r="AF65" s="635"/>
      <c r="AG65" s="636"/>
    </row>
    <row r="66" spans="1:33" s="637" customFormat="1" x14ac:dyDescent="0.3">
      <c r="A66" s="641" t="s">
        <v>170</v>
      </c>
      <c r="B66" s="642">
        <f t="shared" si="55"/>
        <v>0</v>
      </c>
      <c r="C66" s="642">
        <f t="shared" si="58"/>
        <v>0</v>
      </c>
      <c r="D66" s="642">
        <f t="shared" si="56"/>
        <v>0</v>
      </c>
      <c r="E66" s="642">
        <f t="shared" si="57"/>
        <v>0</v>
      </c>
      <c r="F66" s="642">
        <f>IFERROR(E66/B66*100,0)</f>
        <v>0</v>
      </c>
      <c r="G66" s="642">
        <f>IFERROR(E66/C66*100,0)</f>
        <v>0</v>
      </c>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35"/>
      <c r="AG66" s="636">
        <f t="shared" si="3"/>
        <v>0</v>
      </c>
    </row>
    <row r="67" spans="1:33" s="637" customFormat="1" ht="131.25" x14ac:dyDescent="0.3">
      <c r="A67" s="644" t="s">
        <v>341</v>
      </c>
      <c r="B67" s="642"/>
      <c r="C67" s="650"/>
      <c r="D67" s="650"/>
      <c r="E67" s="650"/>
      <c r="F67" s="650"/>
      <c r="G67" s="650"/>
      <c r="H67" s="642"/>
      <c r="I67" s="642"/>
      <c r="J67" s="642"/>
      <c r="K67" s="642"/>
      <c r="L67" s="642"/>
      <c r="M67" s="642"/>
      <c r="N67" s="642"/>
      <c r="O67" s="642"/>
      <c r="P67" s="642"/>
      <c r="Q67" s="642"/>
      <c r="R67" s="642"/>
      <c r="S67" s="642"/>
      <c r="T67" s="642"/>
      <c r="U67" s="642"/>
      <c r="V67" s="642"/>
      <c r="W67" s="642"/>
      <c r="X67" s="642"/>
      <c r="Y67" s="642"/>
      <c r="Z67" s="642"/>
      <c r="AA67" s="642"/>
      <c r="AB67" s="642"/>
      <c r="AC67" s="642"/>
      <c r="AD67" s="642"/>
      <c r="AE67" s="642"/>
      <c r="AF67" s="635"/>
      <c r="AG67" s="636">
        <f t="shared" si="3"/>
        <v>0</v>
      </c>
    </row>
    <row r="68" spans="1:33" s="637" customFormat="1" x14ac:dyDescent="0.3">
      <c r="A68" s="638" t="s">
        <v>31</v>
      </c>
      <c r="B68" s="639">
        <f>B69+B70+B71+B72</f>
        <v>1981</v>
      </c>
      <c r="C68" s="639">
        <f>C69+C70+C71+C72</f>
        <v>0</v>
      </c>
      <c r="D68" s="639">
        <f>D69+D70+D71+D72</f>
        <v>0</v>
      </c>
      <c r="E68" s="639">
        <f>E69+E70+E71+E72</f>
        <v>0</v>
      </c>
      <c r="F68" s="642">
        <v>0</v>
      </c>
      <c r="G68" s="642">
        <v>0</v>
      </c>
      <c r="H68" s="639">
        <f>H69+H70+H71+H72</f>
        <v>0</v>
      </c>
      <c r="I68" s="639">
        <f t="shared" ref="I68:AE68" si="59">I69+I70+I71+I72</f>
        <v>0</v>
      </c>
      <c r="J68" s="639">
        <f t="shared" si="59"/>
        <v>0</v>
      </c>
      <c r="K68" s="639">
        <f t="shared" si="59"/>
        <v>0</v>
      </c>
      <c r="L68" s="639">
        <f t="shared" si="59"/>
        <v>0</v>
      </c>
      <c r="M68" s="639">
        <f t="shared" si="59"/>
        <v>0</v>
      </c>
      <c r="N68" s="639">
        <f t="shared" si="59"/>
        <v>0</v>
      </c>
      <c r="O68" s="639">
        <f t="shared" si="59"/>
        <v>0</v>
      </c>
      <c r="P68" s="639">
        <f t="shared" si="59"/>
        <v>0</v>
      </c>
      <c r="Q68" s="639">
        <f t="shared" si="59"/>
        <v>0</v>
      </c>
      <c r="R68" s="639">
        <f t="shared" si="59"/>
        <v>0</v>
      </c>
      <c r="S68" s="639">
        <f t="shared" si="59"/>
        <v>0</v>
      </c>
      <c r="T68" s="639">
        <f t="shared" si="59"/>
        <v>0</v>
      </c>
      <c r="U68" s="639">
        <f t="shared" si="59"/>
        <v>0</v>
      </c>
      <c r="V68" s="639">
        <f t="shared" si="59"/>
        <v>0</v>
      </c>
      <c r="W68" s="639">
        <f t="shared" si="59"/>
        <v>0</v>
      </c>
      <c r="X68" s="639">
        <f t="shared" si="59"/>
        <v>0</v>
      </c>
      <c r="Y68" s="639">
        <f t="shared" si="59"/>
        <v>0</v>
      </c>
      <c r="Z68" s="639">
        <f t="shared" si="59"/>
        <v>0</v>
      </c>
      <c r="AA68" s="639">
        <f t="shared" si="59"/>
        <v>0</v>
      </c>
      <c r="AB68" s="639">
        <f t="shared" si="59"/>
        <v>0</v>
      </c>
      <c r="AC68" s="639">
        <f t="shared" si="59"/>
        <v>0</v>
      </c>
      <c r="AD68" s="639">
        <f t="shared" si="59"/>
        <v>1981</v>
      </c>
      <c r="AE68" s="639">
        <f t="shared" si="59"/>
        <v>0</v>
      </c>
      <c r="AF68" s="635"/>
      <c r="AG68" s="636">
        <f t="shared" si="3"/>
        <v>0</v>
      </c>
    </row>
    <row r="69" spans="1:33" s="637" customFormat="1" x14ac:dyDescent="0.3">
      <c r="A69" s="641" t="s">
        <v>169</v>
      </c>
      <c r="B69" s="642">
        <f t="shared" ref="B69:B72" si="60">J69+L69+N69+P69+R69+T69+V69+X69+Z69+AB69+AD69+H69</f>
        <v>1981</v>
      </c>
      <c r="C69" s="642">
        <f>SUM(H69+J69)</f>
        <v>0</v>
      </c>
      <c r="D69" s="642">
        <f t="shared" ref="D69:D72" si="61">E69</f>
        <v>0</v>
      </c>
      <c r="E69" s="642">
        <f t="shared" ref="E69:E72" si="62">SUM(I69,K69,M69,O69,Q69,S69,U69,W69,Y69,AA69,AC69,AE69)</f>
        <v>0</v>
      </c>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v>1981</v>
      </c>
      <c r="AE69" s="642"/>
      <c r="AF69" s="635"/>
      <c r="AG69" s="636">
        <f t="shared" si="3"/>
        <v>0</v>
      </c>
    </row>
    <row r="70" spans="1:33" s="637" customFormat="1" x14ac:dyDescent="0.3">
      <c r="A70" s="641" t="s">
        <v>32</v>
      </c>
      <c r="B70" s="642">
        <f t="shared" si="60"/>
        <v>0</v>
      </c>
      <c r="C70" s="642">
        <f t="shared" ref="C70:C72" si="63">SUM(H70+J70)</f>
        <v>0</v>
      </c>
      <c r="D70" s="642">
        <f t="shared" si="61"/>
        <v>0</v>
      </c>
      <c r="E70" s="642">
        <f t="shared" si="62"/>
        <v>0</v>
      </c>
      <c r="F70" s="642"/>
      <c r="G70" s="642"/>
      <c r="H70" s="642"/>
      <c r="I70" s="642"/>
      <c r="J70" s="642"/>
      <c r="K70" s="642"/>
      <c r="L70" s="642"/>
      <c r="M70" s="642"/>
      <c r="N70" s="642"/>
      <c r="O70" s="642"/>
      <c r="P70" s="642"/>
      <c r="Q70" s="642"/>
      <c r="R70" s="642"/>
      <c r="S70" s="642"/>
      <c r="T70" s="642"/>
      <c r="U70" s="642"/>
      <c r="V70" s="642"/>
      <c r="W70" s="642"/>
      <c r="X70" s="642"/>
      <c r="Y70" s="642"/>
      <c r="Z70" s="642"/>
      <c r="AA70" s="642"/>
      <c r="AB70" s="642"/>
      <c r="AC70" s="642"/>
      <c r="AD70" s="642"/>
      <c r="AE70" s="642"/>
      <c r="AF70" s="635"/>
      <c r="AG70" s="636">
        <f t="shared" si="3"/>
        <v>0</v>
      </c>
    </row>
    <row r="71" spans="1:33" s="637" customFormat="1" x14ac:dyDescent="0.3">
      <c r="A71" s="641" t="s">
        <v>33</v>
      </c>
      <c r="B71" s="642">
        <f t="shared" si="60"/>
        <v>0</v>
      </c>
      <c r="C71" s="642">
        <f t="shared" si="63"/>
        <v>0</v>
      </c>
      <c r="D71" s="642">
        <f t="shared" si="61"/>
        <v>0</v>
      </c>
      <c r="E71" s="642">
        <f t="shared" si="62"/>
        <v>0</v>
      </c>
      <c r="F71" s="642">
        <f>IFERROR(E71/B71*100,0)</f>
        <v>0</v>
      </c>
      <c r="G71" s="642">
        <f>IFERROR(E71/C71*100,0)</f>
        <v>0</v>
      </c>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35"/>
      <c r="AG71" s="636">
        <f t="shared" si="3"/>
        <v>0</v>
      </c>
    </row>
    <row r="72" spans="1:33" s="637" customFormat="1" x14ac:dyDescent="0.3">
      <c r="A72" s="641" t="s">
        <v>170</v>
      </c>
      <c r="B72" s="642">
        <f t="shared" si="60"/>
        <v>0</v>
      </c>
      <c r="C72" s="642">
        <f t="shared" si="63"/>
        <v>0</v>
      </c>
      <c r="D72" s="642">
        <f t="shared" si="61"/>
        <v>0</v>
      </c>
      <c r="E72" s="642">
        <f t="shared" si="62"/>
        <v>0</v>
      </c>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35"/>
      <c r="AG72" s="636">
        <f t="shared" si="3"/>
        <v>0</v>
      </c>
    </row>
    <row r="73" spans="1:33" s="637" customFormat="1" ht="56.25" x14ac:dyDescent="0.3">
      <c r="A73" s="644" t="s">
        <v>342</v>
      </c>
      <c r="B73" s="642"/>
      <c r="C73" s="650"/>
      <c r="D73" s="650"/>
      <c r="E73" s="650"/>
      <c r="F73" s="650"/>
      <c r="G73" s="650"/>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35"/>
      <c r="AG73" s="636">
        <f t="shared" si="3"/>
        <v>0</v>
      </c>
    </row>
    <row r="74" spans="1:33" s="637" customFormat="1" x14ac:dyDescent="0.3">
      <c r="A74" s="638" t="s">
        <v>31</v>
      </c>
      <c r="B74" s="639">
        <f>B75+B76+B77+B78</f>
        <v>2055.7999999999997</v>
      </c>
      <c r="C74" s="639">
        <f>C75+C76+C77+C78</f>
        <v>0</v>
      </c>
      <c r="D74" s="639">
        <f>D75+D76+D77+D78</f>
        <v>0</v>
      </c>
      <c r="E74" s="639">
        <f>E75+E76+E77+E78</f>
        <v>0</v>
      </c>
      <c r="F74" s="642">
        <v>0</v>
      </c>
      <c r="G74" s="642">
        <v>0</v>
      </c>
      <c r="H74" s="639">
        <f>H75+H76+H77+H78</f>
        <v>0</v>
      </c>
      <c r="I74" s="639">
        <f t="shared" ref="I74:AE74" si="64">I75+I76+I77+I78</f>
        <v>0</v>
      </c>
      <c r="J74" s="639">
        <f t="shared" si="64"/>
        <v>0</v>
      </c>
      <c r="K74" s="639">
        <f t="shared" si="64"/>
        <v>0</v>
      </c>
      <c r="L74" s="639">
        <f t="shared" si="64"/>
        <v>0</v>
      </c>
      <c r="M74" s="639">
        <f t="shared" si="64"/>
        <v>0</v>
      </c>
      <c r="N74" s="639">
        <f t="shared" si="64"/>
        <v>9.1999999999999993</v>
      </c>
      <c r="O74" s="639">
        <f t="shared" si="64"/>
        <v>0</v>
      </c>
      <c r="P74" s="639">
        <f t="shared" si="64"/>
        <v>0</v>
      </c>
      <c r="Q74" s="639">
        <f t="shared" si="64"/>
        <v>0</v>
      </c>
      <c r="R74" s="639">
        <f t="shared" si="64"/>
        <v>0</v>
      </c>
      <c r="S74" s="639">
        <f t="shared" si="64"/>
        <v>0</v>
      </c>
      <c r="T74" s="639">
        <f t="shared" si="64"/>
        <v>0</v>
      </c>
      <c r="U74" s="639">
        <f t="shared" si="64"/>
        <v>0</v>
      </c>
      <c r="V74" s="639">
        <f t="shared" si="64"/>
        <v>0</v>
      </c>
      <c r="W74" s="639">
        <f t="shared" si="64"/>
        <v>0</v>
      </c>
      <c r="X74" s="639">
        <f t="shared" si="64"/>
        <v>0</v>
      </c>
      <c r="Y74" s="639">
        <f t="shared" si="64"/>
        <v>0</v>
      </c>
      <c r="Z74" s="639">
        <f t="shared" si="64"/>
        <v>0</v>
      </c>
      <c r="AA74" s="639">
        <f t="shared" si="64"/>
        <v>0</v>
      </c>
      <c r="AB74" s="639">
        <f t="shared" si="64"/>
        <v>0</v>
      </c>
      <c r="AC74" s="639">
        <f t="shared" si="64"/>
        <v>0</v>
      </c>
      <c r="AD74" s="639">
        <f t="shared" si="64"/>
        <v>2046.6</v>
      </c>
      <c r="AE74" s="639">
        <f t="shared" si="64"/>
        <v>0</v>
      </c>
      <c r="AF74" s="635"/>
      <c r="AG74" s="636">
        <f t="shared" si="3"/>
        <v>0</v>
      </c>
    </row>
    <row r="75" spans="1:33" s="637" customFormat="1" x14ac:dyDescent="0.3">
      <c r="A75" s="641" t="s">
        <v>169</v>
      </c>
      <c r="B75" s="642">
        <f t="shared" ref="B75:B78" si="65">J75+L75+N75+P75+R75+T75+V75+X75+Z75+AB75+AD75+H75</f>
        <v>2046.6</v>
      </c>
      <c r="C75" s="642">
        <f>SUM(H75+J75)</f>
        <v>0</v>
      </c>
      <c r="D75" s="642">
        <f t="shared" ref="D75:D78" si="66">E75</f>
        <v>0</v>
      </c>
      <c r="E75" s="642">
        <f t="shared" ref="E75:E78" si="67">SUM(I75,K75,M75,O75,Q75,S75,U75,W75,Y75,AA75,AC75,AE75)</f>
        <v>0</v>
      </c>
      <c r="F75" s="642"/>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642">
        <v>2046.6</v>
      </c>
      <c r="AE75" s="642"/>
      <c r="AF75" s="635"/>
      <c r="AG75" s="636">
        <f t="shared" si="3"/>
        <v>0</v>
      </c>
    </row>
    <row r="76" spans="1:33" s="637" customFormat="1" x14ac:dyDescent="0.3">
      <c r="A76" s="641" t="s">
        <v>32</v>
      </c>
      <c r="B76" s="642">
        <f t="shared" si="65"/>
        <v>9.1999999999999993</v>
      </c>
      <c r="C76" s="642">
        <f t="shared" ref="C76:C78" si="68">SUM(H76+J76)</f>
        <v>0</v>
      </c>
      <c r="D76" s="642">
        <f t="shared" si="66"/>
        <v>0</v>
      </c>
      <c r="E76" s="642">
        <f t="shared" si="67"/>
        <v>0</v>
      </c>
      <c r="F76" s="642"/>
      <c r="G76" s="642"/>
      <c r="H76" s="642"/>
      <c r="I76" s="642"/>
      <c r="J76" s="642"/>
      <c r="K76" s="642"/>
      <c r="L76" s="642"/>
      <c r="M76" s="642"/>
      <c r="N76" s="642">
        <v>9.1999999999999993</v>
      </c>
      <c r="O76" s="642"/>
      <c r="P76" s="642"/>
      <c r="Q76" s="642"/>
      <c r="R76" s="642"/>
      <c r="S76" s="642"/>
      <c r="T76" s="642"/>
      <c r="U76" s="642"/>
      <c r="V76" s="642"/>
      <c r="W76" s="642"/>
      <c r="X76" s="642"/>
      <c r="Y76" s="642"/>
      <c r="Z76" s="642"/>
      <c r="AA76" s="642"/>
      <c r="AB76" s="642"/>
      <c r="AC76" s="642"/>
      <c r="AD76" s="642"/>
      <c r="AE76" s="642"/>
      <c r="AF76" s="635"/>
      <c r="AG76" s="636">
        <f t="shared" si="3"/>
        <v>0</v>
      </c>
    </row>
    <row r="77" spans="1:33" s="637" customFormat="1" x14ac:dyDescent="0.3">
      <c r="A77" s="641" t="s">
        <v>33</v>
      </c>
      <c r="B77" s="642">
        <f t="shared" si="65"/>
        <v>0</v>
      </c>
      <c r="C77" s="642">
        <f t="shared" si="68"/>
        <v>0</v>
      </c>
      <c r="D77" s="642">
        <f t="shared" si="66"/>
        <v>0</v>
      </c>
      <c r="E77" s="642">
        <f t="shared" si="67"/>
        <v>0</v>
      </c>
      <c r="F77" s="642">
        <f>IFERROR(E77/B77*100,0)</f>
        <v>0</v>
      </c>
      <c r="G77" s="642">
        <f>IFERROR(E77/C77*100,0)</f>
        <v>0</v>
      </c>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35"/>
      <c r="AG77" s="636">
        <f t="shared" si="3"/>
        <v>0</v>
      </c>
    </row>
    <row r="78" spans="1:33" s="637" customFormat="1" x14ac:dyDescent="0.3">
      <c r="A78" s="641" t="s">
        <v>170</v>
      </c>
      <c r="B78" s="642">
        <f t="shared" si="65"/>
        <v>0</v>
      </c>
      <c r="C78" s="642">
        <f t="shared" si="68"/>
        <v>0</v>
      </c>
      <c r="D78" s="642">
        <f t="shared" si="66"/>
        <v>0</v>
      </c>
      <c r="E78" s="642">
        <f t="shared" si="67"/>
        <v>0</v>
      </c>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635"/>
      <c r="AG78" s="636">
        <f t="shared" si="3"/>
        <v>0</v>
      </c>
    </row>
    <row r="79" spans="1:33" s="637" customFormat="1" ht="150" x14ac:dyDescent="0.3">
      <c r="A79" s="644" t="s">
        <v>343</v>
      </c>
      <c r="B79" s="642"/>
      <c r="C79" s="650"/>
      <c r="D79" s="650"/>
      <c r="E79" s="650"/>
      <c r="F79" s="650"/>
      <c r="G79" s="650"/>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35"/>
      <c r="AG79" s="636">
        <f t="shared" si="3"/>
        <v>0</v>
      </c>
    </row>
    <row r="80" spans="1:33" s="637" customFormat="1" x14ac:dyDescent="0.3">
      <c r="A80" s="638" t="s">
        <v>31</v>
      </c>
      <c r="B80" s="639">
        <f>B81+B82+B83+B84</f>
        <v>0</v>
      </c>
      <c r="C80" s="639">
        <f>C81+C82+C83+C84</f>
        <v>0</v>
      </c>
      <c r="D80" s="639">
        <f>D81+D82+D83+D84</f>
        <v>0</v>
      </c>
      <c r="E80" s="639">
        <f>E81+E82+E83+E84</f>
        <v>0</v>
      </c>
      <c r="F80" s="642">
        <v>0</v>
      </c>
      <c r="G80" s="642">
        <v>0</v>
      </c>
      <c r="H80" s="639">
        <f>H81+H82+H83+H84</f>
        <v>0</v>
      </c>
      <c r="I80" s="639">
        <f t="shared" ref="I80:AE80" si="69">I81+I82+I83+I84</f>
        <v>0</v>
      </c>
      <c r="J80" s="639">
        <f t="shared" si="69"/>
        <v>0</v>
      </c>
      <c r="K80" s="639">
        <f t="shared" si="69"/>
        <v>0</v>
      </c>
      <c r="L80" s="639">
        <f t="shared" si="69"/>
        <v>0</v>
      </c>
      <c r="M80" s="639">
        <f t="shared" si="69"/>
        <v>0</v>
      </c>
      <c r="N80" s="639">
        <f t="shared" si="69"/>
        <v>0</v>
      </c>
      <c r="O80" s="639">
        <f t="shared" si="69"/>
        <v>0</v>
      </c>
      <c r="P80" s="639">
        <f t="shared" si="69"/>
        <v>0</v>
      </c>
      <c r="Q80" s="639">
        <f t="shared" si="69"/>
        <v>0</v>
      </c>
      <c r="R80" s="639">
        <f t="shared" si="69"/>
        <v>0</v>
      </c>
      <c r="S80" s="639">
        <f t="shared" si="69"/>
        <v>0</v>
      </c>
      <c r="T80" s="639">
        <f t="shared" si="69"/>
        <v>0</v>
      </c>
      <c r="U80" s="639">
        <f t="shared" si="69"/>
        <v>0</v>
      </c>
      <c r="V80" s="639">
        <f t="shared" si="69"/>
        <v>0</v>
      </c>
      <c r="W80" s="639">
        <f t="shared" si="69"/>
        <v>0</v>
      </c>
      <c r="X80" s="639">
        <f t="shared" si="69"/>
        <v>0</v>
      </c>
      <c r="Y80" s="639">
        <f t="shared" si="69"/>
        <v>0</v>
      </c>
      <c r="Z80" s="639">
        <f t="shared" si="69"/>
        <v>0</v>
      </c>
      <c r="AA80" s="639">
        <f t="shared" si="69"/>
        <v>0</v>
      </c>
      <c r="AB80" s="639">
        <f t="shared" si="69"/>
        <v>0</v>
      </c>
      <c r="AC80" s="639">
        <f t="shared" si="69"/>
        <v>0</v>
      </c>
      <c r="AD80" s="639">
        <f t="shared" si="69"/>
        <v>0</v>
      </c>
      <c r="AE80" s="639">
        <f t="shared" si="69"/>
        <v>0</v>
      </c>
      <c r="AF80" s="635"/>
      <c r="AG80" s="636">
        <f t="shared" si="3"/>
        <v>0</v>
      </c>
    </row>
    <row r="81" spans="1:33" s="637" customFormat="1" x14ac:dyDescent="0.3">
      <c r="A81" s="641" t="s">
        <v>169</v>
      </c>
      <c r="B81" s="642">
        <f t="shared" ref="B81:B84" si="70">J81+L81+N81+P81+R81+T81+V81+X81+Z81+AB81+AD81+H81</f>
        <v>0</v>
      </c>
      <c r="C81" s="642">
        <f t="shared" ref="C81:C84" si="71">SUM(H81)</f>
        <v>0</v>
      </c>
      <c r="D81" s="642">
        <f t="shared" ref="D81:D84" si="72">E81</f>
        <v>0</v>
      </c>
      <c r="E81" s="642">
        <f t="shared" ref="E81:E84" si="73">SUM(I81,K81,M81,O81,Q81,S81,U81,W81,Y81,AA81,AC81,AE81)</f>
        <v>0</v>
      </c>
      <c r="F81" s="642"/>
      <c r="G81" s="642"/>
      <c r="H81" s="642"/>
      <c r="I81" s="642"/>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35"/>
      <c r="AG81" s="636">
        <f t="shared" si="3"/>
        <v>0</v>
      </c>
    </row>
    <row r="82" spans="1:33" s="637" customFormat="1" x14ac:dyDescent="0.3">
      <c r="A82" s="641" t="s">
        <v>32</v>
      </c>
      <c r="B82" s="642">
        <f t="shared" si="70"/>
        <v>0</v>
      </c>
      <c r="C82" s="642">
        <f t="shared" si="71"/>
        <v>0</v>
      </c>
      <c r="D82" s="642">
        <f t="shared" si="72"/>
        <v>0</v>
      </c>
      <c r="E82" s="642">
        <f t="shared" si="73"/>
        <v>0</v>
      </c>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35"/>
      <c r="AG82" s="636">
        <f t="shared" si="3"/>
        <v>0</v>
      </c>
    </row>
    <row r="83" spans="1:33" s="637" customFormat="1" x14ac:dyDescent="0.3">
      <c r="A83" s="641" t="s">
        <v>33</v>
      </c>
      <c r="B83" s="642">
        <f t="shared" si="70"/>
        <v>0</v>
      </c>
      <c r="C83" s="642">
        <f t="shared" si="71"/>
        <v>0</v>
      </c>
      <c r="D83" s="642">
        <f t="shared" si="72"/>
        <v>0</v>
      </c>
      <c r="E83" s="642">
        <f t="shared" si="73"/>
        <v>0</v>
      </c>
      <c r="F83" s="642">
        <f>IFERROR(E83/B83*100,0)</f>
        <v>0</v>
      </c>
      <c r="G83" s="642">
        <f>IFERROR(E83/C83*100,0)</f>
        <v>0</v>
      </c>
      <c r="H83" s="642"/>
      <c r="I83" s="642"/>
      <c r="J83" s="642"/>
      <c r="K83" s="642"/>
      <c r="L83" s="642"/>
      <c r="M83" s="642"/>
      <c r="N83" s="642"/>
      <c r="O83" s="642"/>
      <c r="P83" s="642"/>
      <c r="Q83" s="642"/>
      <c r="R83" s="642"/>
      <c r="S83" s="642"/>
      <c r="T83" s="642"/>
      <c r="U83" s="642"/>
      <c r="V83" s="642"/>
      <c r="W83" s="642"/>
      <c r="X83" s="642"/>
      <c r="Y83" s="642"/>
      <c r="Z83" s="642"/>
      <c r="AA83" s="642"/>
      <c r="AB83" s="642"/>
      <c r="AC83" s="642"/>
      <c r="AD83" s="642"/>
      <c r="AE83" s="642"/>
      <c r="AF83" s="635"/>
      <c r="AG83" s="636">
        <f t="shared" si="3"/>
        <v>0</v>
      </c>
    </row>
    <row r="84" spans="1:33" s="637" customFormat="1" x14ac:dyDescent="0.3">
      <c r="A84" s="641" t="s">
        <v>170</v>
      </c>
      <c r="B84" s="642">
        <f t="shared" si="70"/>
        <v>0</v>
      </c>
      <c r="C84" s="642">
        <f t="shared" si="71"/>
        <v>0</v>
      </c>
      <c r="D84" s="642">
        <f t="shared" si="72"/>
        <v>0</v>
      </c>
      <c r="E84" s="642">
        <f t="shared" si="73"/>
        <v>0</v>
      </c>
      <c r="F84" s="642"/>
      <c r="G84" s="642"/>
      <c r="H84" s="642"/>
      <c r="I84" s="642"/>
      <c r="J84" s="642"/>
      <c r="K84" s="642"/>
      <c r="L84" s="642"/>
      <c r="M84" s="642"/>
      <c r="N84" s="642"/>
      <c r="O84" s="642"/>
      <c r="P84" s="642"/>
      <c r="Q84" s="642"/>
      <c r="R84" s="642"/>
      <c r="S84" s="642"/>
      <c r="T84" s="642"/>
      <c r="U84" s="642"/>
      <c r="V84" s="642"/>
      <c r="W84" s="642"/>
      <c r="X84" s="642"/>
      <c r="Y84" s="642"/>
      <c r="Z84" s="642"/>
      <c r="AA84" s="642"/>
      <c r="AB84" s="642"/>
      <c r="AC84" s="642"/>
      <c r="AD84" s="642"/>
      <c r="AE84" s="642"/>
      <c r="AF84" s="635"/>
      <c r="AG84" s="636">
        <f t="shared" si="3"/>
        <v>0</v>
      </c>
    </row>
    <row r="85" spans="1:33" ht="93.75" x14ac:dyDescent="0.3">
      <c r="A85" s="643" t="s">
        <v>344</v>
      </c>
      <c r="B85" s="643"/>
      <c r="C85" s="643"/>
      <c r="D85" s="643"/>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102">
        <f t="shared" si="3"/>
        <v>0</v>
      </c>
    </row>
    <row r="86" spans="1:33" s="637" customFormat="1" x14ac:dyDescent="0.3">
      <c r="A86" s="929" t="s">
        <v>54</v>
      </c>
      <c r="B86" s="930"/>
      <c r="C86" s="930"/>
      <c r="D86" s="930"/>
      <c r="E86" s="930"/>
      <c r="F86" s="930"/>
      <c r="G86" s="930"/>
      <c r="H86" s="930"/>
      <c r="I86" s="930"/>
      <c r="J86" s="930"/>
      <c r="K86" s="930"/>
      <c r="L86" s="930"/>
      <c r="M86" s="930"/>
      <c r="N86" s="930"/>
      <c r="O86" s="930"/>
      <c r="P86" s="930"/>
      <c r="Q86" s="930"/>
      <c r="R86" s="930"/>
      <c r="S86" s="930"/>
      <c r="T86" s="930"/>
      <c r="U86" s="930"/>
      <c r="V86" s="930"/>
      <c r="W86" s="930"/>
      <c r="X86" s="930"/>
      <c r="Y86" s="930"/>
      <c r="Z86" s="930"/>
      <c r="AA86" s="930"/>
      <c r="AB86" s="930"/>
      <c r="AC86" s="930"/>
      <c r="AD86" s="930"/>
      <c r="AE86" s="930"/>
      <c r="AF86" s="931"/>
      <c r="AG86" s="636">
        <f t="shared" si="3"/>
        <v>0</v>
      </c>
    </row>
    <row r="87" spans="1:33" s="637" customFormat="1" ht="56.25" x14ac:dyDescent="0.3">
      <c r="A87" s="651" t="s">
        <v>345</v>
      </c>
      <c r="B87" s="652"/>
      <c r="C87" s="653"/>
      <c r="D87" s="653"/>
      <c r="E87" s="653"/>
      <c r="F87" s="653"/>
      <c r="G87" s="653"/>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35"/>
      <c r="AG87" s="636">
        <f t="shared" ref="AG87:AG126" si="74">B87-H87-J87-L87-N87-P87-R87-T87-V87-X87-Z87-AB87-AD87</f>
        <v>0</v>
      </c>
    </row>
    <row r="88" spans="1:33" s="637" customFormat="1" x14ac:dyDescent="0.3">
      <c r="A88" s="638" t="s">
        <v>31</v>
      </c>
      <c r="B88" s="639">
        <f>B89+B90+B91+B92</f>
        <v>10192.700000000001</v>
      </c>
      <c r="C88" s="639">
        <f>C89+C90+C91+C92</f>
        <v>2206.904</v>
      </c>
      <c r="D88" s="639">
        <f>D89+D90+D91+D92</f>
        <v>1381.0150000000001</v>
      </c>
      <c r="E88" s="639">
        <f>E89+E90+E91+E92</f>
        <v>1381.0150000000001</v>
      </c>
      <c r="F88" s="642">
        <f>IFERROR(E88/B88*100,0)</f>
        <v>13.549059621101375</v>
      </c>
      <c r="G88" s="642">
        <f>IFERROR(E88/C88*100,0)</f>
        <v>62.577030990020411</v>
      </c>
      <c r="H88" s="639">
        <f>H89+H90+H91+H92</f>
        <v>1346.835</v>
      </c>
      <c r="I88" s="639">
        <f t="shared" ref="I88:AE88" si="75">I89+I90+I91+I92</f>
        <v>505.76100000000002</v>
      </c>
      <c r="J88" s="639">
        <f t="shared" si="75"/>
        <v>860.06899999999996</v>
      </c>
      <c r="K88" s="639">
        <f t="shared" si="75"/>
        <v>875.25400000000002</v>
      </c>
      <c r="L88" s="639">
        <f t="shared" si="75"/>
        <v>683.37599999999998</v>
      </c>
      <c r="M88" s="639">
        <f t="shared" si="75"/>
        <v>0</v>
      </c>
      <c r="N88" s="639">
        <f t="shared" si="75"/>
        <v>1006.02</v>
      </c>
      <c r="O88" s="639">
        <f t="shared" si="75"/>
        <v>0</v>
      </c>
      <c r="P88" s="639">
        <f t="shared" si="75"/>
        <v>780.81399999999996</v>
      </c>
      <c r="Q88" s="639">
        <f t="shared" si="75"/>
        <v>0</v>
      </c>
      <c r="R88" s="639">
        <f t="shared" si="75"/>
        <v>683.37599999999998</v>
      </c>
      <c r="S88" s="639">
        <f t="shared" si="75"/>
        <v>0</v>
      </c>
      <c r="T88" s="639">
        <f t="shared" si="75"/>
        <v>1006.02</v>
      </c>
      <c r="U88" s="639">
        <f t="shared" si="75"/>
        <v>0</v>
      </c>
      <c r="V88" s="639">
        <f t="shared" si="75"/>
        <v>780.81399999999996</v>
      </c>
      <c r="W88" s="639">
        <f t="shared" si="75"/>
        <v>0</v>
      </c>
      <c r="X88" s="639">
        <f t="shared" si="75"/>
        <v>683.37599999999998</v>
      </c>
      <c r="Y88" s="639">
        <f t="shared" si="75"/>
        <v>0</v>
      </c>
      <c r="Z88" s="639">
        <f t="shared" si="75"/>
        <v>1006.02</v>
      </c>
      <c r="AA88" s="639">
        <f t="shared" si="75"/>
        <v>0</v>
      </c>
      <c r="AB88" s="639">
        <f t="shared" si="75"/>
        <v>780.81399999999996</v>
      </c>
      <c r="AC88" s="639">
        <f t="shared" si="75"/>
        <v>0</v>
      </c>
      <c r="AD88" s="639">
        <f t="shared" si="75"/>
        <v>575.16600000000005</v>
      </c>
      <c r="AE88" s="639">
        <f t="shared" si="75"/>
        <v>0</v>
      </c>
      <c r="AF88" s="635"/>
      <c r="AG88" s="636">
        <f t="shared" si="74"/>
        <v>9.0949470177292824E-13</v>
      </c>
    </row>
    <row r="89" spans="1:33" s="637" customFormat="1" x14ac:dyDescent="0.3">
      <c r="A89" s="641" t="s">
        <v>169</v>
      </c>
      <c r="B89" s="642">
        <f t="shared" ref="B89:B92" si="76">J89+L89+N89+P89+R89+T89+V89+X89+Z89+AB89+AD89+H89</f>
        <v>0</v>
      </c>
      <c r="C89" s="642">
        <f>SUM(H89+J89)</f>
        <v>0</v>
      </c>
      <c r="D89" s="642">
        <f t="shared" ref="D89:D92" si="77">E89</f>
        <v>0</v>
      </c>
      <c r="E89" s="642">
        <f t="shared" ref="E89:E92" si="78">SUM(I89,K89,M89,O89,Q89,S89,U89,W89,Y89,AA89,AC89,AE89)</f>
        <v>0</v>
      </c>
      <c r="F89" s="642"/>
      <c r="G89" s="642"/>
      <c r="H89" s="642"/>
      <c r="I89" s="642"/>
      <c r="J89" s="642"/>
      <c r="K89" s="642"/>
      <c r="L89" s="642"/>
      <c r="M89" s="642"/>
      <c r="N89" s="642"/>
      <c r="O89" s="642"/>
      <c r="P89" s="642"/>
      <c r="Q89" s="642"/>
      <c r="R89" s="642"/>
      <c r="S89" s="642"/>
      <c r="T89" s="642"/>
      <c r="U89" s="642"/>
      <c r="V89" s="642"/>
      <c r="W89" s="642"/>
      <c r="X89" s="642"/>
      <c r="Y89" s="642"/>
      <c r="Z89" s="642"/>
      <c r="AA89" s="642"/>
      <c r="AB89" s="642"/>
      <c r="AC89" s="642"/>
      <c r="AD89" s="642"/>
      <c r="AE89" s="642"/>
      <c r="AF89" s="635"/>
      <c r="AG89" s="636">
        <f t="shared" si="74"/>
        <v>0</v>
      </c>
    </row>
    <row r="90" spans="1:33" s="637" customFormat="1" x14ac:dyDescent="0.3">
      <c r="A90" s="641" t="s">
        <v>32</v>
      </c>
      <c r="B90" s="642">
        <f t="shared" si="76"/>
        <v>0</v>
      </c>
      <c r="C90" s="642">
        <f t="shared" ref="C90:C93" si="79">SUM(H90+J90)</f>
        <v>0</v>
      </c>
      <c r="D90" s="642">
        <f t="shared" si="77"/>
        <v>0</v>
      </c>
      <c r="E90" s="642">
        <f t="shared" si="78"/>
        <v>0</v>
      </c>
      <c r="F90" s="642"/>
      <c r="G90" s="642"/>
      <c r="H90" s="642"/>
      <c r="I90" s="642"/>
      <c r="J90" s="642"/>
      <c r="K90" s="642"/>
      <c r="L90" s="642"/>
      <c r="M90" s="642"/>
      <c r="N90" s="642"/>
      <c r="O90" s="642"/>
      <c r="P90" s="642"/>
      <c r="Q90" s="642"/>
      <c r="R90" s="642"/>
      <c r="S90" s="642"/>
      <c r="T90" s="642"/>
      <c r="U90" s="642"/>
      <c r="V90" s="642"/>
      <c r="W90" s="642"/>
      <c r="X90" s="642"/>
      <c r="Y90" s="642"/>
      <c r="Z90" s="642"/>
      <c r="AA90" s="642"/>
      <c r="AB90" s="642"/>
      <c r="AC90" s="642"/>
      <c r="AD90" s="642"/>
      <c r="AE90" s="642"/>
      <c r="AF90" s="635"/>
      <c r="AG90" s="636">
        <f t="shared" si="74"/>
        <v>0</v>
      </c>
    </row>
    <row r="91" spans="1:33" s="637" customFormat="1" x14ac:dyDescent="0.3">
      <c r="A91" s="641" t="s">
        <v>33</v>
      </c>
      <c r="B91" s="642">
        <f t="shared" si="76"/>
        <v>10192.700000000001</v>
      </c>
      <c r="C91" s="642">
        <f t="shared" si="79"/>
        <v>2206.904</v>
      </c>
      <c r="D91" s="642">
        <f t="shared" si="77"/>
        <v>1381.0150000000001</v>
      </c>
      <c r="E91" s="642">
        <f t="shared" si="78"/>
        <v>1381.0150000000001</v>
      </c>
      <c r="F91" s="642">
        <f>IFERROR(E91/B91*100,0)</f>
        <v>13.549059621101375</v>
      </c>
      <c r="G91" s="642">
        <f>IFERROR(E91/C91*100,0)</f>
        <v>62.577030990020411</v>
      </c>
      <c r="H91" s="642">
        <v>1346.835</v>
      </c>
      <c r="I91" s="642">
        <v>505.76100000000002</v>
      </c>
      <c r="J91" s="642">
        <v>860.06899999999996</v>
      </c>
      <c r="K91" s="642">
        <v>875.25400000000002</v>
      </c>
      <c r="L91" s="642">
        <v>683.37599999999998</v>
      </c>
      <c r="M91" s="642"/>
      <c r="N91" s="642">
        <v>1006.02</v>
      </c>
      <c r="O91" s="642"/>
      <c r="P91" s="642">
        <v>780.81399999999996</v>
      </c>
      <c r="Q91" s="642"/>
      <c r="R91" s="642">
        <v>683.37599999999998</v>
      </c>
      <c r="S91" s="642"/>
      <c r="T91" s="642">
        <v>1006.02</v>
      </c>
      <c r="U91" s="642"/>
      <c r="V91" s="642">
        <v>780.81399999999996</v>
      </c>
      <c r="W91" s="642"/>
      <c r="X91" s="642">
        <v>683.37599999999998</v>
      </c>
      <c r="Y91" s="642"/>
      <c r="Z91" s="642">
        <v>1006.02</v>
      </c>
      <c r="AA91" s="642"/>
      <c r="AB91" s="642">
        <v>780.81399999999996</v>
      </c>
      <c r="AC91" s="642"/>
      <c r="AD91" s="642">
        <v>575.16600000000005</v>
      </c>
      <c r="AE91" s="642"/>
      <c r="AF91" s="635"/>
      <c r="AG91" s="636">
        <f t="shared" si="74"/>
        <v>9.0949470177292824E-13</v>
      </c>
    </row>
    <row r="92" spans="1:33" s="637" customFormat="1" x14ac:dyDescent="0.3">
      <c r="A92" s="641" t="s">
        <v>170</v>
      </c>
      <c r="B92" s="642">
        <f t="shared" si="76"/>
        <v>0</v>
      </c>
      <c r="C92" s="642">
        <f t="shared" si="79"/>
        <v>0</v>
      </c>
      <c r="D92" s="642">
        <f t="shared" si="77"/>
        <v>0</v>
      </c>
      <c r="E92" s="642">
        <f t="shared" si="78"/>
        <v>0</v>
      </c>
      <c r="F92" s="642"/>
      <c r="G92" s="642"/>
      <c r="H92" s="642"/>
      <c r="I92" s="642"/>
      <c r="J92" s="642"/>
      <c r="K92" s="642"/>
      <c r="L92" s="642"/>
      <c r="M92" s="642"/>
      <c r="N92" s="642"/>
      <c r="O92" s="642"/>
      <c r="P92" s="642"/>
      <c r="Q92" s="642"/>
      <c r="R92" s="642"/>
      <c r="S92" s="642"/>
      <c r="T92" s="642"/>
      <c r="U92" s="642"/>
      <c r="V92" s="642"/>
      <c r="W92" s="642"/>
      <c r="X92" s="642"/>
      <c r="Y92" s="642"/>
      <c r="Z92" s="642"/>
      <c r="AA92" s="642"/>
      <c r="AB92" s="642"/>
      <c r="AC92" s="642"/>
      <c r="AD92" s="642"/>
      <c r="AE92" s="642"/>
      <c r="AF92" s="635"/>
      <c r="AG92" s="636">
        <f t="shared" si="74"/>
        <v>0</v>
      </c>
    </row>
    <row r="93" spans="1:33" s="637" customFormat="1" ht="56.25" x14ac:dyDescent="0.3">
      <c r="A93" s="651" t="s">
        <v>346</v>
      </c>
      <c r="B93" s="652"/>
      <c r="C93" s="642">
        <f t="shared" si="79"/>
        <v>0</v>
      </c>
      <c r="D93" s="653"/>
      <c r="E93" s="653"/>
      <c r="F93" s="653"/>
      <c r="G93" s="653"/>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35"/>
      <c r="AG93" s="636">
        <f t="shared" si="74"/>
        <v>0</v>
      </c>
    </row>
    <row r="94" spans="1:33" s="637" customFormat="1" x14ac:dyDescent="0.3">
      <c r="A94" s="638" t="s">
        <v>31</v>
      </c>
      <c r="B94" s="639">
        <f>B95+B96+B97+B98</f>
        <v>18835</v>
      </c>
      <c r="C94" s="639">
        <f>C95+C96+C97+C98</f>
        <v>4026.6109999999999</v>
      </c>
      <c r="D94" s="639">
        <f>D95+D96+D97+D98</f>
        <v>2737.7349999999997</v>
      </c>
      <c r="E94" s="639">
        <f>E95+E96+E97+E98</f>
        <v>2737.7349999999997</v>
      </c>
      <c r="F94" s="642">
        <f>IFERROR(E94/B94*100,0)</f>
        <v>14.535359702681177</v>
      </c>
      <c r="G94" s="642">
        <f>IFERROR(E94/C94*100,0)</f>
        <v>67.991047558356144</v>
      </c>
      <c r="H94" s="639">
        <f>H95+H96+H97+H98</f>
        <v>2430.2660000000001</v>
      </c>
      <c r="I94" s="639">
        <f t="shared" ref="I94:AE94" si="80">I95+I96+I97+I98</f>
        <v>1047.0619999999999</v>
      </c>
      <c r="J94" s="639">
        <f t="shared" si="80"/>
        <v>1596.345</v>
      </c>
      <c r="K94" s="639">
        <f t="shared" si="80"/>
        <v>1690.673</v>
      </c>
      <c r="L94" s="639">
        <f t="shared" si="80"/>
        <v>1267.1220000000001</v>
      </c>
      <c r="M94" s="639">
        <f t="shared" si="80"/>
        <v>0</v>
      </c>
      <c r="N94" s="639">
        <f t="shared" si="80"/>
        <v>1870.66</v>
      </c>
      <c r="O94" s="639">
        <f t="shared" si="80"/>
        <v>0</v>
      </c>
      <c r="P94" s="639">
        <f t="shared" si="80"/>
        <v>1449.39</v>
      </c>
      <c r="Q94" s="639">
        <f t="shared" si="80"/>
        <v>0</v>
      </c>
      <c r="R94" s="639">
        <f t="shared" si="80"/>
        <v>1267.1220000000001</v>
      </c>
      <c r="S94" s="639">
        <f t="shared" si="80"/>
        <v>0</v>
      </c>
      <c r="T94" s="639">
        <f t="shared" si="80"/>
        <v>1870.66</v>
      </c>
      <c r="U94" s="639">
        <f t="shared" si="80"/>
        <v>0</v>
      </c>
      <c r="V94" s="639">
        <f t="shared" si="80"/>
        <v>1449.39</v>
      </c>
      <c r="W94" s="639">
        <f t="shared" si="80"/>
        <v>0</v>
      </c>
      <c r="X94" s="639">
        <f t="shared" si="80"/>
        <v>1267.1220000000001</v>
      </c>
      <c r="Y94" s="639">
        <f t="shared" si="80"/>
        <v>0</v>
      </c>
      <c r="Z94" s="639">
        <f t="shared" si="80"/>
        <v>1870.66</v>
      </c>
      <c r="AA94" s="639">
        <f t="shared" si="80"/>
        <v>0</v>
      </c>
      <c r="AB94" s="639">
        <f t="shared" si="80"/>
        <v>1449.39</v>
      </c>
      <c r="AC94" s="639">
        <f t="shared" si="80"/>
        <v>0</v>
      </c>
      <c r="AD94" s="639">
        <f t="shared" si="80"/>
        <v>1046.873</v>
      </c>
      <c r="AE94" s="639">
        <f t="shared" si="80"/>
        <v>0</v>
      </c>
      <c r="AF94" s="635"/>
      <c r="AG94" s="636">
        <f t="shared" si="74"/>
        <v>2.5011104298755527E-12</v>
      </c>
    </row>
    <row r="95" spans="1:33" s="637" customFormat="1" x14ac:dyDescent="0.3">
      <c r="A95" s="641" t="s">
        <v>169</v>
      </c>
      <c r="B95" s="642">
        <f t="shared" ref="B95:B98" si="81">J95+L95+N95+P95+R95+T95+V95+X95+Z95+AB95+AD95+H95</f>
        <v>0</v>
      </c>
      <c r="C95" s="642">
        <f>SUM(H95+J95)</f>
        <v>0</v>
      </c>
      <c r="D95" s="642">
        <f t="shared" ref="D95:D98" si="82">E95</f>
        <v>0</v>
      </c>
      <c r="E95" s="642">
        <f t="shared" ref="E95:E98" si="83">SUM(I95,K95,M95,O95,Q95,S95,U95,W95,Y95,AA95,AC95,AE95)</f>
        <v>0</v>
      </c>
      <c r="F95" s="642"/>
      <c r="G95" s="642"/>
      <c r="H95" s="642"/>
      <c r="I95" s="642"/>
      <c r="J95" s="642"/>
      <c r="K95" s="642"/>
      <c r="L95" s="642"/>
      <c r="M95" s="642"/>
      <c r="N95" s="642"/>
      <c r="O95" s="642"/>
      <c r="P95" s="642"/>
      <c r="Q95" s="642"/>
      <c r="R95" s="642"/>
      <c r="S95" s="642"/>
      <c r="T95" s="642"/>
      <c r="U95" s="642"/>
      <c r="V95" s="642"/>
      <c r="W95" s="642"/>
      <c r="X95" s="642"/>
      <c r="Y95" s="642"/>
      <c r="Z95" s="642"/>
      <c r="AA95" s="642"/>
      <c r="AB95" s="642"/>
      <c r="AC95" s="642"/>
      <c r="AD95" s="642"/>
      <c r="AE95" s="642"/>
      <c r="AF95" s="635"/>
      <c r="AG95" s="636">
        <f t="shared" si="74"/>
        <v>0</v>
      </c>
    </row>
    <row r="96" spans="1:33" s="637" customFormat="1" x14ac:dyDescent="0.3">
      <c r="A96" s="641" t="s">
        <v>32</v>
      </c>
      <c r="B96" s="642">
        <f t="shared" si="81"/>
        <v>0</v>
      </c>
      <c r="C96" s="642">
        <f t="shared" ref="C96:C99" si="84">SUM(H96+J96)</f>
        <v>0</v>
      </c>
      <c r="D96" s="642">
        <f t="shared" si="82"/>
        <v>0</v>
      </c>
      <c r="E96" s="642">
        <f t="shared" si="83"/>
        <v>0</v>
      </c>
      <c r="F96" s="642"/>
      <c r="G96" s="642"/>
      <c r="H96" s="642"/>
      <c r="I96" s="642"/>
      <c r="J96" s="642"/>
      <c r="K96" s="642"/>
      <c r="L96" s="642"/>
      <c r="M96" s="642"/>
      <c r="N96" s="642"/>
      <c r="O96" s="642"/>
      <c r="P96" s="642"/>
      <c r="Q96" s="642"/>
      <c r="R96" s="642"/>
      <c r="S96" s="642"/>
      <c r="T96" s="642"/>
      <c r="U96" s="642"/>
      <c r="V96" s="642"/>
      <c r="W96" s="642"/>
      <c r="X96" s="642"/>
      <c r="Y96" s="642"/>
      <c r="Z96" s="642"/>
      <c r="AA96" s="642"/>
      <c r="AB96" s="642"/>
      <c r="AC96" s="642"/>
      <c r="AD96" s="642"/>
      <c r="AE96" s="642"/>
      <c r="AF96" s="635"/>
      <c r="AG96" s="636">
        <f t="shared" si="74"/>
        <v>0</v>
      </c>
    </row>
    <row r="97" spans="1:33" s="637" customFormat="1" x14ac:dyDescent="0.3">
      <c r="A97" s="641" t="s">
        <v>33</v>
      </c>
      <c r="B97" s="642">
        <f t="shared" si="81"/>
        <v>18835</v>
      </c>
      <c r="C97" s="642">
        <f t="shared" si="84"/>
        <v>4026.6109999999999</v>
      </c>
      <c r="D97" s="642">
        <f t="shared" si="82"/>
        <v>2737.7349999999997</v>
      </c>
      <c r="E97" s="642">
        <f t="shared" si="83"/>
        <v>2737.7349999999997</v>
      </c>
      <c r="F97" s="642">
        <f>IFERROR(E97/B97*100,0)</f>
        <v>14.535359702681177</v>
      </c>
      <c r="G97" s="642">
        <f>IFERROR(E97/C97*100,0)</f>
        <v>67.991047558356144</v>
      </c>
      <c r="H97" s="642">
        <v>2430.2660000000001</v>
      </c>
      <c r="I97" s="642">
        <v>1047.0619999999999</v>
      </c>
      <c r="J97" s="642">
        <v>1596.345</v>
      </c>
      <c r="K97" s="642">
        <v>1690.673</v>
      </c>
      <c r="L97" s="642">
        <v>1267.1220000000001</v>
      </c>
      <c r="M97" s="642"/>
      <c r="N97" s="642">
        <v>1870.66</v>
      </c>
      <c r="O97" s="642"/>
      <c r="P97" s="642">
        <v>1449.39</v>
      </c>
      <c r="Q97" s="642"/>
      <c r="R97" s="642">
        <v>1267.1220000000001</v>
      </c>
      <c r="S97" s="642"/>
      <c r="T97" s="642">
        <v>1870.66</v>
      </c>
      <c r="U97" s="642"/>
      <c r="V97" s="642">
        <v>1449.39</v>
      </c>
      <c r="W97" s="642"/>
      <c r="X97" s="642">
        <v>1267.1220000000001</v>
      </c>
      <c r="Y97" s="642"/>
      <c r="Z97" s="642">
        <v>1870.66</v>
      </c>
      <c r="AA97" s="642"/>
      <c r="AB97" s="642">
        <v>1449.39</v>
      </c>
      <c r="AC97" s="642"/>
      <c r="AD97" s="642">
        <v>1046.873</v>
      </c>
      <c r="AE97" s="642"/>
      <c r="AF97" s="635"/>
      <c r="AG97" s="636">
        <f t="shared" si="74"/>
        <v>2.5011104298755527E-12</v>
      </c>
    </row>
    <row r="98" spans="1:33" s="637" customFormat="1" x14ac:dyDescent="0.3">
      <c r="A98" s="641" t="s">
        <v>170</v>
      </c>
      <c r="B98" s="642">
        <f t="shared" si="81"/>
        <v>0</v>
      </c>
      <c r="C98" s="642">
        <f t="shared" si="84"/>
        <v>0</v>
      </c>
      <c r="D98" s="642">
        <f t="shared" si="82"/>
        <v>0</v>
      </c>
      <c r="E98" s="642">
        <f t="shared" si="83"/>
        <v>0</v>
      </c>
      <c r="F98" s="642"/>
      <c r="G98" s="642"/>
      <c r="H98" s="642"/>
      <c r="I98" s="642"/>
      <c r="J98" s="642"/>
      <c r="K98" s="642"/>
      <c r="L98" s="642"/>
      <c r="M98" s="642"/>
      <c r="N98" s="642"/>
      <c r="O98" s="642"/>
      <c r="P98" s="642"/>
      <c r="Q98" s="642"/>
      <c r="R98" s="642"/>
      <c r="S98" s="642"/>
      <c r="T98" s="642"/>
      <c r="U98" s="642"/>
      <c r="V98" s="642"/>
      <c r="W98" s="642"/>
      <c r="X98" s="642"/>
      <c r="Y98" s="642"/>
      <c r="Z98" s="642"/>
      <c r="AA98" s="642"/>
      <c r="AB98" s="642"/>
      <c r="AC98" s="642"/>
      <c r="AD98" s="642"/>
      <c r="AE98" s="642"/>
      <c r="AF98" s="635"/>
      <c r="AG98" s="636">
        <f t="shared" si="74"/>
        <v>0</v>
      </c>
    </row>
    <row r="99" spans="1:33" s="637" customFormat="1" ht="75" x14ac:dyDescent="0.3">
      <c r="A99" s="651" t="s">
        <v>347</v>
      </c>
      <c r="B99" s="652"/>
      <c r="C99" s="642">
        <f t="shared" si="84"/>
        <v>0</v>
      </c>
      <c r="D99" s="653"/>
      <c r="E99" s="653"/>
      <c r="F99" s="653"/>
      <c r="G99" s="653"/>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35"/>
      <c r="AG99" s="636">
        <f t="shared" si="74"/>
        <v>0</v>
      </c>
    </row>
    <row r="100" spans="1:33" s="637" customFormat="1" x14ac:dyDescent="0.3">
      <c r="A100" s="638" t="s">
        <v>31</v>
      </c>
      <c r="B100" s="639">
        <f>B101+B102+B103+B104</f>
        <v>79058.895000000004</v>
      </c>
      <c r="C100" s="639">
        <f>C101+C102+C103+C104</f>
        <v>14010.490549999999</v>
      </c>
      <c r="D100" s="639">
        <f>D101+D102+D103+D104</f>
        <v>12443.741999999998</v>
      </c>
      <c r="E100" s="639">
        <f>E101+E102+E103+E104</f>
        <v>12443.741999999998</v>
      </c>
      <c r="F100" s="642">
        <f>IFERROR(E100/B100*100,0)</f>
        <v>15.739838003048231</v>
      </c>
      <c r="G100" s="642">
        <f>IFERROR(E100/C100*100,0)</f>
        <v>88.817318391467737</v>
      </c>
      <c r="H100" s="639">
        <f>H101+H102+H103+H104</f>
        <v>6588.7505499999997</v>
      </c>
      <c r="I100" s="639">
        <f t="shared" ref="I100:AE100" si="85">I101+I102+I103+I104</f>
        <v>5979.4539999999997</v>
      </c>
      <c r="J100" s="639">
        <f t="shared" si="85"/>
        <v>7421.74</v>
      </c>
      <c r="K100" s="639">
        <f t="shared" si="85"/>
        <v>6464.2879999999996</v>
      </c>
      <c r="L100" s="639">
        <f t="shared" si="85"/>
        <v>5262.7719999999999</v>
      </c>
      <c r="M100" s="639">
        <f t="shared" si="85"/>
        <v>0</v>
      </c>
      <c r="N100" s="639">
        <f t="shared" si="85"/>
        <v>6617.5259999999998</v>
      </c>
      <c r="O100" s="639">
        <f t="shared" si="85"/>
        <v>0</v>
      </c>
      <c r="P100" s="639">
        <f t="shared" si="85"/>
        <v>5380.1819999999998</v>
      </c>
      <c r="Q100" s="639">
        <f t="shared" si="85"/>
        <v>0</v>
      </c>
      <c r="R100" s="639">
        <f t="shared" si="85"/>
        <v>6127.692</v>
      </c>
      <c r="S100" s="639">
        <f t="shared" si="85"/>
        <v>0</v>
      </c>
      <c r="T100" s="639">
        <f t="shared" si="85"/>
        <v>7060.0469999999996</v>
      </c>
      <c r="U100" s="639">
        <f t="shared" si="85"/>
        <v>0</v>
      </c>
      <c r="V100" s="639">
        <f t="shared" si="85"/>
        <v>6428.1930000000002</v>
      </c>
      <c r="W100" s="639">
        <f t="shared" si="85"/>
        <v>0</v>
      </c>
      <c r="X100" s="639">
        <f t="shared" si="85"/>
        <v>5636.2929999999997</v>
      </c>
      <c r="Y100" s="639">
        <f t="shared" si="85"/>
        <v>0</v>
      </c>
      <c r="Z100" s="639">
        <f t="shared" si="85"/>
        <v>6153.33</v>
      </c>
      <c r="AA100" s="639">
        <f t="shared" si="85"/>
        <v>0</v>
      </c>
      <c r="AB100" s="639">
        <f t="shared" si="85"/>
        <v>5483.0929999999998</v>
      </c>
      <c r="AC100" s="639">
        <f t="shared" si="85"/>
        <v>0</v>
      </c>
      <c r="AD100" s="639">
        <f t="shared" si="85"/>
        <v>10899.276449999999</v>
      </c>
      <c r="AE100" s="639">
        <f t="shared" si="85"/>
        <v>0</v>
      </c>
      <c r="AF100" s="635"/>
      <c r="AG100" s="636">
        <f t="shared" si="74"/>
        <v>1.6370904631912708E-11</v>
      </c>
    </row>
    <row r="101" spans="1:33" s="637" customFormat="1" x14ac:dyDescent="0.3">
      <c r="A101" s="641" t="s">
        <v>169</v>
      </c>
      <c r="B101" s="642">
        <f t="shared" ref="B101:B104" si="86">J101+L101+N101+P101+R101+T101+V101+X101+Z101+AB101+AD101+H101</f>
        <v>0</v>
      </c>
      <c r="C101" s="642">
        <f>SUM(H101+J101)</f>
        <v>0</v>
      </c>
      <c r="D101" s="642">
        <f t="shared" ref="D101:D104" si="87">E101</f>
        <v>0</v>
      </c>
      <c r="E101" s="642">
        <f t="shared" ref="E101:E104" si="88">SUM(I101,K101,M101,O101,Q101,S101,U101,W101,Y101,AA101,AC101,AE101)</f>
        <v>0</v>
      </c>
      <c r="F101" s="642"/>
      <c r="G101" s="642"/>
      <c r="H101" s="642"/>
      <c r="I101" s="642"/>
      <c r="J101" s="642"/>
      <c r="K101" s="642"/>
      <c r="L101" s="642"/>
      <c r="M101" s="642"/>
      <c r="N101" s="642"/>
      <c r="O101" s="642"/>
      <c r="P101" s="642"/>
      <c r="Q101" s="642"/>
      <c r="R101" s="642"/>
      <c r="S101" s="642"/>
      <c r="T101" s="642"/>
      <c r="U101" s="642"/>
      <c r="V101" s="642"/>
      <c r="W101" s="642"/>
      <c r="X101" s="642"/>
      <c r="Y101" s="642"/>
      <c r="Z101" s="642"/>
      <c r="AA101" s="642"/>
      <c r="AB101" s="642"/>
      <c r="AC101" s="642"/>
      <c r="AD101" s="642"/>
      <c r="AE101" s="642"/>
      <c r="AF101" s="635"/>
      <c r="AG101" s="636">
        <f t="shared" si="74"/>
        <v>0</v>
      </c>
    </row>
    <row r="102" spans="1:33" s="637" customFormat="1" x14ac:dyDescent="0.3">
      <c r="A102" s="641" t="s">
        <v>32</v>
      </c>
      <c r="B102" s="642">
        <f t="shared" si="86"/>
        <v>0</v>
      </c>
      <c r="C102" s="642">
        <f t="shared" ref="C102:C104" si="89">SUM(H102+J102)</f>
        <v>0</v>
      </c>
      <c r="D102" s="642">
        <f t="shared" si="87"/>
        <v>0</v>
      </c>
      <c r="E102" s="642">
        <f t="shared" si="88"/>
        <v>0</v>
      </c>
      <c r="F102" s="642"/>
      <c r="G102" s="642"/>
      <c r="H102" s="642"/>
      <c r="I102" s="642"/>
      <c r="J102" s="642"/>
      <c r="K102" s="642"/>
      <c r="L102" s="642"/>
      <c r="M102" s="642"/>
      <c r="N102" s="642"/>
      <c r="O102" s="642"/>
      <c r="P102" s="642"/>
      <c r="Q102" s="642"/>
      <c r="R102" s="642"/>
      <c r="S102" s="642"/>
      <c r="T102" s="642"/>
      <c r="U102" s="642"/>
      <c r="V102" s="642"/>
      <c r="W102" s="642"/>
      <c r="X102" s="642"/>
      <c r="Y102" s="642"/>
      <c r="Z102" s="642"/>
      <c r="AA102" s="642"/>
      <c r="AB102" s="642"/>
      <c r="AC102" s="642"/>
      <c r="AD102" s="642"/>
      <c r="AE102" s="642"/>
      <c r="AF102" s="635"/>
      <c r="AG102" s="636">
        <f t="shared" si="74"/>
        <v>0</v>
      </c>
    </row>
    <row r="103" spans="1:33" s="637" customFormat="1" x14ac:dyDescent="0.3">
      <c r="A103" s="641" t="s">
        <v>33</v>
      </c>
      <c r="B103" s="642">
        <f t="shared" si="86"/>
        <v>79058.895000000004</v>
      </c>
      <c r="C103" s="642">
        <f>SUM(H103+J103)</f>
        <v>14010.490549999999</v>
      </c>
      <c r="D103" s="642">
        <f t="shared" si="87"/>
        <v>12443.741999999998</v>
      </c>
      <c r="E103" s="642">
        <f t="shared" si="88"/>
        <v>12443.741999999998</v>
      </c>
      <c r="F103" s="642">
        <f>IFERROR(E103/B103*100,0)</f>
        <v>15.739838003048231</v>
      </c>
      <c r="G103" s="642">
        <f>IFERROR(E103/C103*100,0)</f>
        <v>88.817318391467737</v>
      </c>
      <c r="H103" s="642">
        <v>6588.7505499999997</v>
      </c>
      <c r="I103" s="642">
        <v>5979.4539999999997</v>
      </c>
      <c r="J103" s="642">
        <v>7421.74</v>
      </c>
      <c r="K103" s="642">
        <v>6464.2879999999996</v>
      </c>
      <c r="L103" s="642">
        <v>5262.7719999999999</v>
      </c>
      <c r="M103" s="642"/>
      <c r="N103" s="642">
        <v>6617.5259999999998</v>
      </c>
      <c r="O103" s="642"/>
      <c r="P103" s="642">
        <v>5380.1819999999998</v>
      </c>
      <c r="Q103" s="642"/>
      <c r="R103" s="642">
        <v>6127.692</v>
      </c>
      <c r="S103" s="642"/>
      <c r="T103" s="642">
        <v>7060.0469999999996</v>
      </c>
      <c r="U103" s="642"/>
      <c r="V103" s="642">
        <v>6428.1930000000002</v>
      </c>
      <c r="W103" s="642"/>
      <c r="X103" s="642">
        <v>5636.2929999999997</v>
      </c>
      <c r="Y103" s="642"/>
      <c r="Z103" s="642">
        <v>6153.33</v>
      </c>
      <c r="AA103" s="642"/>
      <c r="AB103" s="642">
        <v>5483.0929999999998</v>
      </c>
      <c r="AC103" s="642"/>
      <c r="AD103" s="642">
        <v>10899.276449999999</v>
      </c>
      <c r="AE103" s="642"/>
      <c r="AF103" s="635"/>
      <c r="AG103" s="636">
        <f t="shared" si="74"/>
        <v>1.6370904631912708E-11</v>
      </c>
    </row>
    <row r="104" spans="1:33" s="637" customFormat="1" x14ac:dyDescent="0.3">
      <c r="A104" s="641" t="s">
        <v>170</v>
      </c>
      <c r="B104" s="642">
        <f t="shared" si="86"/>
        <v>0</v>
      </c>
      <c r="C104" s="642">
        <f t="shared" si="89"/>
        <v>0</v>
      </c>
      <c r="D104" s="642">
        <f t="shared" si="87"/>
        <v>0</v>
      </c>
      <c r="E104" s="642">
        <f t="shared" si="88"/>
        <v>0</v>
      </c>
      <c r="F104" s="642"/>
      <c r="G104" s="642"/>
      <c r="H104" s="642"/>
      <c r="I104" s="642"/>
      <c r="J104" s="642"/>
      <c r="K104" s="642"/>
      <c r="L104" s="642"/>
      <c r="M104" s="642"/>
      <c r="N104" s="642"/>
      <c r="O104" s="642"/>
      <c r="P104" s="642"/>
      <c r="Q104" s="642"/>
      <c r="R104" s="642"/>
      <c r="S104" s="642"/>
      <c r="T104" s="642"/>
      <c r="U104" s="642"/>
      <c r="V104" s="642"/>
      <c r="W104" s="642"/>
      <c r="X104" s="642"/>
      <c r="Y104" s="642"/>
      <c r="Z104" s="642"/>
      <c r="AA104" s="642"/>
      <c r="AB104" s="642"/>
      <c r="AC104" s="642"/>
      <c r="AD104" s="642"/>
      <c r="AE104" s="642"/>
      <c r="AF104" s="635"/>
      <c r="AG104" s="636">
        <f t="shared" si="74"/>
        <v>0</v>
      </c>
    </row>
    <row r="105" spans="1:33" x14ac:dyDescent="0.3">
      <c r="A105" s="655" t="s">
        <v>217</v>
      </c>
      <c r="B105" s="656">
        <f>B106+B107+B108+B110</f>
        <v>182539.19899999999</v>
      </c>
      <c r="C105" s="656">
        <f>C106+C107+C108</f>
        <v>32325.505549999998</v>
      </c>
      <c r="D105" s="656">
        <f>D106+D107+D108</f>
        <v>28043.491999999998</v>
      </c>
      <c r="E105" s="656">
        <f>E106+E107+E108</f>
        <v>28043.491999999998</v>
      </c>
      <c r="F105" s="656">
        <f t="shared" ref="F105:F121" si="90">IFERROR(E105/B105*100,0)</f>
        <v>15.362997182868101</v>
      </c>
      <c r="G105" s="656">
        <f t="shared" ref="G105:G121" si="91">IFERROR(E105/C105*100,0)</f>
        <v>86.753452182281492</v>
      </c>
      <c r="H105" s="656">
        <f t="shared" ref="H105:AE105" si="92">H106+H107+H108+H110</f>
        <v>15042.351549999999</v>
      </c>
      <c r="I105" s="656">
        <f t="shared" si="92"/>
        <v>7953.1170000000002</v>
      </c>
      <c r="J105" s="656">
        <f t="shared" si="92"/>
        <v>17283.153999999999</v>
      </c>
      <c r="K105" s="656">
        <f t="shared" si="92"/>
        <v>20090.375</v>
      </c>
      <c r="L105" s="656">
        <f t="shared" si="92"/>
        <v>12370.314</v>
      </c>
      <c r="M105" s="656">
        <f t="shared" si="92"/>
        <v>0</v>
      </c>
      <c r="N105" s="656">
        <f t="shared" si="92"/>
        <v>9503.4060000000009</v>
      </c>
      <c r="O105" s="656">
        <f t="shared" si="92"/>
        <v>0</v>
      </c>
      <c r="P105" s="656">
        <f t="shared" si="92"/>
        <v>7610.3860000000004</v>
      </c>
      <c r="Q105" s="656">
        <f t="shared" si="92"/>
        <v>0</v>
      </c>
      <c r="R105" s="656">
        <f t="shared" si="92"/>
        <v>15208.742000000002</v>
      </c>
      <c r="S105" s="656">
        <f t="shared" si="92"/>
        <v>0</v>
      </c>
      <c r="T105" s="656">
        <f t="shared" si="92"/>
        <v>9936.726999999999</v>
      </c>
      <c r="U105" s="656">
        <f t="shared" si="92"/>
        <v>0</v>
      </c>
      <c r="V105" s="656">
        <f t="shared" si="92"/>
        <v>8658.3970000000008</v>
      </c>
      <c r="W105" s="656">
        <f t="shared" si="92"/>
        <v>0</v>
      </c>
      <c r="X105" s="656">
        <f t="shared" si="92"/>
        <v>7586.7909999999993</v>
      </c>
      <c r="Y105" s="656">
        <f t="shared" si="92"/>
        <v>0</v>
      </c>
      <c r="Z105" s="656">
        <f t="shared" si="92"/>
        <v>9030.01</v>
      </c>
      <c r="AA105" s="656">
        <f t="shared" si="92"/>
        <v>0</v>
      </c>
      <c r="AB105" s="656">
        <f t="shared" si="92"/>
        <v>13924.507000000001</v>
      </c>
      <c r="AC105" s="656">
        <f t="shared" si="92"/>
        <v>0</v>
      </c>
      <c r="AD105" s="656">
        <f t="shared" si="92"/>
        <v>56384.413450000007</v>
      </c>
      <c r="AE105" s="656">
        <f t="shared" si="92"/>
        <v>0</v>
      </c>
      <c r="AF105" s="656"/>
      <c r="AG105" s="102">
        <f t="shared" si="74"/>
        <v>0</v>
      </c>
    </row>
    <row r="106" spans="1:33" s="637" customFormat="1" x14ac:dyDescent="0.3">
      <c r="A106" s="641" t="s">
        <v>169</v>
      </c>
      <c r="B106" s="642">
        <f>B13+B19+B26+B33+B40+B47+B62+B69+B75+B81+B89+B95+B101+B53</f>
        <v>4435.5990000000002</v>
      </c>
      <c r="C106" s="642">
        <f t="shared" ref="C106:AE106" si="93">C13+C19+C26+C33+C40+C47+C62+C69+C75+C81+C89+C95+C101+C53</f>
        <v>0</v>
      </c>
      <c r="D106" s="642">
        <f t="shared" si="93"/>
        <v>0</v>
      </c>
      <c r="E106" s="642">
        <f t="shared" si="93"/>
        <v>0</v>
      </c>
      <c r="F106" s="642">
        <f t="shared" si="90"/>
        <v>0</v>
      </c>
      <c r="G106" s="642">
        <f t="shared" si="91"/>
        <v>0</v>
      </c>
      <c r="H106" s="642">
        <f t="shared" si="93"/>
        <v>0</v>
      </c>
      <c r="I106" s="642">
        <f t="shared" si="93"/>
        <v>0</v>
      </c>
      <c r="J106" s="642">
        <f t="shared" si="93"/>
        <v>0</v>
      </c>
      <c r="K106" s="642">
        <f t="shared" si="93"/>
        <v>0</v>
      </c>
      <c r="L106" s="642">
        <f t="shared" si="93"/>
        <v>158.38200000000001</v>
      </c>
      <c r="M106" s="642">
        <f t="shared" si="93"/>
        <v>0</v>
      </c>
      <c r="N106" s="642">
        <f t="shared" si="93"/>
        <v>0</v>
      </c>
      <c r="O106" s="642">
        <f t="shared" si="93"/>
        <v>0</v>
      </c>
      <c r="P106" s="642">
        <f t="shared" si="93"/>
        <v>0</v>
      </c>
      <c r="Q106" s="642">
        <f t="shared" si="93"/>
        <v>0</v>
      </c>
      <c r="R106" s="642">
        <f t="shared" si="93"/>
        <v>0</v>
      </c>
      <c r="S106" s="642">
        <f t="shared" si="93"/>
        <v>0</v>
      </c>
      <c r="T106" s="642">
        <f t="shared" si="93"/>
        <v>0</v>
      </c>
      <c r="U106" s="642">
        <f t="shared" si="93"/>
        <v>0</v>
      </c>
      <c r="V106" s="642">
        <f t="shared" si="93"/>
        <v>0</v>
      </c>
      <c r="W106" s="642">
        <f t="shared" si="93"/>
        <v>0</v>
      </c>
      <c r="X106" s="642">
        <f t="shared" si="93"/>
        <v>0</v>
      </c>
      <c r="Y106" s="642">
        <f t="shared" si="93"/>
        <v>0</v>
      </c>
      <c r="Z106" s="642">
        <f t="shared" si="93"/>
        <v>0</v>
      </c>
      <c r="AA106" s="642">
        <f t="shared" si="93"/>
        <v>0</v>
      </c>
      <c r="AB106" s="642">
        <f t="shared" si="93"/>
        <v>0</v>
      </c>
      <c r="AC106" s="642">
        <f t="shared" si="93"/>
        <v>0</v>
      </c>
      <c r="AD106" s="642">
        <f t="shared" si="93"/>
        <v>4277.2170000000006</v>
      </c>
      <c r="AE106" s="642">
        <f t="shared" si="93"/>
        <v>0</v>
      </c>
      <c r="AF106" s="642"/>
      <c r="AG106" s="636">
        <f t="shared" si="74"/>
        <v>0</v>
      </c>
    </row>
    <row r="107" spans="1:33" s="637" customFormat="1" x14ac:dyDescent="0.3">
      <c r="A107" s="641" t="s">
        <v>32</v>
      </c>
      <c r="B107" s="642">
        <f>B14+B20+B27+B34+B41+B48+B63+B70+B76+B82+B90+B96+B102+B54</f>
        <v>62337.996999999988</v>
      </c>
      <c r="C107" s="642">
        <f>C14+C20+C27+C34+C41+C48+C63+C70+C76+C82+C90+C96+C102+C54</f>
        <v>10994.05</v>
      </c>
      <c r="D107" s="642">
        <f t="shared" ref="D107:AE107" si="94">D14+D20+D27+D34+D41+D48+D63+D70+D76+D82+D90+D96+D102+D54</f>
        <v>10447.709999999999</v>
      </c>
      <c r="E107" s="642">
        <f t="shared" si="94"/>
        <v>10447.709999999999</v>
      </c>
      <c r="F107" s="642">
        <f t="shared" si="90"/>
        <v>16.759778149432684</v>
      </c>
      <c r="G107" s="642">
        <f t="shared" si="91"/>
        <v>95.030584725374183</v>
      </c>
      <c r="H107" s="642">
        <f t="shared" si="94"/>
        <v>4255.5</v>
      </c>
      <c r="I107" s="642">
        <f t="shared" si="94"/>
        <v>0</v>
      </c>
      <c r="J107" s="642">
        <f t="shared" si="94"/>
        <v>6738.55</v>
      </c>
      <c r="K107" s="642">
        <f t="shared" si="94"/>
        <v>10447.709999999999</v>
      </c>
      <c r="L107" s="642">
        <f t="shared" si="94"/>
        <v>3923.4549999999999</v>
      </c>
      <c r="M107" s="642">
        <f t="shared" si="94"/>
        <v>0</v>
      </c>
      <c r="N107" s="642">
        <f t="shared" si="94"/>
        <v>9.1999999999999993</v>
      </c>
      <c r="O107" s="642">
        <f t="shared" si="94"/>
        <v>0</v>
      </c>
      <c r="P107" s="642">
        <f t="shared" si="94"/>
        <v>0</v>
      </c>
      <c r="Q107" s="642">
        <f t="shared" si="94"/>
        <v>0</v>
      </c>
      <c r="R107" s="642">
        <f t="shared" si="94"/>
        <v>6488.7730000000001</v>
      </c>
      <c r="S107" s="642">
        <f t="shared" si="94"/>
        <v>0</v>
      </c>
      <c r="T107" s="642">
        <f t="shared" si="94"/>
        <v>0</v>
      </c>
      <c r="U107" s="642">
        <f t="shared" si="94"/>
        <v>0</v>
      </c>
      <c r="V107" s="642">
        <f t="shared" si="94"/>
        <v>0</v>
      </c>
      <c r="W107" s="642">
        <f t="shared" si="94"/>
        <v>0</v>
      </c>
      <c r="X107" s="642">
        <f t="shared" si="94"/>
        <v>0</v>
      </c>
      <c r="Y107" s="642">
        <f t="shared" si="94"/>
        <v>0</v>
      </c>
      <c r="Z107" s="642">
        <f t="shared" si="94"/>
        <v>0</v>
      </c>
      <c r="AA107" s="642">
        <f t="shared" si="94"/>
        <v>0</v>
      </c>
      <c r="AB107" s="642">
        <f t="shared" si="94"/>
        <v>5652.2</v>
      </c>
      <c r="AC107" s="642">
        <f t="shared" si="94"/>
        <v>0</v>
      </c>
      <c r="AD107" s="642">
        <f t="shared" si="94"/>
        <v>35270.319000000003</v>
      </c>
      <c r="AE107" s="642">
        <f t="shared" si="94"/>
        <v>0</v>
      </c>
      <c r="AF107" s="642"/>
      <c r="AG107" s="636">
        <f t="shared" si="74"/>
        <v>0</v>
      </c>
    </row>
    <row r="108" spans="1:33" s="637" customFormat="1" x14ac:dyDescent="0.3">
      <c r="A108" s="641" t="s">
        <v>33</v>
      </c>
      <c r="B108" s="642">
        <f>B15+B21+B28+B35+B42+B49+B64+B71+B77+B83+B91+B97+B103+B55</f>
        <v>114050.603</v>
      </c>
      <c r="C108" s="642">
        <f t="shared" ref="C108:AE108" si="95">C15+C21+C28+C35+C42+C49+C64+C71+C77+C83+C91+C97+C103+C55</f>
        <v>21331.455549999999</v>
      </c>
      <c r="D108" s="642">
        <f t="shared" si="95"/>
        <v>17595.781999999999</v>
      </c>
      <c r="E108" s="642">
        <f t="shared" si="95"/>
        <v>17595.781999999999</v>
      </c>
      <c r="F108" s="642">
        <f t="shared" si="90"/>
        <v>15.428048197167357</v>
      </c>
      <c r="G108" s="642">
        <f t="shared" si="91"/>
        <v>82.487488763981702</v>
      </c>
      <c r="H108" s="642">
        <f t="shared" si="95"/>
        <v>10786.851549999999</v>
      </c>
      <c r="I108" s="642">
        <f t="shared" si="95"/>
        <v>7953.1170000000002</v>
      </c>
      <c r="J108" s="642">
        <f t="shared" si="95"/>
        <v>10544.603999999999</v>
      </c>
      <c r="K108" s="642">
        <f t="shared" si="95"/>
        <v>9642.6650000000009</v>
      </c>
      <c r="L108" s="642">
        <f t="shared" si="95"/>
        <v>7523.4769999999999</v>
      </c>
      <c r="M108" s="642">
        <f t="shared" si="95"/>
        <v>0</v>
      </c>
      <c r="N108" s="642">
        <f t="shared" si="95"/>
        <v>9494.2060000000001</v>
      </c>
      <c r="O108" s="642">
        <f t="shared" si="95"/>
        <v>0</v>
      </c>
      <c r="P108" s="642">
        <f t="shared" si="95"/>
        <v>7610.3860000000004</v>
      </c>
      <c r="Q108" s="642">
        <f t="shared" si="95"/>
        <v>0</v>
      </c>
      <c r="R108" s="642">
        <f t="shared" si="95"/>
        <v>8719.969000000001</v>
      </c>
      <c r="S108" s="642">
        <f t="shared" si="95"/>
        <v>0</v>
      </c>
      <c r="T108" s="642">
        <f t="shared" si="95"/>
        <v>9936.726999999999</v>
      </c>
      <c r="U108" s="642">
        <f t="shared" si="95"/>
        <v>0</v>
      </c>
      <c r="V108" s="642">
        <f t="shared" si="95"/>
        <v>8658.3970000000008</v>
      </c>
      <c r="W108" s="642">
        <f t="shared" si="95"/>
        <v>0</v>
      </c>
      <c r="X108" s="642">
        <f t="shared" si="95"/>
        <v>7586.7909999999993</v>
      </c>
      <c r="Y108" s="642">
        <f t="shared" si="95"/>
        <v>0</v>
      </c>
      <c r="Z108" s="642">
        <f t="shared" si="95"/>
        <v>9030.01</v>
      </c>
      <c r="AA108" s="642">
        <f t="shared" si="95"/>
        <v>0</v>
      </c>
      <c r="AB108" s="642">
        <f t="shared" si="95"/>
        <v>8272.3070000000007</v>
      </c>
      <c r="AC108" s="642">
        <f t="shared" si="95"/>
        <v>0</v>
      </c>
      <c r="AD108" s="642">
        <f t="shared" si="95"/>
        <v>15886.87745</v>
      </c>
      <c r="AE108" s="642">
        <f t="shared" si="95"/>
        <v>0</v>
      </c>
      <c r="AF108" s="642"/>
      <c r="AG108" s="636">
        <f t="shared" si="74"/>
        <v>2.1827872842550278E-11</v>
      </c>
    </row>
    <row r="109" spans="1:33" s="637" customFormat="1" ht="37.5" x14ac:dyDescent="0.3">
      <c r="A109" s="648" t="s">
        <v>174</v>
      </c>
      <c r="B109" s="642">
        <f>B29+B36+B43+B56+B65</f>
        <v>5964.0080000000007</v>
      </c>
      <c r="C109" s="642">
        <f t="shared" ref="C109:AE109" si="96">C29+C36+C43+C56+C65</f>
        <v>1087.4499999999998</v>
      </c>
      <c r="D109" s="642">
        <f t="shared" si="96"/>
        <v>1033.29</v>
      </c>
      <c r="E109" s="642">
        <f t="shared" si="96"/>
        <v>1033.29</v>
      </c>
      <c r="F109" s="642">
        <f t="shared" si="90"/>
        <v>17.325429476285073</v>
      </c>
      <c r="G109" s="642">
        <f t="shared" si="91"/>
        <v>95.019541128327759</v>
      </c>
      <c r="H109" s="642">
        <f t="shared" si="96"/>
        <v>421</v>
      </c>
      <c r="I109" s="642">
        <f t="shared" si="96"/>
        <v>420.84</v>
      </c>
      <c r="J109" s="642">
        <f t="shared" si="96"/>
        <v>666.45</v>
      </c>
      <c r="K109" s="642">
        <f t="shared" si="96"/>
        <v>612.45000000000005</v>
      </c>
      <c r="L109" s="642">
        <f t="shared" si="96"/>
        <v>310.20699999999999</v>
      </c>
      <c r="M109" s="642">
        <f t="shared" si="96"/>
        <v>0</v>
      </c>
      <c r="N109" s="642">
        <f t="shared" si="96"/>
        <v>0</v>
      </c>
      <c r="O109" s="642">
        <f t="shared" si="96"/>
        <v>0</v>
      </c>
      <c r="P109" s="642">
        <f t="shared" si="96"/>
        <v>0</v>
      </c>
      <c r="Q109" s="642">
        <f t="shared" si="96"/>
        <v>0</v>
      </c>
      <c r="R109" s="642">
        <f t="shared" si="96"/>
        <v>641.779</v>
      </c>
      <c r="S109" s="642">
        <f t="shared" si="96"/>
        <v>0</v>
      </c>
      <c r="T109" s="642">
        <f t="shared" si="96"/>
        <v>0</v>
      </c>
      <c r="U109" s="642">
        <f t="shared" si="96"/>
        <v>0</v>
      </c>
      <c r="V109" s="642">
        <f t="shared" si="96"/>
        <v>0</v>
      </c>
      <c r="W109" s="642">
        <f t="shared" si="96"/>
        <v>0</v>
      </c>
      <c r="X109" s="642">
        <f t="shared" si="96"/>
        <v>0</v>
      </c>
      <c r="Y109" s="642">
        <f t="shared" si="96"/>
        <v>0</v>
      </c>
      <c r="Z109" s="642">
        <f t="shared" si="96"/>
        <v>0</v>
      </c>
      <c r="AA109" s="642">
        <f t="shared" si="96"/>
        <v>0</v>
      </c>
      <c r="AB109" s="642">
        <f t="shared" si="96"/>
        <v>559.01</v>
      </c>
      <c r="AC109" s="642">
        <f t="shared" si="96"/>
        <v>0</v>
      </c>
      <c r="AD109" s="642">
        <f t="shared" si="96"/>
        <v>3365.5619999999999</v>
      </c>
      <c r="AE109" s="642">
        <f t="shared" si="96"/>
        <v>0</v>
      </c>
      <c r="AF109" s="642"/>
      <c r="AG109" s="636"/>
    </row>
    <row r="110" spans="1:33" s="637" customFormat="1" x14ac:dyDescent="0.3">
      <c r="A110" s="654" t="s">
        <v>170</v>
      </c>
      <c r="B110" s="642">
        <f>B16+B22+B30+B37+B44+B50+B66+B72+B78+B84+B92+B98+B104+B57</f>
        <v>1715</v>
      </c>
      <c r="C110" s="642">
        <f t="shared" ref="C110:AE110" si="97">C16+C22+C30+C37+C44+C50+C66+C72+C78+C84+C92+C98+C104+C57</f>
        <v>0</v>
      </c>
      <c r="D110" s="642">
        <f t="shared" si="97"/>
        <v>0</v>
      </c>
      <c r="E110" s="642">
        <f t="shared" si="97"/>
        <v>0</v>
      </c>
      <c r="F110" s="642">
        <f t="shared" si="90"/>
        <v>0</v>
      </c>
      <c r="G110" s="642">
        <f t="shared" si="91"/>
        <v>0</v>
      </c>
      <c r="H110" s="642">
        <f t="shared" si="97"/>
        <v>0</v>
      </c>
      <c r="I110" s="642">
        <f t="shared" si="97"/>
        <v>0</v>
      </c>
      <c r="J110" s="642">
        <f t="shared" si="97"/>
        <v>0</v>
      </c>
      <c r="K110" s="642">
        <f t="shared" si="97"/>
        <v>0</v>
      </c>
      <c r="L110" s="642">
        <f t="shared" si="97"/>
        <v>765</v>
      </c>
      <c r="M110" s="642">
        <f t="shared" si="97"/>
        <v>0</v>
      </c>
      <c r="N110" s="642">
        <f t="shared" si="97"/>
        <v>0</v>
      </c>
      <c r="O110" s="642">
        <f t="shared" si="97"/>
        <v>0</v>
      </c>
      <c r="P110" s="642">
        <f t="shared" si="97"/>
        <v>0</v>
      </c>
      <c r="Q110" s="642">
        <f t="shared" si="97"/>
        <v>0</v>
      </c>
      <c r="R110" s="642">
        <f t="shared" si="97"/>
        <v>0</v>
      </c>
      <c r="S110" s="642">
        <f t="shared" si="97"/>
        <v>0</v>
      </c>
      <c r="T110" s="642">
        <f t="shared" si="97"/>
        <v>0</v>
      </c>
      <c r="U110" s="642">
        <f t="shared" si="97"/>
        <v>0</v>
      </c>
      <c r="V110" s="642">
        <f t="shared" si="97"/>
        <v>0</v>
      </c>
      <c r="W110" s="642">
        <f t="shared" si="97"/>
        <v>0</v>
      </c>
      <c r="X110" s="642">
        <f t="shared" si="97"/>
        <v>0</v>
      </c>
      <c r="Y110" s="642">
        <f t="shared" si="97"/>
        <v>0</v>
      </c>
      <c r="Z110" s="642">
        <f t="shared" si="97"/>
        <v>0</v>
      </c>
      <c r="AA110" s="642">
        <f t="shared" si="97"/>
        <v>0</v>
      </c>
      <c r="AB110" s="642">
        <f t="shared" si="97"/>
        <v>0</v>
      </c>
      <c r="AC110" s="642">
        <f t="shared" si="97"/>
        <v>0</v>
      </c>
      <c r="AD110" s="642">
        <f t="shared" si="97"/>
        <v>950</v>
      </c>
      <c r="AE110" s="642">
        <f t="shared" si="97"/>
        <v>0</v>
      </c>
      <c r="AF110" s="642"/>
      <c r="AG110" s="636">
        <f t="shared" si="74"/>
        <v>0</v>
      </c>
    </row>
    <row r="111" spans="1:33" ht="37.5" x14ac:dyDescent="0.3">
      <c r="A111" s="655" t="s">
        <v>218</v>
      </c>
      <c r="B111" s="656">
        <f>B112+B113+B114+B115</f>
        <v>0</v>
      </c>
      <c r="C111" s="656">
        <f>C112+C113+C114</f>
        <v>0</v>
      </c>
      <c r="D111" s="656">
        <f>D112+D113+D114</f>
        <v>0</v>
      </c>
      <c r="E111" s="656">
        <f>E112+E113+E114</f>
        <v>0</v>
      </c>
      <c r="F111" s="656">
        <f t="shared" si="90"/>
        <v>0</v>
      </c>
      <c r="G111" s="656">
        <f t="shared" si="91"/>
        <v>0</v>
      </c>
      <c r="H111" s="656">
        <f t="shared" ref="H111:AE111" si="98">H112+H113+H114+H115</f>
        <v>0</v>
      </c>
      <c r="I111" s="656">
        <f t="shared" si="98"/>
        <v>0</v>
      </c>
      <c r="J111" s="656">
        <f t="shared" si="98"/>
        <v>0</v>
      </c>
      <c r="K111" s="656">
        <f t="shared" si="98"/>
        <v>0</v>
      </c>
      <c r="L111" s="656">
        <f t="shared" si="98"/>
        <v>0</v>
      </c>
      <c r="M111" s="656">
        <f t="shared" si="98"/>
        <v>0</v>
      </c>
      <c r="N111" s="656">
        <f t="shared" si="98"/>
        <v>0</v>
      </c>
      <c r="O111" s="656">
        <f t="shared" si="98"/>
        <v>0</v>
      </c>
      <c r="P111" s="656">
        <f t="shared" si="98"/>
        <v>0</v>
      </c>
      <c r="Q111" s="656">
        <f t="shared" si="98"/>
        <v>0</v>
      </c>
      <c r="R111" s="656">
        <f t="shared" si="98"/>
        <v>0</v>
      </c>
      <c r="S111" s="656">
        <f t="shared" si="98"/>
        <v>0</v>
      </c>
      <c r="T111" s="656">
        <f t="shared" si="98"/>
        <v>0</v>
      </c>
      <c r="U111" s="656">
        <f t="shared" si="98"/>
        <v>0</v>
      </c>
      <c r="V111" s="656">
        <f t="shared" si="98"/>
        <v>0</v>
      </c>
      <c r="W111" s="656">
        <f t="shared" si="98"/>
        <v>0</v>
      </c>
      <c r="X111" s="656">
        <f t="shared" si="98"/>
        <v>0</v>
      </c>
      <c r="Y111" s="656">
        <f t="shared" si="98"/>
        <v>0</v>
      </c>
      <c r="Z111" s="656">
        <f t="shared" si="98"/>
        <v>0</v>
      </c>
      <c r="AA111" s="656">
        <f t="shared" si="98"/>
        <v>0</v>
      </c>
      <c r="AB111" s="656">
        <f t="shared" si="98"/>
        <v>0</v>
      </c>
      <c r="AC111" s="656">
        <f t="shared" si="98"/>
        <v>0</v>
      </c>
      <c r="AD111" s="656">
        <f t="shared" si="98"/>
        <v>0</v>
      </c>
      <c r="AE111" s="656">
        <f t="shared" si="98"/>
        <v>0</v>
      </c>
      <c r="AF111" s="656"/>
      <c r="AG111" s="102">
        <f t="shared" si="74"/>
        <v>0</v>
      </c>
    </row>
    <row r="112" spans="1:33" s="637" customFormat="1" x14ac:dyDescent="0.3">
      <c r="A112" s="641" t="s">
        <v>169</v>
      </c>
      <c r="B112" s="642">
        <f>B13+B19</f>
        <v>0</v>
      </c>
      <c r="C112" s="642">
        <f t="shared" ref="C112:E112" si="99">C13+C19</f>
        <v>0</v>
      </c>
      <c r="D112" s="642">
        <f t="shared" si="99"/>
        <v>0</v>
      </c>
      <c r="E112" s="642">
        <f t="shared" si="99"/>
        <v>0</v>
      </c>
      <c r="F112" s="642">
        <f t="shared" si="90"/>
        <v>0</v>
      </c>
      <c r="G112" s="642">
        <f t="shared" si="91"/>
        <v>0</v>
      </c>
      <c r="H112" s="642">
        <f t="shared" ref="H112:AE112" si="100">H13+H19</f>
        <v>0</v>
      </c>
      <c r="I112" s="642">
        <f t="shared" si="100"/>
        <v>0</v>
      </c>
      <c r="J112" s="642">
        <f t="shared" si="100"/>
        <v>0</v>
      </c>
      <c r="K112" s="642">
        <f t="shared" si="100"/>
        <v>0</v>
      </c>
      <c r="L112" s="642">
        <f t="shared" si="100"/>
        <v>0</v>
      </c>
      <c r="M112" s="642">
        <f t="shared" si="100"/>
        <v>0</v>
      </c>
      <c r="N112" s="642">
        <f t="shared" si="100"/>
        <v>0</v>
      </c>
      <c r="O112" s="642">
        <f t="shared" si="100"/>
        <v>0</v>
      </c>
      <c r="P112" s="642">
        <f t="shared" si="100"/>
        <v>0</v>
      </c>
      <c r="Q112" s="642">
        <f t="shared" si="100"/>
        <v>0</v>
      </c>
      <c r="R112" s="642">
        <f t="shared" si="100"/>
        <v>0</v>
      </c>
      <c r="S112" s="642">
        <f t="shared" si="100"/>
        <v>0</v>
      </c>
      <c r="T112" s="642">
        <f t="shared" si="100"/>
        <v>0</v>
      </c>
      <c r="U112" s="642">
        <f t="shared" si="100"/>
        <v>0</v>
      </c>
      <c r="V112" s="642">
        <f t="shared" si="100"/>
        <v>0</v>
      </c>
      <c r="W112" s="642">
        <f t="shared" si="100"/>
        <v>0</v>
      </c>
      <c r="X112" s="642">
        <f t="shared" si="100"/>
        <v>0</v>
      </c>
      <c r="Y112" s="642">
        <f t="shared" si="100"/>
        <v>0</v>
      </c>
      <c r="Z112" s="642">
        <f t="shared" si="100"/>
        <v>0</v>
      </c>
      <c r="AA112" s="642">
        <f t="shared" si="100"/>
        <v>0</v>
      </c>
      <c r="AB112" s="642">
        <f t="shared" si="100"/>
        <v>0</v>
      </c>
      <c r="AC112" s="642">
        <f t="shared" si="100"/>
        <v>0</v>
      </c>
      <c r="AD112" s="642">
        <f t="shared" si="100"/>
        <v>0</v>
      </c>
      <c r="AE112" s="642">
        <f t="shared" si="100"/>
        <v>0</v>
      </c>
      <c r="AF112" s="642"/>
      <c r="AG112" s="636">
        <f t="shared" si="74"/>
        <v>0</v>
      </c>
    </row>
    <row r="113" spans="1:33" s="637" customFormat="1" x14ac:dyDescent="0.3">
      <c r="A113" s="641" t="s">
        <v>32</v>
      </c>
      <c r="B113" s="642">
        <f>B14+B20</f>
        <v>0</v>
      </c>
      <c r="C113" s="642">
        <f t="shared" ref="C113:E115" si="101">C14+C20</f>
        <v>0</v>
      </c>
      <c r="D113" s="642">
        <f t="shared" si="101"/>
        <v>0</v>
      </c>
      <c r="E113" s="642">
        <f t="shared" si="101"/>
        <v>0</v>
      </c>
      <c r="F113" s="642">
        <f t="shared" si="90"/>
        <v>0</v>
      </c>
      <c r="G113" s="642">
        <f t="shared" si="91"/>
        <v>0</v>
      </c>
      <c r="H113" s="642">
        <f t="shared" ref="H113:AE113" si="102">H14+H20</f>
        <v>0</v>
      </c>
      <c r="I113" s="642">
        <f t="shared" si="102"/>
        <v>0</v>
      </c>
      <c r="J113" s="642">
        <f t="shared" si="102"/>
        <v>0</v>
      </c>
      <c r="K113" s="642">
        <f t="shared" si="102"/>
        <v>0</v>
      </c>
      <c r="L113" s="642">
        <f t="shared" si="102"/>
        <v>0</v>
      </c>
      <c r="M113" s="642">
        <f t="shared" si="102"/>
        <v>0</v>
      </c>
      <c r="N113" s="642">
        <f t="shared" si="102"/>
        <v>0</v>
      </c>
      <c r="O113" s="642">
        <f t="shared" si="102"/>
        <v>0</v>
      </c>
      <c r="P113" s="642">
        <f t="shared" si="102"/>
        <v>0</v>
      </c>
      <c r="Q113" s="642">
        <f t="shared" si="102"/>
        <v>0</v>
      </c>
      <c r="R113" s="642">
        <f t="shared" si="102"/>
        <v>0</v>
      </c>
      <c r="S113" s="642">
        <f t="shared" si="102"/>
        <v>0</v>
      </c>
      <c r="T113" s="642">
        <f t="shared" si="102"/>
        <v>0</v>
      </c>
      <c r="U113" s="642">
        <f t="shared" si="102"/>
        <v>0</v>
      </c>
      <c r="V113" s="642">
        <f t="shared" si="102"/>
        <v>0</v>
      </c>
      <c r="W113" s="642">
        <f t="shared" si="102"/>
        <v>0</v>
      </c>
      <c r="X113" s="642">
        <f t="shared" si="102"/>
        <v>0</v>
      </c>
      <c r="Y113" s="642">
        <f t="shared" si="102"/>
        <v>0</v>
      </c>
      <c r="Z113" s="642">
        <f t="shared" si="102"/>
        <v>0</v>
      </c>
      <c r="AA113" s="642">
        <f t="shared" si="102"/>
        <v>0</v>
      </c>
      <c r="AB113" s="642">
        <f t="shared" si="102"/>
        <v>0</v>
      </c>
      <c r="AC113" s="642">
        <f t="shared" si="102"/>
        <v>0</v>
      </c>
      <c r="AD113" s="642">
        <f t="shared" si="102"/>
        <v>0</v>
      </c>
      <c r="AE113" s="642">
        <f t="shared" si="102"/>
        <v>0</v>
      </c>
      <c r="AF113" s="642"/>
      <c r="AG113" s="636">
        <f t="shared" si="74"/>
        <v>0</v>
      </c>
    </row>
    <row r="114" spans="1:33" s="637" customFormat="1" x14ac:dyDescent="0.3">
      <c r="A114" s="641" t="s">
        <v>33</v>
      </c>
      <c r="B114" s="642">
        <f>B15+B21</f>
        <v>0</v>
      </c>
      <c r="C114" s="642">
        <f t="shared" si="101"/>
        <v>0</v>
      </c>
      <c r="D114" s="642">
        <f t="shared" si="101"/>
        <v>0</v>
      </c>
      <c r="E114" s="642">
        <f t="shared" si="101"/>
        <v>0</v>
      </c>
      <c r="F114" s="642">
        <f t="shared" si="90"/>
        <v>0</v>
      </c>
      <c r="G114" s="642">
        <f t="shared" si="91"/>
        <v>0</v>
      </c>
      <c r="H114" s="642">
        <f t="shared" ref="H114:AE114" si="103">H15+H21</f>
        <v>0</v>
      </c>
      <c r="I114" s="642">
        <f t="shared" si="103"/>
        <v>0</v>
      </c>
      <c r="J114" s="642">
        <f t="shared" si="103"/>
        <v>0</v>
      </c>
      <c r="K114" s="642">
        <f t="shared" si="103"/>
        <v>0</v>
      </c>
      <c r="L114" s="642">
        <f t="shared" si="103"/>
        <v>0</v>
      </c>
      <c r="M114" s="642">
        <f t="shared" si="103"/>
        <v>0</v>
      </c>
      <c r="N114" s="642">
        <f t="shared" si="103"/>
        <v>0</v>
      </c>
      <c r="O114" s="642">
        <f t="shared" si="103"/>
        <v>0</v>
      </c>
      <c r="P114" s="642">
        <f t="shared" si="103"/>
        <v>0</v>
      </c>
      <c r="Q114" s="642">
        <f t="shared" si="103"/>
        <v>0</v>
      </c>
      <c r="R114" s="642">
        <f t="shared" si="103"/>
        <v>0</v>
      </c>
      <c r="S114" s="642">
        <f t="shared" si="103"/>
        <v>0</v>
      </c>
      <c r="T114" s="642">
        <f t="shared" si="103"/>
        <v>0</v>
      </c>
      <c r="U114" s="642">
        <f t="shared" si="103"/>
        <v>0</v>
      </c>
      <c r="V114" s="642">
        <f t="shared" si="103"/>
        <v>0</v>
      </c>
      <c r="W114" s="642">
        <f t="shared" si="103"/>
        <v>0</v>
      </c>
      <c r="X114" s="642">
        <f t="shared" si="103"/>
        <v>0</v>
      </c>
      <c r="Y114" s="642">
        <f t="shared" si="103"/>
        <v>0</v>
      </c>
      <c r="Z114" s="642">
        <f t="shared" si="103"/>
        <v>0</v>
      </c>
      <c r="AA114" s="642">
        <f t="shared" si="103"/>
        <v>0</v>
      </c>
      <c r="AB114" s="642">
        <f t="shared" si="103"/>
        <v>0</v>
      </c>
      <c r="AC114" s="642">
        <f t="shared" si="103"/>
        <v>0</v>
      </c>
      <c r="AD114" s="642">
        <f t="shared" si="103"/>
        <v>0</v>
      </c>
      <c r="AE114" s="642">
        <f t="shared" si="103"/>
        <v>0</v>
      </c>
      <c r="AF114" s="642"/>
      <c r="AG114" s="636">
        <f t="shared" si="74"/>
        <v>0</v>
      </c>
    </row>
    <row r="115" spans="1:33" s="637" customFormat="1" x14ac:dyDescent="0.3">
      <c r="A115" s="654" t="s">
        <v>170</v>
      </c>
      <c r="B115" s="642">
        <f>B16+B22</f>
        <v>0</v>
      </c>
      <c r="C115" s="642">
        <f t="shared" si="101"/>
        <v>0</v>
      </c>
      <c r="D115" s="642">
        <f t="shared" si="101"/>
        <v>0</v>
      </c>
      <c r="E115" s="642">
        <f t="shared" si="101"/>
        <v>0</v>
      </c>
      <c r="F115" s="642">
        <f t="shared" si="90"/>
        <v>0</v>
      </c>
      <c r="G115" s="642">
        <f t="shared" si="91"/>
        <v>0</v>
      </c>
      <c r="H115" s="642">
        <f t="shared" ref="H115:AE115" si="104">H16+H22</f>
        <v>0</v>
      </c>
      <c r="I115" s="642">
        <f t="shared" si="104"/>
        <v>0</v>
      </c>
      <c r="J115" s="642">
        <f t="shared" si="104"/>
        <v>0</v>
      </c>
      <c r="K115" s="642">
        <f t="shared" si="104"/>
        <v>0</v>
      </c>
      <c r="L115" s="642">
        <f t="shared" si="104"/>
        <v>0</v>
      </c>
      <c r="M115" s="642">
        <f t="shared" si="104"/>
        <v>0</v>
      </c>
      <c r="N115" s="642">
        <f t="shared" si="104"/>
        <v>0</v>
      </c>
      <c r="O115" s="642">
        <f t="shared" si="104"/>
        <v>0</v>
      </c>
      <c r="P115" s="642">
        <f t="shared" si="104"/>
        <v>0</v>
      </c>
      <c r="Q115" s="642">
        <f t="shared" si="104"/>
        <v>0</v>
      </c>
      <c r="R115" s="642">
        <f t="shared" si="104"/>
        <v>0</v>
      </c>
      <c r="S115" s="642">
        <f t="shared" si="104"/>
        <v>0</v>
      </c>
      <c r="T115" s="642">
        <f t="shared" si="104"/>
        <v>0</v>
      </c>
      <c r="U115" s="642">
        <f t="shared" si="104"/>
        <v>0</v>
      </c>
      <c r="V115" s="642">
        <f t="shared" si="104"/>
        <v>0</v>
      </c>
      <c r="W115" s="642">
        <f t="shared" si="104"/>
        <v>0</v>
      </c>
      <c r="X115" s="642">
        <f t="shared" si="104"/>
        <v>0</v>
      </c>
      <c r="Y115" s="642">
        <f t="shared" si="104"/>
        <v>0</v>
      </c>
      <c r="Z115" s="642">
        <f t="shared" si="104"/>
        <v>0</v>
      </c>
      <c r="AA115" s="642">
        <f t="shared" si="104"/>
        <v>0</v>
      </c>
      <c r="AB115" s="642">
        <f t="shared" si="104"/>
        <v>0</v>
      </c>
      <c r="AC115" s="642">
        <f t="shared" si="104"/>
        <v>0</v>
      </c>
      <c r="AD115" s="642">
        <f t="shared" si="104"/>
        <v>0</v>
      </c>
      <c r="AE115" s="642">
        <f t="shared" si="104"/>
        <v>0</v>
      </c>
      <c r="AF115" s="642"/>
      <c r="AG115" s="636">
        <f t="shared" si="74"/>
        <v>0</v>
      </c>
    </row>
    <row r="116" spans="1:33" ht="37.5" x14ac:dyDescent="0.3">
      <c r="A116" s="655" t="s">
        <v>219</v>
      </c>
      <c r="B116" s="656">
        <f>B117+B118+B119+B121</f>
        <v>182539.19899999999</v>
      </c>
      <c r="C116" s="656">
        <f>C117+C118+C119</f>
        <v>32325.505549999998</v>
      </c>
      <c r="D116" s="656">
        <f>D117+D118+D119</f>
        <v>28043.491999999998</v>
      </c>
      <c r="E116" s="656">
        <f>E117+E118+E119</f>
        <v>28043.491999999998</v>
      </c>
      <c r="F116" s="656">
        <f t="shared" si="90"/>
        <v>15.362997182868101</v>
      </c>
      <c r="G116" s="656">
        <f t="shared" si="91"/>
        <v>86.753452182281492</v>
      </c>
      <c r="H116" s="656">
        <f>H117+H118+H119+H121</f>
        <v>15042.351549999999</v>
      </c>
      <c r="I116" s="656">
        <f t="shared" ref="I116:AE116" si="105">I117+I118+I119+I121</f>
        <v>7953.1170000000002</v>
      </c>
      <c r="J116" s="656">
        <f t="shared" si="105"/>
        <v>17283.153999999999</v>
      </c>
      <c r="K116" s="656">
        <f t="shared" si="105"/>
        <v>20090.375</v>
      </c>
      <c r="L116" s="656">
        <f t="shared" si="105"/>
        <v>12370.314</v>
      </c>
      <c r="M116" s="656">
        <f t="shared" si="105"/>
        <v>0</v>
      </c>
      <c r="N116" s="656">
        <f t="shared" si="105"/>
        <v>9503.4060000000009</v>
      </c>
      <c r="O116" s="656">
        <f t="shared" si="105"/>
        <v>0</v>
      </c>
      <c r="P116" s="656">
        <f t="shared" si="105"/>
        <v>7610.3860000000004</v>
      </c>
      <c r="Q116" s="656">
        <f t="shared" si="105"/>
        <v>0</v>
      </c>
      <c r="R116" s="656">
        <f t="shared" si="105"/>
        <v>15208.742000000002</v>
      </c>
      <c r="S116" s="656">
        <f t="shared" si="105"/>
        <v>0</v>
      </c>
      <c r="T116" s="656">
        <f t="shared" si="105"/>
        <v>9936.726999999999</v>
      </c>
      <c r="U116" s="656">
        <f t="shared" si="105"/>
        <v>0</v>
      </c>
      <c r="V116" s="656">
        <f t="shared" si="105"/>
        <v>8658.3970000000008</v>
      </c>
      <c r="W116" s="656">
        <f t="shared" si="105"/>
        <v>0</v>
      </c>
      <c r="X116" s="656">
        <f t="shared" si="105"/>
        <v>7586.7909999999993</v>
      </c>
      <c r="Y116" s="656">
        <f t="shared" si="105"/>
        <v>0</v>
      </c>
      <c r="Z116" s="656">
        <f t="shared" si="105"/>
        <v>9030.01</v>
      </c>
      <c r="AA116" s="656">
        <f t="shared" si="105"/>
        <v>0</v>
      </c>
      <c r="AB116" s="656">
        <f t="shared" si="105"/>
        <v>13924.507000000001</v>
      </c>
      <c r="AC116" s="656">
        <f t="shared" si="105"/>
        <v>0</v>
      </c>
      <c r="AD116" s="656">
        <f t="shared" si="105"/>
        <v>56384.413450000007</v>
      </c>
      <c r="AE116" s="656">
        <f t="shared" si="105"/>
        <v>0</v>
      </c>
      <c r="AF116" s="656"/>
      <c r="AG116" s="102">
        <f t="shared" si="74"/>
        <v>0</v>
      </c>
    </row>
    <row r="117" spans="1:33" s="637" customFormat="1" x14ac:dyDescent="0.3">
      <c r="A117" s="641" t="s">
        <v>169</v>
      </c>
      <c r="B117" s="642">
        <f>H117+J117+L117+N117+P117+R117+T117+V117+X117+Z117+AB117+AD117</f>
        <v>4435.5990000000002</v>
      </c>
      <c r="C117" s="642">
        <f t="shared" ref="C117:E117" si="106">C26+C33+C40+C47+C62+C69+C75+C81+C89+C95+C101</f>
        <v>0</v>
      </c>
      <c r="D117" s="642">
        <f t="shared" si="106"/>
        <v>0</v>
      </c>
      <c r="E117" s="642">
        <f t="shared" si="106"/>
        <v>0</v>
      </c>
      <c r="F117" s="642">
        <f t="shared" si="90"/>
        <v>0</v>
      </c>
      <c r="G117" s="642">
        <f t="shared" si="91"/>
        <v>0</v>
      </c>
      <c r="H117" s="642">
        <f>H26+H33+H40+H47+H62+H69+H75+H81+H89+H95+H101+H53</f>
        <v>0</v>
      </c>
      <c r="I117" s="642">
        <f t="shared" ref="I117:AE117" si="107">I26+I33+I40+I47+I62+I69+I75+I81+I89+I95+I101+I53</f>
        <v>0</v>
      </c>
      <c r="J117" s="642">
        <f t="shared" si="107"/>
        <v>0</v>
      </c>
      <c r="K117" s="642">
        <f t="shared" si="107"/>
        <v>0</v>
      </c>
      <c r="L117" s="642">
        <f t="shared" si="107"/>
        <v>158.38200000000001</v>
      </c>
      <c r="M117" s="642">
        <f t="shared" si="107"/>
        <v>0</v>
      </c>
      <c r="N117" s="642">
        <f t="shared" si="107"/>
        <v>0</v>
      </c>
      <c r="O117" s="642">
        <f t="shared" si="107"/>
        <v>0</v>
      </c>
      <c r="P117" s="642">
        <f t="shared" si="107"/>
        <v>0</v>
      </c>
      <c r="Q117" s="642">
        <f t="shared" si="107"/>
        <v>0</v>
      </c>
      <c r="R117" s="642">
        <f t="shared" si="107"/>
        <v>0</v>
      </c>
      <c r="S117" s="642">
        <f t="shared" si="107"/>
        <v>0</v>
      </c>
      <c r="T117" s="642">
        <f t="shared" si="107"/>
        <v>0</v>
      </c>
      <c r="U117" s="642">
        <f t="shared" si="107"/>
        <v>0</v>
      </c>
      <c r="V117" s="642">
        <f t="shared" si="107"/>
        <v>0</v>
      </c>
      <c r="W117" s="642">
        <f t="shared" si="107"/>
        <v>0</v>
      </c>
      <c r="X117" s="642">
        <f t="shared" si="107"/>
        <v>0</v>
      </c>
      <c r="Y117" s="642">
        <f t="shared" si="107"/>
        <v>0</v>
      </c>
      <c r="Z117" s="642">
        <f t="shared" si="107"/>
        <v>0</v>
      </c>
      <c r="AA117" s="642">
        <f t="shared" si="107"/>
        <v>0</v>
      </c>
      <c r="AB117" s="642">
        <f t="shared" si="107"/>
        <v>0</v>
      </c>
      <c r="AC117" s="642">
        <f t="shared" si="107"/>
        <v>0</v>
      </c>
      <c r="AD117" s="642">
        <f t="shared" si="107"/>
        <v>4277.2170000000006</v>
      </c>
      <c r="AE117" s="642">
        <f t="shared" si="107"/>
        <v>0</v>
      </c>
      <c r="AF117" s="642"/>
      <c r="AG117" s="636">
        <f t="shared" si="74"/>
        <v>0</v>
      </c>
    </row>
    <row r="118" spans="1:33" s="637" customFormat="1" x14ac:dyDescent="0.3">
      <c r="A118" s="641" t="s">
        <v>32</v>
      </c>
      <c r="B118" s="642">
        <f t="shared" ref="B118:B121" si="108">H118+J118+L118+N118+P118+R118+T118+V118+X118+Z118+AB118+AD118</f>
        <v>62337.997000000003</v>
      </c>
      <c r="C118" s="642">
        <f t="shared" ref="C118:E120" si="109">C27+C34+C41+C48+C63+C70+C76+C82+C90+C96+C102</f>
        <v>10994.05</v>
      </c>
      <c r="D118" s="642">
        <f t="shared" si="109"/>
        <v>10447.709999999999</v>
      </c>
      <c r="E118" s="642">
        <f t="shared" si="109"/>
        <v>10447.709999999999</v>
      </c>
      <c r="F118" s="642">
        <f t="shared" si="90"/>
        <v>16.759778149432677</v>
      </c>
      <c r="G118" s="642">
        <f t="shared" si="91"/>
        <v>95.030584725374183</v>
      </c>
      <c r="H118" s="642">
        <f>H27+H34+H41+H48+H63+H70+H76+H82+H90+H96+H102+H54</f>
        <v>4255.5</v>
      </c>
      <c r="I118" s="642">
        <f t="shared" ref="I118:AE118" si="110">I27+I34+I41+I48+I63+I70+I76+I82+I90+I96+I102+I54</f>
        <v>0</v>
      </c>
      <c r="J118" s="642">
        <f t="shared" si="110"/>
        <v>6738.55</v>
      </c>
      <c r="K118" s="642">
        <f t="shared" si="110"/>
        <v>10447.709999999999</v>
      </c>
      <c r="L118" s="642">
        <f t="shared" si="110"/>
        <v>3923.4549999999999</v>
      </c>
      <c r="M118" s="642">
        <f t="shared" si="110"/>
        <v>0</v>
      </c>
      <c r="N118" s="642">
        <f t="shared" si="110"/>
        <v>9.1999999999999993</v>
      </c>
      <c r="O118" s="642">
        <f t="shared" si="110"/>
        <v>0</v>
      </c>
      <c r="P118" s="642">
        <f t="shared" si="110"/>
        <v>0</v>
      </c>
      <c r="Q118" s="642">
        <f t="shared" si="110"/>
        <v>0</v>
      </c>
      <c r="R118" s="642">
        <f t="shared" si="110"/>
        <v>6488.7730000000001</v>
      </c>
      <c r="S118" s="642">
        <f t="shared" si="110"/>
        <v>0</v>
      </c>
      <c r="T118" s="642">
        <f t="shared" si="110"/>
        <v>0</v>
      </c>
      <c r="U118" s="642">
        <f t="shared" si="110"/>
        <v>0</v>
      </c>
      <c r="V118" s="642">
        <f t="shared" si="110"/>
        <v>0</v>
      </c>
      <c r="W118" s="642">
        <f t="shared" si="110"/>
        <v>0</v>
      </c>
      <c r="X118" s="642">
        <f t="shared" si="110"/>
        <v>0</v>
      </c>
      <c r="Y118" s="642">
        <f t="shared" si="110"/>
        <v>0</v>
      </c>
      <c r="Z118" s="642">
        <f t="shared" si="110"/>
        <v>0</v>
      </c>
      <c r="AA118" s="642">
        <f t="shared" si="110"/>
        <v>0</v>
      </c>
      <c r="AB118" s="642">
        <f t="shared" si="110"/>
        <v>5652.2</v>
      </c>
      <c r="AC118" s="642">
        <f t="shared" si="110"/>
        <v>0</v>
      </c>
      <c r="AD118" s="642">
        <f t="shared" si="110"/>
        <v>35270.319000000003</v>
      </c>
      <c r="AE118" s="642">
        <f t="shared" si="110"/>
        <v>0</v>
      </c>
      <c r="AF118" s="642"/>
      <c r="AG118" s="636">
        <f t="shared" si="74"/>
        <v>0</v>
      </c>
    </row>
    <row r="119" spans="1:33" s="637" customFormat="1" x14ac:dyDescent="0.3">
      <c r="A119" s="641" t="s">
        <v>33</v>
      </c>
      <c r="B119" s="642">
        <f t="shared" si="108"/>
        <v>114050.60299999999</v>
      </c>
      <c r="C119" s="642">
        <f t="shared" si="109"/>
        <v>21331.455549999999</v>
      </c>
      <c r="D119" s="642">
        <f t="shared" si="109"/>
        <v>17595.781999999999</v>
      </c>
      <c r="E119" s="642">
        <f t="shared" si="109"/>
        <v>17595.781999999999</v>
      </c>
      <c r="F119" s="642">
        <f t="shared" si="90"/>
        <v>15.428048197167357</v>
      </c>
      <c r="G119" s="642">
        <f t="shared" si="91"/>
        <v>82.487488763981702</v>
      </c>
      <c r="H119" s="642">
        <f>H28+H35+H42+H49+H64+H71+H77+H83+H91+H97+H103+H55</f>
        <v>10786.851549999999</v>
      </c>
      <c r="I119" s="642">
        <f t="shared" ref="I119:AE119" si="111">I28+I35+I42+I49+I64+I71+I77+I83+I91+I97+I103+I55</f>
        <v>7953.1170000000002</v>
      </c>
      <c r="J119" s="642">
        <f t="shared" si="111"/>
        <v>10544.603999999999</v>
      </c>
      <c r="K119" s="642">
        <f t="shared" si="111"/>
        <v>9642.6650000000009</v>
      </c>
      <c r="L119" s="642">
        <f t="shared" si="111"/>
        <v>7523.4769999999999</v>
      </c>
      <c r="M119" s="642">
        <f t="shared" si="111"/>
        <v>0</v>
      </c>
      <c r="N119" s="642">
        <f t="shared" si="111"/>
        <v>9494.2060000000001</v>
      </c>
      <c r="O119" s="642">
        <f t="shared" si="111"/>
        <v>0</v>
      </c>
      <c r="P119" s="642">
        <f t="shared" si="111"/>
        <v>7610.3860000000004</v>
      </c>
      <c r="Q119" s="642">
        <f t="shared" si="111"/>
        <v>0</v>
      </c>
      <c r="R119" s="642">
        <f t="shared" si="111"/>
        <v>8719.969000000001</v>
      </c>
      <c r="S119" s="642">
        <f t="shared" si="111"/>
        <v>0</v>
      </c>
      <c r="T119" s="642">
        <f t="shared" si="111"/>
        <v>9936.726999999999</v>
      </c>
      <c r="U119" s="642">
        <f t="shared" si="111"/>
        <v>0</v>
      </c>
      <c r="V119" s="642">
        <f t="shared" si="111"/>
        <v>8658.3970000000008</v>
      </c>
      <c r="W119" s="642">
        <f t="shared" si="111"/>
        <v>0</v>
      </c>
      <c r="X119" s="642">
        <f t="shared" si="111"/>
        <v>7586.7909999999993</v>
      </c>
      <c r="Y119" s="642">
        <f t="shared" si="111"/>
        <v>0</v>
      </c>
      <c r="Z119" s="642">
        <f t="shared" si="111"/>
        <v>9030.01</v>
      </c>
      <c r="AA119" s="642">
        <f t="shared" si="111"/>
        <v>0</v>
      </c>
      <c r="AB119" s="642">
        <f t="shared" si="111"/>
        <v>8272.3070000000007</v>
      </c>
      <c r="AC119" s="642">
        <f t="shared" si="111"/>
        <v>0</v>
      </c>
      <c r="AD119" s="642">
        <f t="shared" si="111"/>
        <v>15886.87745</v>
      </c>
      <c r="AE119" s="642">
        <f t="shared" si="111"/>
        <v>0</v>
      </c>
      <c r="AF119" s="642"/>
      <c r="AG119" s="636">
        <f t="shared" si="74"/>
        <v>0</v>
      </c>
    </row>
    <row r="120" spans="1:33" s="637" customFormat="1" ht="37.5" x14ac:dyDescent="0.3">
      <c r="A120" s="648" t="s">
        <v>174</v>
      </c>
      <c r="B120" s="642">
        <f t="shared" si="108"/>
        <v>5964.0079999999998</v>
      </c>
      <c r="C120" s="642">
        <f t="shared" si="109"/>
        <v>1087.4499999999998</v>
      </c>
      <c r="D120" s="642">
        <f t="shared" si="109"/>
        <v>1033.29</v>
      </c>
      <c r="E120" s="642">
        <f t="shared" si="109"/>
        <v>1033.29</v>
      </c>
      <c r="F120" s="642">
        <f t="shared" si="90"/>
        <v>17.325429476285077</v>
      </c>
      <c r="G120" s="642">
        <f t="shared" si="91"/>
        <v>95.019541128327759</v>
      </c>
      <c r="H120" s="642">
        <f>H29+H36+H43+H56+H65</f>
        <v>421</v>
      </c>
      <c r="I120" s="642">
        <f t="shared" ref="I120:AE120" si="112">I29+I36+I43+I56+I65</f>
        <v>420.84</v>
      </c>
      <c r="J120" s="642">
        <f t="shared" si="112"/>
        <v>666.45</v>
      </c>
      <c r="K120" s="642">
        <f t="shared" si="112"/>
        <v>612.45000000000005</v>
      </c>
      <c r="L120" s="642">
        <f t="shared" si="112"/>
        <v>310.20699999999999</v>
      </c>
      <c r="M120" s="642">
        <f t="shared" si="112"/>
        <v>0</v>
      </c>
      <c r="N120" s="642">
        <f t="shared" si="112"/>
        <v>0</v>
      </c>
      <c r="O120" s="642">
        <f t="shared" si="112"/>
        <v>0</v>
      </c>
      <c r="P120" s="642">
        <f t="shared" si="112"/>
        <v>0</v>
      </c>
      <c r="Q120" s="642">
        <f t="shared" si="112"/>
        <v>0</v>
      </c>
      <c r="R120" s="642">
        <f t="shared" si="112"/>
        <v>641.779</v>
      </c>
      <c r="S120" s="642">
        <f t="shared" si="112"/>
        <v>0</v>
      </c>
      <c r="T120" s="642">
        <f t="shared" si="112"/>
        <v>0</v>
      </c>
      <c r="U120" s="642">
        <f t="shared" si="112"/>
        <v>0</v>
      </c>
      <c r="V120" s="642">
        <f t="shared" si="112"/>
        <v>0</v>
      </c>
      <c r="W120" s="642">
        <f t="shared" si="112"/>
        <v>0</v>
      </c>
      <c r="X120" s="642">
        <f t="shared" si="112"/>
        <v>0</v>
      </c>
      <c r="Y120" s="642">
        <f t="shared" si="112"/>
        <v>0</v>
      </c>
      <c r="Z120" s="642">
        <f t="shared" si="112"/>
        <v>0</v>
      </c>
      <c r="AA120" s="642">
        <f t="shared" si="112"/>
        <v>0</v>
      </c>
      <c r="AB120" s="642">
        <f t="shared" si="112"/>
        <v>559.01</v>
      </c>
      <c r="AC120" s="642">
        <f t="shared" si="112"/>
        <v>0</v>
      </c>
      <c r="AD120" s="642">
        <f t="shared" si="112"/>
        <v>3365.5619999999999</v>
      </c>
      <c r="AE120" s="642">
        <f t="shared" si="112"/>
        <v>0</v>
      </c>
      <c r="AF120" s="642"/>
      <c r="AG120" s="636"/>
    </row>
    <row r="121" spans="1:33" s="637" customFormat="1" x14ac:dyDescent="0.3">
      <c r="A121" s="654" t="s">
        <v>170</v>
      </c>
      <c r="B121" s="642">
        <f t="shared" si="108"/>
        <v>1715</v>
      </c>
      <c r="C121" s="642">
        <f>C30+C37+C44+C50+C66+C72+C78+C84+C92+C98+C104</f>
        <v>0</v>
      </c>
      <c r="D121" s="642">
        <f>D30+D37+D44+D50+D66+D72+D78+D84+D92+D98+D104</f>
        <v>0</v>
      </c>
      <c r="E121" s="642">
        <f>E30+E37+E44+E50+E66+E72+E78+E84+E92+E98+E104</f>
        <v>0</v>
      </c>
      <c r="F121" s="642">
        <f t="shared" si="90"/>
        <v>0</v>
      </c>
      <c r="G121" s="642">
        <f t="shared" si="91"/>
        <v>0</v>
      </c>
      <c r="H121" s="642">
        <f>H30+H37+H44+H50+H66+H72+H78+H84+H92+H98+H104+H57</f>
        <v>0</v>
      </c>
      <c r="I121" s="642">
        <f t="shared" ref="I121:AE121" si="113">I30+I37+I44+I50+I66+I72+I78+I84+I92+I98+I104+I57</f>
        <v>0</v>
      </c>
      <c r="J121" s="642">
        <f t="shared" si="113"/>
        <v>0</v>
      </c>
      <c r="K121" s="642">
        <f t="shared" si="113"/>
        <v>0</v>
      </c>
      <c r="L121" s="642">
        <f t="shared" si="113"/>
        <v>765</v>
      </c>
      <c r="M121" s="642">
        <f t="shared" si="113"/>
        <v>0</v>
      </c>
      <c r="N121" s="642">
        <f t="shared" si="113"/>
        <v>0</v>
      </c>
      <c r="O121" s="642">
        <f t="shared" si="113"/>
        <v>0</v>
      </c>
      <c r="P121" s="642">
        <f t="shared" si="113"/>
        <v>0</v>
      </c>
      <c r="Q121" s="642">
        <f t="shared" si="113"/>
        <v>0</v>
      </c>
      <c r="R121" s="642">
        <f t="shared" si="113"/>
        <v>0</v>
      </c>
      <c r="S121" s="642">
        <f t="shared" si="113"/>
        <v>0</v>
      </c>
      <c r="T121" s="642">
        <f t="shared" si="113"/>
        <v>0</v>
      </c>
      <c r="U121" s="642">
        <f t="shared" si="113"/>
        <v>0</v>
      </c>
      <c r="V121" s="642">
        <f t="shared" si="113"/>
        <v>0</v>
      </c>
      <c r="W121" s="642">
        <f t="shared" si="113"/>
        <v>0</v>
      </c>
      <c r="X121" s="642">
        <f t="shared" si="113"/>
        <v>0</v>
      </c>
      <c r="Y121" s="642">
        <f t="shared" si="113"/>
        <v>0</v>
      </c>
      <c r="Z121" s="642">
        <f t="shared" si="113"/>
        <v>0</v>
      </c>
      <c r="AA121" s="642">
        <f t="shared" si="113"/>
        <v>0</v>
      </c>
      <c r="AB121" s="642">
        <f t="shared" si="113"/>
        <v>0</v>
      </c>
      <c r="AC121" s="642">
        <f t="shared" si="113"/>
        <v>0</v>
      </c>
      <c r="AD121" s="642">
        <f t="shared" si="113"/>
        <v>950</v>
      </c>
      <c r="AE121" s="642">
        <f t="shared" si="113"/>
        <v>0</v>
      </c>
      <c r="AF121" s="642"/>
      <c r="AG121" s="636">
        <f t="shared" si="74"/>
        <v>0</v>
      </c>
    </row>
    <row r="122" spans="1:33" hidden="1" x14ac:dyDescent="0.3">
      <c r="B122" s="156">
        <f t="shared" ref="B122:E125" si="114">B105-B111-B116</f>
        <v>0</v>
      </c>
      <c r="C122" s="156">
        <f t="shared" si="114"/>
        <v>0</v>
      </c>
      <c r="D122" s="156">
        <f t="shared" si="114"/>
        <v>0</v>
      </c>
      <c r="E122" s="156">
        <f t="shared" si="114"/>
        <v>0</v>
      </c>
      <c r="F122" s="156"/>
      <c r="G122" s="156"/>
      <c r="H122" s="156">
        <f t="shared" ref="H122:AE122" si="115">H105-H111-H116</f>
        <v>0</v>
      </c>
      <c r="I122" s="156">
        <f t="shared" si="115"/>
        <v>0</v>
      </c>
      <c r="J122" s="156">
        <f t="shared" si="115"/>
        <v>0</v>
      </c>
      <c r="K122" s="156">
        <f t="shared" si="115"/>
        <v>0</v>
      </c>
      <c r="L122" s="156">
        <f t="shared" si="115"/>
        <v>0</v>
      </c>
      <c r="M122" s="156">
        <f t="shared" si="115"/>
        <v>0</v>
      </c>
      <c r="N122" s="156">
        <f t="shared" si="115"/>
        <v>0</v>
      </c>
      <c r="O122" s="156">
        <f t="shared" si="115"/>
        <v>0</v>
      </c>
      <c r="P122" s="156">
        <f t="shared" si="115"/>
        <v>0</v>
      </c>
      <c r="Q122" s="156">
        <f t="shared" si="115"/>
        <v>0</v>
      </c>
      <c r="R122" s="156">
        <f t="shared" si="115"/>
        <v>0</v>
      </c>
      <c r="S122" s="156">
        <f t="shared" si="115"/>
        <v>0</v>
      </c>
      <c r="T122" s="156">
        <f t="shared" si="115"/>
        <v>0</v>
      </c>
      <c r="U122" s="156">
        <f t="shared" si="115"/>
        <v>0</v>
      </c>
      <c r="V122" s="156">
        <f t="shared" si="115"/>
        <v>0</v>
      </c>
      <c r="W122" s="156">
        <f t="shared" si="115"/>
        <v>0</v>
      </c>
      <c r="X122" s="156">
        <f t="shared" si="115"/>
        <v>0</v>
      </c>
      <c r="Y122" s="156">
        <f t="shared" si="115"/>
        <v>0</v>
      </c>
      <c r="Z122" s="156">
        <f t="shared" si="115"/>
        <v>0</v>
      </c>
      <c r="AA122" s="156">
        <f t="shared" si="115"/>
        <v>0</v>
      </c>
      <c r="AB122" s="156">
        <f t="shared" si="115"/>
        <v>0</v>
      </c>
      <c r="AC122" s="156">
        <f t="shared" si="115"/>
        <v>0</v>
      </c>
      <c r="AD122" s="156">
        <f t="shared" si="115"/>
        <v>0</v>
      </c>
      <c r="AE122" s="156">
        <f t="shared" si="115"/>
        <v>0</v>
      </c>
      <c r="AG122" s="102">
        <f t="shared" si="74"/>
        <v>0</v>
      </c>
    </row>
    <row r="123" spans="1:33" hidden="1" x14ac:dyDescent="0.3">
      <c r="A123" s="157" t="s">
        <v>169</v>
      </c>
      <c r="B123" s="156">
        <f t="shared" si="114"/>
        <v>0</v>
      </c>
      <c r="C123" s="156">
        <f t="shared" si="114"/>
        <v>0</v>
      </c>
      <c r="D123" s="156">
        <f t="shared" si="114"/>
        <v>0</v>
      </c>
      <c r="E123" s="156">
        <f t="shared" si="114"/>
        <v>0</v>
      </c>
      <c r="F123" s="156"/>
      <c r="G123" s="156"/>
      <c r="H123" s="156">
        <f t="shared" ref="H123:AE123" si="116">H106-H112-H117</f>
        <v>0</v>
      </c>
      <c r="I123" s="156">
        <f t="shared" si="116"/>
        <v>0</v>
      </c>
      <c r="J123" s="156">
        <f t="shared" si="116"/>
        <v>0</v>
      </c>
      <c r="K123" s="156">
        <f t="shared" si="116"/>
        <v>0</v>
      </c>
      <c r="L123" s="156">
        <f t="shared" si="116"/>
        <v>0</v>
      </c>
      <c r="M123" s="156">
        <f t="shared" si="116"/>
        <v>0</v>
      </c>
      <c r="N123" s="156">
        <f t="shared" si="116"/>
        <v>0</v>
      </c>
      <c r="O123" s="156">
        <f t="shared" si="116"/>
        <v>0</v>
      </c>
      <c r="P123" s="156">
        <f t="shared" si="116"/>
        <v>0</v>
      </c>
      <c r="Q123" s="156">
        <f t="shared" si="116"/>
        <v>0</v>
      </c>
      <c r="R123" s="156">
        <f t="shared" si="116"/>
        <v>0</v>
      </c>
      <c r="S123" s="156">
        <f t="shared" si="116"/>
        <v>0</v>
      </c>
      <c r="T123" s="156">
        <f t="shared" si="116"/>
        <v>0</v>
      </c>
      <c r="U123" s="156">
        <f t="shared" si="116"/>
        <v>0</v>
      </c>
      <c r="V123" s="156">
        <f t="shared" si="116"/>
        <v>0</v>
      </c>
      <c r="W123" s="156">
        <f t="shared" si="116"/>
        <v>0</v>
      </c>
      <c r="X123" s="156">
        <f t="shared" si="116"/>
        <v>0</v>
      </c>
      <c r="Y123" s="156">
        <f t="shared" si="116"/>
        <v>0</v>
      </c>
      <c r="Z123" s="156">
        <f t="shared" si="116"/>
        <v>0</v>
      </c>
      <c r="AA123" s="156">
        <f t="shared" si="116"/>
        <v>0</v>
      </c>
      <c r="AB123" s="156">
        <f t="shared" si="116"/>
        <v>0</v>
      </c>
      <c r="AC123" s="156">
        <f t="shared" si="116"/>
        <v>0</v>
      </c>
      <c r="AD123" s="156">
        <f t="shared" si="116"/>
        <v>0</v>
      </c>
      <c r="AE123" s="156">
        <f t="shared" si="116"/>
        <v>0</v>
      </c>
      <c r="AG123" s="102">
        <f t="shared" si="74"/>
        <v>0</v>
      </c>
    </row>
    <row r="124" spans="1:33" hidden="1" x14ac:dyDescent="0.3">
      <c r="A124" s="157" t="s">
        <v>32</v>
      </c>
      <c r="B124" s="156">
        <f t="shared" si="114"/>
        <v>0</v>
      </c>
      <c r="C124" s="156">
        <f t="shared" si="114"/>
        <v>0</v>
      </c>
      <c r="D124" s="156">
        <f t="shared" si="114"/>
        <v>0</v>
      </c>
      <c r="E124" s="156">
        <f t="shared" si="114"/>
        <v>0</v>
      </c>
      <c r="F124" s="156"/>
      <c r="G124" s="156"/>
      <c r="H124" s="156">
        <f t="shared" ref="H124:AE124" si="117">H107-H113-H118</f>
        <v>0</v>
      </c>
      <c r="I124" s="156">
        <f t="shared" si="117"/>
        <v>0</v>
      </c>
      <c r="J124" s="156">
        <f t="shared" si="117"/>
        <v>0</v>
      </c>
      <c r="K124" s="156">
        <f t="shared" si="117"/>
        <v>0</v>
      </c>
      <c r="L124" s="156">
        <f t="shared" si="117"/>
        <v>0</v>
      </c>
      <c r="M124" s="156">
        <f t="shared" si="117"/>
        <v>0</v>
      </c>
      <c r="N124" s="156">
        <f t="shared" si="117"/>
        <v>0</v>
      </c>
      <c r="O124" s="156">
        <f t="shared" si="117"/>
        <v>0</v>
      </c>
      <c r="P124" s="156">
        <f t="shared" si="117"/>
        <v>0</v>
      </c>
      <c r="Q124" s="156">
        <f t="shared" si="117"/>
        <v>0</v>
      </c>
      <c r="R124" s="156">
        <f t="shared" si="117"/>
        <v>0</v>
      </c>
      <c r="S124" s="156">
        <f t="shared" si="117"/>
        <v>0</v>
      </c>
      <c r="T124" s="156">
        <f t="shared" si="117"/>
        <v>0</v>
      </c>
      <c r="U124" s="156">
        <f t="shared" si="117"/>
        <v>0</v>
      </c>
      <c r="V124" s="156">
        <f t="shared" si="117"/>
        <v>0</v>
      </c>
      <c r="W124" s="156">
        <f t="shared" si="117"/>
        <v>0</v>
      </c>
      <c r="X124" s="156">
        <f t="shared" si="117"/>
        <v>0</v>
      </c>
      <c r="Y124" s="156">
        <f t="shared" si="117"/>
        <v>0</v>
      </c>
      <c r="Z124" s="156">
        <f t="shared" si="117"/>
        <v>0</v>
      </c>
      <c r="AA124" s="156">
        <f t="shared" si="117"/>
        <v>0</v>
      </c>
      <c r="AB124" s="156">
        <f t="shared" si="117"/>
        <v>0</v>
      </c>
      <c r="AC124" s="156">
        <f t="shared" si="117"/>
        <v>0</v>
      </c>
      <c r="AD124" s="156">
        <f t="shared" si="117"/>
        <v>0</v>
      </c>
      <c r="AE124" s="156">
        <f t="shared" si="117"/>
        <v>0</v>
      </c>
      <c r="AG124" s="102">
        <f t="shared" si="74"/>
        <v>0</v>
      </c>
    </row>
    <row r="125" spans="1:33" hidden="1" x14ac:dyDescent="0.3">
      <c r="A125" s="157" t="s">
        <v>33</v>
      </c>
      <c r="B125" s="156">
        <f t="shared" si="114"/>
        <v>0</v>
      </c>
      <c r="C125" s="156">
        <f t="shared" si="114"/>
        <v>0</v>
      </c>
      <c r="D125" s="156">
        <f t="shared" si="114"/>
        <v>0</v>
      </c>
      <c r="E125" s="156">
        <f t="shared" si="114"/>
        <v>0</v>
      </c>
      <c r="F125" s="156"/>
      <c r="G125" s="156"/>
      <c r="H125" s="156">
        <f t="shared" ref="H125:AE125" si="118">H108-H114-H119</f>
        <v>0</v>
      </c>
      <c r="I125" s="156">
        <f t="shared" si="118"/>
        <v>0</v>
      </c>
      <c r="J125" s="156">
        <f t="shared" si="118"/>
        <v>0</v>
      </c>
      <c r="K125" s="156">
        <f t="shared" si="118"/>
        <v>0</v>
      </c>
      <c r="L125" s="156">
        <f t="shared" si="118"/>
        <v>0</v>
      </c>
      <c r="M125" s="156">
        <f t="shared" si="118"/>
        <v>0</v>
      </c>
      <c r="N125" s="156">
        <f t="shared" si="118"/>
        <v>0</v>
      </c>
      <c r="O125" s="156">
        <f t="shared" si="118"/>
        <v>0</v>
      </c>
      <c r="P125" s="156">
        <f t="shared" si="118"/>
        <v>0</v>
      </c>
      <c r="Q125" s="156">
        <f t="shared" si="118"/>
        <v>0</v>
      </c>
      <c r="R125" s="156">
        <f t="shared" si="118"/>
        <v>0</v>
      </c>
      <c r="S125" s="156">
        <f t="shared" si="118"/>
        <v>0</v>
      </c>
      <c r="T125" s="156">
        <f t="shared" si="118"/>
        <v>0</v>
      </c>
      <c r="U125" s="156">
        <f t="shared" si="118"/>
        <v>0</v>
      </c>
      <c r="V125" s="156">
        <f t="shared" si="118"/>
        <v>0</v>
      </c>
      <c r="W125" s="156">
        <f t="shared" si="118"/>
        <v>0</v>
      </c>
      <c r="X125" s="156">
        <f t="shared" si="118"/>
        <v>0</v>
      </c>
      <c r="Y125" s="156">
        <f t="shared" si="118"/>
        <v>0</v>
      </c>
      <c r="Z125" s="156">
        <f t="shared" si="118"/>
        <v>0</v>
      </c>
      <c r="AA125" s="156">
        <f t="shared" si="118"/>
        <v>0</v>
      </c>
      <c r="AB125" s="156">
        <f t="shared" si="118"/>
        <v>0</v>
      </c>
      <c r="AC125" s="156">
        <f t="shared" si="118"/>
        <v>0</v>
      </c>
      <c r="AD125" s="156">
        <f t="shared" si="118"/>
        <v>0</v>
      </c>
      <c r="AE125" s="156">
        <f t="shared" si="118"/>
        <v>0</v>
      </c>
      <c r="AG125" s="102">
        <f t="shared" si="74"/>
        <v>0</v>
      </c>
    </row>
    <row r="126" spans="1:33" hidden="1" x14ac:dyDescent="0.3">
      <c r="A126" s="157" t="s">
        <v>170</v>
      </c>
      <c r="B126" s="156">
        <f>B110-B115-B121</f>
        <v>0</v>
      </c>
      <c r="C126" s="156">
        <f>C110-C115-C121</f>
        <v>0</v>
      </c>
      <c r="D126" s="156">
        <f>D110-D115-D121</f>
        <v>0</v>
      </c>
      <c r="E126" s="156">
        <f>E110-E115-E121</f>
        <v>0</v>
      </c>
      <c r="F126" s="156"/>
      <c r="G126" s="156"/>
      <c r="H126" s="156">
        <f t="shared" ref="H126:AE126" si="119">H110-H115-H121</f>
        <v>0</v>
      </c>
      <c r="I126" s="156">
        <f t="shared" si="119"/>
        <v>0</v>
      </c>
      <c r="J126" s="156">
        <f t="shared" si="119"/>
        <v>0</v>
      </c>
      <c r="K126" s="156">
        <f t="shared" si="119"/>
        <v>0</v>
      </c>
      <c r="L126" s="156">
        <f t="shared" si="119"/>
        <v>0</v>
      </c>
      <c r="M126" s="156">
        <f t="shared" si="119"/>
        <v>0</v>
      </c>
      <c r="N126" s="156">
        <f t="shared" si="119"/>
        <v>0</v>
      </c>
      <c r="O126" s="156">
        <f t="shared" si="119"/>
        <v>0</v>
      </c>
      <c r="P126" s="156">
        <f t="shared" si="119"/>
        <v>0</v>
      </c>
      <c r="Q126" s="156">
        <f t="shared" si="119"/>
        <v>0</v>
      </c>
      <c r="R126" s="156">
        <f t="shared" si="119"/>
        <v>0</v>
      </c>
      <c r="S126" s="156">
        <f t="shared" si="119"/>
        <v>0</v>
      </c>
      <c r="T126" s="156">
        <f t="shared" si="119"/>
        <v>0</v>
      </c>
      <c r="U126" s="156">
        <f t="shared" si="119"/>
        <v>0</v>
      </c>
      <c r="V126" s="156">
        <f t="shared" si="119"/>
        <v>0</v>
      </c>
      <c r="W126" s="156">
        <f t="shared" si="119"/>
        <v>0</v>
      </c>
      <c r="X126" s="156">
        <f t="shared" si="119"/>
        <v>0</v>
      </c>
      <c r="Y126" s="156">
        <f t="shared" si="119"/>
        <v>0</v>
      </c>
      <c r="Z126" s="156">
        <f t="shared" si="119"/>
        <v>0</v>
      </c>
      <c r="AA126" s="156">
        <f t="shared" si="119"/>
        <v>0</v>
      </c>
      <c r="AB126" s="156">
        <f t="shared" si="119"/>
        <v>0</v>
      </c>
      <c r="AC126" s="156">
        <f t="shared" si="119"/>
        <v>0</v>
      </c>
      <c r="AD126" s="156">
        <f t="shared" si="119"/>
        <v>0</v>
      </c>
      <c r="AE126" s="156">
        <f t="shared" si="119"/>
        <v>0</v>
      </c>
      <c r="AG126" s="102">
        <f t="shared" si="74"/>
        <v>0</v>
      </c>
    </row>
    <row r="127" spans="1:33" hidden="1" x14ac:dyDescent="0.3"/>
    <row r="128" spans="1:33" x14ac:dyDescent="0.3">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row>
    <row r="129" spans="1:31" x14ac:dyDescent="0.3">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row>
    <row r="130" spans="1:31" x14ac:dyDescent="0.3">
      <c r="B130" s="743"/>
      <c r="C130" s="743"/>
      <c r="D130" s="743"/>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row>
    <row r="131" spans="1:31" ht="47.25" x14ac:dyDescent="0.3">
      <c r="A131" s="745" t="s">
        <v>556</v>
      </c>
      <c r="B131" s="746" t="s">
        <v>486</v>
      </c>
      <c r="C131" s="746" t="s">
        <v>70</v>
      </c>
      <c r="D131" s="750" t="s">
        <v>550</v>
      </c>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row>
    <row r="132" spans="1:31" x14ac:dyDescent="0.3">
      <c r="A132" s="747"/>
      <c r="B132" s="748"/>
      <c r="C132" s="748"/>
      <c r="D132" s="744"/>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row>
    <row r="133" spans="1:31" ht="31.5" x14ac:dyDescent="0.3">
      <c r="A133" s="745" t="s">
        <v>557</v>
      </c>
      <c r="B133" s="749"/>
      <c r="C133" s="749"/>
      <c r="D133" s="743"/>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row>
    <row r="134" spans="1:31" x14ac:dyDescent="0.3">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row>
    <row r="135" spans="1:31" x14ac:dyDescent="0.3">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row>
  </sheetData>
  <customSheetViews>
    <customSheetView guid="{533DC55B-6AD4-4674-9488-685EF2039F3E}" scale="60" hiddenRows="1" hiddenColumns="1">
      <pane xSplit="2" ySplit="11" topLeftCell="C12" activePane="bottomRight" state="frozen"/>
      <selection pane="bottomRight" activeCell="A109" sqref="A109"/>
      <pageMargins left="0.7" right="0.7" top="0.75" bottom="0.75" header="0.3" footer="0.3"/>
    </customSheetView>
    <customSheetView guid="{85F4575B-DBC5-482A-9916-255D8F0BC94E}" scale="60" hiddenRows="1" hiddenColumns="1">
      <pane xSplit="2" ySplit="11" topLeftCell="C12" activePane="bottomRight" state="frozen"/>
      <selection pane="bottomRight" activeCell="A109" sqref="A109"/>
      <pageMargins left="0.7" right="0.7" top="0.75" bottom="0.75" header="0.3" footer="0.3"/>
    </customSheetView>
    <customSheetView guid="{B1BF08D1-D416-4B47-ADD0-4F59132DC9E8}" scale="60" hiddenRows="1" hiddenColumns="1">
      <pane xSplit="2" ySplit="11" topLeftCell="C12" activePane="bottomRight" state="frozen"/>
      <selection pane="bottomRight" activeCell="A109" sqref="A109"/>
      <pageMargins left="0.7" right="0.7" top="0.75" bottom="0.75" header="0.3" footer="0.3"/>
    </customSheetView>
    <customSheetView guid="{4F41B9CC-959D-442C-80B0-1F0DB2C76D27}" scale="60" hiddenRows="1" hiddenColumns="1">
      <pane xSplit="2" ySplit="11" topLeftCell="C12" activePane="bottomRight" state="frozen"/>
      <selection pane="bottomRight" activeCell="A109" sqref="A109"/>
      <pageMargins left="0.7" right="0.7" top="0.75" bottom="0.75" header="0.3" footer="0.3"/>
    </customSheetView>
    <customSheetView guid="{602C8EDB-B9EF-4C85-B0D5-0558C3A0ABAB}" scale="60" hiddenRows="1" hiddenColumns="1">
      <pane xSplit="2" ySplit="11" topLeftCell="C12" activePane="bottomRight" state="frozen"/>
      <selection pane="bottomRight" activeCell="A109" sqref="A109"/>
      <pageMargins left="0.7" right="0.7" top="0.75" bottom="0.75" header="0.3" footer="0.3"/>
    </customSheetView>
    <customSheetView guid="{D01FA037-9AEC-4167-ADB8-2F327C01ECE6}" scale="60" hiddenRows="1" hiddenColumns="1">
      <pane xSplit="2" ySplit="11" topLeftCell="C100" activePane="bottomRight" state="frozen"/>
      <selection pane="bottomRight" activeCell="N135" sqref="N135"/>
      <pageMargins left="0.7" right="0.7" top="0.75" bottom="0.75" header="0.3" footer="0.3"/>
    </customSheetView>
    <customSheetView guid="{84867370-1F3E-4368-AF79-FBCE46FFFE92}" scale="60" hiddenRows="1" hiddenColumns="1">
      <pane xSplit="2" ySplit="11" topLeftCell="C100" activePane="bottomRight" state="frozen"/>
      <selection pane="bottomRight" activeCell="N135" sqref="N135"/>
      <pageMargins left="0.7" right="0.7" top="0.75" bottom="0.75" header="0.3" footer="0.3"/>
    </customSheetView>
    <customSheetView guid="{0C2B9C2A-7B94-41EF-A2E6-F8AC9A67DE25}" scale="60" hiddenRows="1" hiddenColumns="1">
      <pane xSplit="2" ySplit="11" topLeftCell="C100" activePane="bottomRight" state="frozen"/>
      <selection pane="bottomRight" activeCell="N135" sqref="N135"/>
      <pageMargins left="0.7" right="0.7" top="0.75" bottom="0.75" header="0.3" footer="0.3"/>
    </customSheetView>
    <customSheetView guid="{47B983AB-FE5F-4725-860C-A2F29420596D}" scale="60" hiddenRows="1" hiddenColumns="1">
      <pane xSplit="2" ySplit="11" topLeftCell="C100" activePane="bottomRight" state="frozen"/>
      <selection pane="bottomRight" activeCell="N135" sqref="N135"/>
      <pageMargins left="0.7" right="0.7" top="0.75" bottom="0.75" header="0.3" footer="0.3"/>
    </customSheetView>
    <customSheetView guid="{DAA8A688-7558-4B5B-8DBD-E2629BD9E9A8}" scale="70">
      <pane xSplit="2" ySplit="11" topLeftCell="C12" activePane="bottomRight" state="frozen"/>
      <selection pane="bottomRight" activeCell="O30" sqref="O30"/>
      <pageMargins left="0.7" right="0.7" top="0.75" bottom="0.75" header="0.3" footer="0.3"/>
    </customSheetView>
    <customSheetView guid="{BCD82A82-B724-4763-8580-D765356E09BA}" scale="70">
      <pane xSplit="2" ySplit="11" topLeftCell="C12" activePane="bottomRight" state="frozen"/>
      <selection pane="bottomRight" activeCell="O30" sqref="O30"/>
      <pageMargins left="0.7" right="0.7" top="0.75" bottom="0.75" header="0.3" footer="0.3"/>
    </customSheetView>
    <customSheetView guid="{C236B307-BD63-48C4-A75F-B3F3717BF55C}" scale="70">
      <pane xSplit="2" ySplit="11" topLeftCell="C12" activePane="bottomRight" state="frozen"/>
      <selection pane="bottomRight" activeCell="O30" sqref="O30"/>
      <pageMargins left="0.7" right="0.7" top="0.75" bottom="0.75" header="0.3" footer="0.3"/>
    </customSheetView>
    <customSheetView guid="{87218168-6C8E-4D5B-A5E5-DCCC26803AA3}" scale="70">
      <pane xSplit="2" ySplit="11" topLeftCell="C12" activePane="bottomRight" state="frozen"/>
      <selection pane="bottomRight" activeCell="O30" sqref="O30"/>
      <pageMargins left="0.7" right="0.7" top="0.75" bottom="0.75" header="0.3" footer="0.3"/>
    </customSheetView>
    <customSheetView guid="{874882D1-E741-4CCA-BF0D-E72FA60B771D}" scale="70">
      <pane xSplit="2" ySplit="11" topLeftCell="C12" activePane="bottomRight" state="frozen"/>
      <selection pane="bottomRight" activeCell="O30" sqref="O30"/>
      <pageMargins left="0.7" right="0.7" top="0.75" bottom="0.75" header="0.3" footer="0.3"/>
    </customSheetView>
    <customSheetView guid="{B82BA08A-1A30-4F4D-A478-74A6BD09EA97}" scale="70">
      <pane xSplit="2" ySplit="11" topLeftCell="C12" activePane="bottomRight" state="frozen"/>
      <selection pane="bottomRight" activeCell="O30" sqref="O30"/>
      <pageMargins left="0.7" right="0.7" top="0.75" bottom="0.75" header="0.3" footer="0.3"/>
    </customSheetView>
    <customSheetView guid="{4D0DFB57-2CBA-42F2-9A97-C453A6851FBA}" scale="60" hiddenRows="1" hiddenColumns="1">
      <pane xSplit="2" ySplit="11" topLeftCell="C100" activePane="bottomRight" state="frozen"/>
      <selection pane="bottomRight" activeCell="N135" sqref="N135"/>
      <pageMargins left="0.7" right="0.7" top="0.75" bottom="0.75" header="0.3" footer="0.3"/>
    </customSheetView>
    <customSheetView guid="{770624BF-07F3-44B6-94C3-4CC447CDD45C}" scale="60" hiddenRows="1" hiddenColumns="1">
      <pane xSplit="2" ySplit="11" topLeftCell="C100" activePane="bottomRight" state="frozen"/>
      <selection pane="bottomRight" activeCell="N135" sqref="N135"/>
      <pageMargins left="0.7" right="0.7" top="0.75" bottom="0.75" header="0.3" footer="0.3"/>
    </customSheetView>
    <customSheetView guid="{E508E171-4ED9-4B07-84DF-DA28C60E1969}" scale="60" hiddenRows="1" hiddenColumns="1">
      <pane xSplit="2" ySplit="11" topLeftCell="C100" activePane="bottomRight" state="frozen"/>
      <selection pane="bottomRight" activeCell="N135" sqref="N135"/>
      <pageMargins left="0.7" right="0.7" top="0.75" bottom="0.75" header="0.3" footer="0.3"/>
    </customSheetView>
    <customSheetView guid="{74870EE6-26B9-40F7-9DC9-260EF16D8959}" scale="60" hiddenRows="1" hiddenColumns="1">
      <pane xSplit="2" ySplit="11" topLeftCell="C100" activePane="bottomRight" state="frozen"/>
      <selection pane="bottomRight" activeCell="N135" sqref="N135"/>
      <pageMargins left="0.7" right="0.7" top="0.75" bottom="0.75" header="0.3" footer="0.3"/>
    </customSheetView>
    <customSheetView guid="{009B3074-D8EC-4952-BF50-43CD64449612}" scale="60" hiddenRows="1" hiddenColumns="1">
      <pane xSplit="2" ySplit="11" topLeftCell="C100" activePane="bottomRight" state="frozen"/>
      <selection pane="bottomRight" activeCell="N135" sqref="N135"/>
      <pageMargins left="0.7" right="0.7" top="0.75" bottom="0.75" header="0.3" footer="0.3"/>
    </customSheetView>
    <customSheetView guid="{F679EF4A-C5FD-4B86-B87B-D85968E0F2CA}" scale="60" hiddenRows="1" hiddenColumns="1">
      <pane xSplit="2" ySplit="11" topLeftCell="C12" activePane="bottomRight" state="frozen"/>
      <selection pane="bottomRight" activeCell="A109" sqref="A109"/>
      <pageMargins left="0.7" right="0.7" top="0.75" bottom="0.75" header="0.3" footer="0.3"/>
    </customSheetView>
    <customSheetView guid="{959E901C-5DDE-42EE-AE94-AB8976B5E00B}" scale="60" hiddenRows="1" hiddenColumns="1">
      <pane xSplit="2" ySplit="11" topLeftCell="C12" activePane="bottomRight" state="frozen"/>
      <selection pane="bottomRight" activeCell="A109" sqref="A109"/>
      <pageMargins left="0.7" right="0.7" top="0.75" bottom="0.75" header="0.3" footer="0.3"/>
    </customSheetView>
    <customSheetView guid="{69DABE6F-6182-4403-A4A2-969F10F1C13A}" scale="60" hiddenRows="1" hiddenColumns="1">
      <pane xSplit="2" ySplit="11" topLeftCell="C12" activePane="bottomRight" state="frozen"/>
      <selection pane="bottomRight" activeCell="A109" sqref="A109"/>
      <pageMargins left="0.7" right="0.7" top="0.75" bottom="0.75" header="0.3" footer="0.3"/>
    </customSheetView>
    <customSheetView guid="{09C3E205-981E-4A4E-BE89-8B7044192060}" scale="60" hiddenRows="1" hiddenColumns="1">
      <pane xSplit="2" ySplit="11" topLeftCell="C12" activePane="bottomRight" state="frozen"/>
      <selection pane="bottomRight" activeCell="A109" sqref="A109"/>
      <pageMargins left="0.7" right="0.7" top="0.75" bottom="0.75" header="0.3" footer="0.3"/>
    </customSheetView>
    <customSheetView guid="{6A602CB8-B24C-4ED4-B378-B27354BE0A1A}" scale="60" hiddenRows="1" hiddenColumns="1">
      <pane xSplit="2" ySplit="11" topLeftCell="C12" activePane="bottomRight" state="frozen"/>
      <selection pane="bottomRight" activeCell="A109" sqref="A109"/>
      <pageMargins left="0.7" right="0.7" top="0.75" bottom="0.75" header="0.3" footer="0.3"/>
    </customSheetView>
    <customSheetView guid="{7C130984-112A-4861-AA43-E2940708E3DC}" scale="60" hiddenRows="1" hiddenColumns="1" state="hidden">
      <pane xSplit="2" ySplit="11" topLeftCell="C12" activePane="bottomRight" state="frozen"/>
      <selection pane="bottomRight" activeCell="A54" activeCellId="2" sqref="A17 A48 A54"/>
      <pageMargins left="0.7" right="0.7" top="0.75" bottom="0.75" header="0.3" footer="0.3"/>
    </customSheetView>
  </customSheetViews>
  <mergeCells count="20">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86:AF86"/>
    <mergeCell ref="A10:AF10"/>
    <mergeCell ref="A23:AF23"/>
    <mergeCell ref="A59:AF59"/>
    <mergeCell ref="AF6:AF7"/>
  </mergeCells>
  <hyperlinks>
    <hyperlink ref="A4:AF4" location="Оглавление!A1" display="Комплексный план (сетевой график) по реализации муниципальной программы  &quot;Развитие жилищной сферы в городе Когалыме&quot;"/>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2"/>
  <sheetViews>
    <sheetView zoomScale="70" zoomScaleNormal="70" workbookViewId="0">
      <pane xSplit="1" ySplit="10" topLeftCell="J11" activePane="bottomRight" state="frozen"/>
      <selection activeCell="A54" activeCellId="2" sqref="A17 A48 A54"/>
      <selection pane="topRight" activeCell="A54" activeCellId="2" sqref="A17 A48 A54"/>
      <selection pane="bottomLeft" activeCell="A54" activeCellId="2" sqref="A17 A48 A54"/>
      <selection pane="bottomRight" activeCell="A54" activeCellId="2" sqref="A17 A48 A54"/>
    </sheetView>
  </sheetViews>
  <sheetFormatPr defaultColWidth="9.140625" defaultRowHeight="15" x14ac:dyDescent="0.25"/>
  <cols>
    <col min="1" max="1" width="55.42578125" style="505" customWidth="1"/>
    <col min="2" max="2" width="18" style="441" customWidth="1"/>
    <col min="3" max="3" width="14.7109375" style="441" customWidth="1"/>
    <col min="4" max="4" width="17.140625" style="441" customWidth="1"/>
    <col min="5" max="5" width="17.85546875" style="441" customWidth="1"/>
    <col min="6" max="6" width="16.28515625" style="441" customWidth="1"/>
    <col min="7" max="7" width="16" style="441" customWidth="1"/>
    <col min="8" max="11" width="13" style="441" customWidth="1"/>
    <col min="12" max="31" width="11.5703125" style="441" customWidth="1"/>
    <col min="32" max="32" width="37.85546875" style="441" customWidth="1"/>
    <col min="33" max="16384" width="9.140625" style="441"/>
  </cols>
  <sheetData>
    <row r="1" spans="1:33" ht="20.25" x14ac:dyDescent="0.25">
      <c r="A1" s="434"/>
      <c r="B1" s="435"/>
      <c r="C1" s="435"/>
      <c r="D1" s="435"/>
      <c r="E1" s="435"/>
      <c r="F1" s="435"/>
      <c r="G1" s="435"/>
      <c r="H1" s="436"/>
      <c r="I1" s="436"/>
      <c r="J1" s="437"/>
      <c r="K1" s="436"/>
      <c r="L1" s="436"/>
      <c r="M1" s="437"/>
      <c r="N1" s="436"/>
      <c r="O1" s="436"/>
      <c r="P1" s="437"/>
      <c r="Q1" s="436"/>
      <c r="R1" s="436"/>
      <c r="S1" s="436"/>
      <c r="T1" s="438"/>
      <c r="U1" s="438"/>
      <c r="V1" s="438"/>
      <c r="W1" s="438"/>
      <c r="X1" s="438"/>
      <c r="Y1" s="438"/>
      <c r="Z1" s="438"/>
      <c r="AA1" s="438"/>
      <c r="AB1" s="439"/>
      <c r="AC1" s="439"/>
      <c r="AD1" s="439"/>
      <c r="AE1" s="436"/>
      <c r="AF1" s="440"/>
    </row>
    <row r="2" spans="1:33" ht="20.25" x14ac:dyDescent="0.25">
      <c r="A2" s="952" t="s">
        <v>0</v>
      </c>
      <c r="B2" s="952"/>
      <c r="C2" s="952"/>
      <c r="D2" s="952"/>
      <c r="E2" s="952"/>
      <c r="F2" s="952"/>
      <c r="G2" s="952"/>
      <c r="H2" s="952"/>
      <c r="I2" s="952"/>
      <c r="J2" s="952"/>
      <c r="K2" s="952"/>
      <c r="L2" s="952"/>
      <c r="M2" s="952"/>
      <c r="N2" s="952"/>
      <c r="O2" s="952"/>
      <c r="P2" s="952"/>
      <c r="Q2" s="952"/>
      <c r="R2" s="442"/>
      <c r="S2" s="442"/>
      <c r="T2" s="442"/>
      <c r="U2" s="442"/>
      <c r="V2" s="442"/>
      <c r="W2" s="442"/>
      <c r="X2" s="442"/>
      <c r="Y2" s="442"/>
      <c r="Z2" s="442"/>
      <c r="AA2" s="442"/>
      <c r="AB2" s="442"/>
      <c r="AC2" s="442"/>
      <c r="AD2" s="442"/>
      <c r="AE2" s="442"/>
      <c r="AF2" s="442"/>
    </row>
    <row r="3" spans="1:33" ht="30.75" customHeight="1" x14ac:dyDescent="0.25">
      <c r="A3" s="889" t="s">
        <v>348</v>
      </c>
      <c r="B3" s="889"/>
      <c r="C3" s="889"/>
      <c r="D3" s="889"/>
      <c r="E3" s="889"/>
      <c r="F3" s="889"/>
      <c r="G3" s="889"/>
      <c r="H3" s="889"/>
      <c r="I3" s="889"/>
      <c r="J3" s="889"/>
      <c r="K3" s="889"/>
      <c r="L3" s="889"/>
      <c r="M3" s="889"/>
      <c r="N3" s="889"/>
      <c r="O3" s="889"/>
      <c r="P3" s="889"/>
      <c r="Q3" s="889"/>
      <c r="R3" s="443"/>
      <c r="S3" s="443"/>
      <c r="T3" s="443"/>
      <c r="U3" s="443"/>
      <c r="V3" s="443"/>
      <c r="W3" s="443"/>
      <c r="X3" s="443"/>
      <c r="Y3" s="443"/>
      <c r="Z3" s="443"/>
      <c r="AA3" s="443"/>
      <c r="AB3" s="444"/>
      <c r="AC3" s="445"/>
      <c r="AD3" s="445"/>
      <c r="AE3" s="444" t="s">
        <v>1</v>
      </c>
      <c r="AF3" s="445"/>
    </row>
    <row r="4" spans="1:33" x14ac:dyDescent="0.25">
      <c r="A4" s="953" t="s">
        <v>2</v>
      </c>
      <c r="B4" s="956" t="s">
        <v>3</v>
      </c>
      <c r="C4" s="956" t="s">
        <v>3</v>
      </c>
      <c r="D4" s="956" t="s">
        <v>4</v>
      </c>
      <c r="E4" s="956" t="s">
        <v>5</v>
      </c>
      <c r="F4" s="932" t="s">
        <v>6</v>
      </c>
      <c r="G4" s="933"/>
      <c r="H4" s="932" t="s">
        <v>7</v>
      </c>
      <c r="I4" s="933"/>
      <c r="J4" s="932" t="s">
        <v>8</v>
      </c>
      <c r="K4" s="933"/>
      <c r="L4" s="932" t="s">
        <v>9</v>
      </c>
      <c r="M4" s="933"/>
      <c r="N4" s="932" t="s">
        <v>10</v>
      </c>
      <c r="O4" s="933"/>
      <c r="P4" s="932" t="s">
        <v>11</v>
      </c>
      <c r="Q4" s="933"/>
      <c r="R4" s="932" t="s">
        <v>12</v>
      </c>
      <c r="S4" s="933"/>
      <c r="T4" s="932" t="s">
        <v>13</v>
      </c>
      <c r="U4" s="933"/>
      <c r="V4" s="932" t="s">
        <v>14</v>
      </c>
      <c r="W4" s="933"/>
      <c r="X4" s="932" t="s">
        <v>15</v>
      </c>
      <c r="Y4" s="933"/>
      <c r="Z4" s="932" t="s">
        <v>16</v>
      </c>
      <c r="AA4" s="933"/>
      <c r="AB4" s="932" t="s">
        <v>17</v>
      </c>
      <c r="AC4" s="933"/>
      <c r="AD4" s="932" t="s">
        <v>18</v>
      </c>
      <c r="AE4" s="933"/>
      <c r="AF4" s="940" t="s">
        <v>19</v>
      </c>
    </row>
    <row r="5" spans="1:33" ht="21" customHeight="1" x14ac:dyDescent="0.25">
      <c r="A5" s="954"/>
      <c r="B5" s="957"/>
      <c r="C5" s="957"/>
      <c r="D5" s="957"/>
      <c r="E5" s="957"/>
      <c r="F5" s="934"/>
      <c r="G5" s="935"/>
      <c r="H5" s="934"/>
      <c r="I5" s="935"/>
      <c r="J5" s="934"/>
      <c r="K5" s="935"/>
      <c r="L5" s="934"/>
      <c r="M5" s="935"/>
      <c r="N5" s="934"/>
      <c r="O5" s="935"/>
      <c r="P5" s="934"/>
      <c r="Q5" s="935"/>
      <c r="R5" s="934"/>
      <c r="S5" s="935"/>
      <c r="T5" s="934"/>
      <c r="U5" s="935"/>
      <c r="V5" s="934"/>
      <c r="W5" s="935"/>
      <c r="X5" s="934"/>
      <c r="Y5" s="935"/>
      <c r="Z5" s="934"/>
      <c r="AA5" s="935"/>
      <c r="AB5" s="934"/>
      <c r="AC5" s="935"/>
      <c r="AD5" s="934"/>
      <c r="AE5" s="935"/>
      <c r="AF5" s="941"/>
    </row>
    <row r="6" spans="1:33" ht="56.25" x14ac:dyDescent="0.25">
      <c r="A6" s="955"/>
      <c r="B6" s="446">
        <v>2024</v>
      </c>
      <c r="C6" s="506">
        <v>45383</v>
      </c>
      <c r="D6" s="447">
        <f>C6</f>
        <v>45383</v>
      </c>
      <c r="E6" s="447">
        <f>C6</f>
        <v>45383</v>
      </c>
      <c r="F6" s="448" t="s">
        <v>20</v>
      </c>
      <c r="G6" s="448" t="s">
        <v>21</v>
      </c>
      <c r="H6" s="448" t="s">
        <v>22</v>
      </c>
      <c r="I6" s="448" t="s">
        <v>23</v>
      </c>
      <c r="J6" s="448" t="s">
        <v>22</v>
      </c>
      <c r="K6" s="448" t="s">
        <v>23</v>
      </c>
      <c r="L6" s="448" t="s">
        <v>22</v>
      </c>
      <c r="M6" s="448" t="s">
        <v>23</v>
      </c>
      <c r="N6" s="448" t="s">
        <v>22</v>
      </c>
      <c r="O6" s="448" t="s">
        <v>23</v>
      </c>
      <c r="P6" s="448" t="s">
        <v>22</v>
      </c>
      <c r="Q6" s="448" t="s">
        <v>23</v>
      </c>
      <c r="R6" s="448" t="s">
        <v>22</v>
      </c>
      <c r="S6" s="448" t="s">
        <v>23</v>
      </c>
      <c r="T6" s="448" t="s">
        <v>22</v>
      </c>
      <c r="U6" s="448" t="s">
        <v>23</v>
      </c>
      <c r="V6" s="448" t="s">
        <v>22</v>
      </c>
      <c r="W6" s="448" t="s">
        <v>23</v>
      </c>
      <c r="X6" s="448" t="s">
        <v>22</v>
      </c>
      <c r="Y6" s="448" t="s">
        <v>23</v>
      </c>
      <c r="Z6" s="448" t="s">
        <v>22</v>
      </c>
      <c r="AA6" s="448" t="s">
        <v>23</v>
      </c>
      <c r="AB6" s="448" t="s">
        <v>22</v>
      </c>
      <c r="AC6" s="448" t="s">
        <v>23</v>
      </c>
      <c r="AD6" s="448" t="s">
        <v>22</v>
      </c>
      <c r="AE6" s="448" t="s">
        <v>23</v>
      </c>
      <c r="AF6" s="942"/>
    </row>
    <row r="7" spans="1:33" ht="18.75" x14ac:dyDescent="0.25">
      <c r="A7" s="449">
        <v>1</v>
      </c>
      <c r="B7" s="450">
        <v>2</v>
      </c>
      <c r="C7" s="450">
        <v>3</v>
      </c>
      <c r="D7" s="450">
        <v>4</v>
      </c>
      <c r="E7" s="450">
        <v>5</v>
      </c>
      <c r="F7" s="450">
        <v>6</v>
      </c>
      <c r="G7" s="450">
        <v>7</v>
      </c>
      <c r="H7" s="450">
        <v>8</v>
      </c>
      <c r="I7" s="450">
        <v>9</v>
      </c>
      <c r="J7" s="450">
        <v>10</v>
      </c>
      <c r="K7" s="450">
        <v>11</v>
      </c>
      <c r="L7" s="450">
        <v>12</v>
      </c>
      <c r="M7" s="450">
        <v>13</v>
      </c>
      <c r="N7" s="450">
        <v>14</v>
      </c>
      <c r="O7" s="450">
        <v>15</v>
      </c>
      <c r="P7" s="450">
        <v>16</v>
      </c>
      <c r="Q7" s="450">
        <v>17</v>
      </c>
      <c r="R7" s="450">
        <v>18</v>
      </c>
      <c r="S7" s="450">
        <v>19</v>
      </c>
      <c r="T7" s="450">
        <v>20</v>
      </c>
      <c r="U7" s="450">
        <v>21</v>
      </c>
      <c r="V7" s="450">
        <v>22</v>
      </c>
      <c r="W7" s="450">
        <v>23</v>
      </c>
      <c r="X7" s="450">
        <v>24</v>
      </c>
      <c r="Y7" s="450">
        <v>25</v>
      </c>
      <c r="Z7" s="450">
        <v>26</v>
      </c>
      <c r="AA7" s="450">
        <v>27</v>
      </c>
      <c r="AB7" s="450">
        <v>28</v>
      </c>
      <c r="AC7" s="450">
        <v>29</v>
      </c>
      <c r="AD7" s="450">
        <v>30</v>
      </c>
      <c r="AE7" s="450">
        <v>31</v>
      </c>
      <c r="AF7" s="450">
        <v>32</v>
      </c>
    </row>
    <row r="8" spans="1:33" ht="18.75" x14ac:dyDescent="0.25">
      <c r="A8" s="946" t="s">
        <v>349</v>
      </c>
      <c r="B8" s="947"/>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8"/>
      <c r="AF8" s="451"/>
    </row>
    <row r="9" spans="1:33" ht="18.75" x14ac:dyDescent="0.3">
      <c r="A9" s="452" t="s">
        <v>54</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4"/>
      <c r="AF9" s="455"/>
    </row>
    <row r="10" spans="1:33" ht="18.75" x14ac:dyDescent="0.25">
      <c r="A10" s="938" t="s">
        <v>350</v>
      </c>
      <c r="B10" s="936"/>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7"/>
      <c r="AF10" s="456"/>
    </row>
    <row r="11" spans="1:33" s="460" customFormat="1" ht="18.75" x14ac:dyDescent="0.3">
      <c r="A11" s="457" t="s">
        <v>31</v>
      </c>
      <c r="B11" s="458">
        <f>SUM(B12:B12)</f>
        <v>55430.306000000004</v>
      </c>
      <c r="C11" s="458">
        <f>SUM(C12:C12)</f>
        <v>15701.811</v>
      </c>
      <c r="D11" s="458">
        <f>SUM(D12:D12)</f>
        <v>13236.460999999999</v>
      </c>
      <c r="E11" s="458">
        <f>SUM(E12:E12)</f>
        <v>13236.460999999999</v>
      </c>
      <c r="F11" s="458">
        <f>IFERROR(E11/B11*100,0)</f>
        <v>23.879465864756362</v>
      </c>
      <c r="G11" s="458">
        <f>IFERROR(E11/C11*100,0)</f>
        <v>84.298944879670245</v>
      </c>
      <c r="H11" s="507">
        <f t="shared" ref="H11:AE11" si="0">SUM(H12:H12)</f>
        <v>7237.6039999999994</v>
      </c>
      <c r="I11" s="507">
        <f t="shared" si="0"/>
        <v>4175.2790000000005</v>
      </c>
      <c r="J11" s="507">
        <f t="shared" si="0"/>
        <v>4703.8770000000004</v>
      </c>
      <c r="K11" s="507">
        <f t="shared" si="0"/>
        <v>5381.9040000000005</v>
      </c>
      <c r="L11" s="507">
        <f t="shared" si="0"/>
        <v>3760.3300000000004</v>
      </c>
      <c r="M11" s="507">
        <f t="shared" si="0"/>
        <v>3679.2779999999998</v>
      </c>
      <c r="N11" s="507">
        <f t="shared" si="0"/>
        <v>5461.0169999999998</v>
      </c>
      <c r="O11" s="507">
        <f t="shared" si="0"/>
        <v>0</v>
      </c>
      <c r="P11" s="507">
        <f t="shared" si="0"/>
        <v>4261.335</v>
      </c>
      <c r="Q11" s="507">
        <f t="shared" si="0"/>
        <v>0</v>
      </c>
      <c r="R11" s="507">
        <f t="shared" si="0"/>
        <v>3739.8889999999997</v>
      </c>
      <c r="S11" s="507">
        <f t="shared" si="0"/>
        <v>0</v>
      </c>
      <c r="T11" s="507">
        <f t="shared" si="0"/>
        <v>5460.4080000000004</v>
      </c>
      <c r="U11" s="507">
        <f t="shared" si="0"/>
        <v>0</v>
      </c>
      <c r="V11" s="507">
        <f t="shared" si="0"/>
        <v>4302.0550000000003</v>
      </c>
      <c r="W11" s="507">
        <f t="shared" si="0"/>
        <v>0</v>
      </c>
      <c r="X11" s="507">
        <f t="shared" si="0"/>
        <v>3741.759</v>
      </c>
      <c r="Y11" s="507">
        <f t="shared" si="0"/>
        <v>0</v>
      </c>
      <c r="Z11" s="507">
        <f t="shared" si="0"/>
        <v>5458.6390000000001</v>
      </c>
      <c r="AA11" s="507">
        <f t="shared" si="0"/>
        <v>0</v>
      </c>
      <c r="AB11" s="507">
        <f t="shared" si="0"/>
        <v>4262.7449999999999</v>
      </c>
      <c r="AC11" s="507">
        <f t="shared" si="0"/>
        <v>0</v>
      </c>
      <c r="AD11" s="507">
        <f t="shared" si="0"/>
        <v>3040.6480000000001</v>
      </c>
      <c r="AE11" s="507">
        <f t="shared" si="0"/>
        <v>0</v>
      </c>
      <c r="AF11" s="459"/>
    </row>
    <row r="12" spans="1:33" ht="18.75" x14ac:dyDescent="0.3">
      <c r="A12" s="461" t="s">
        <v>33</v>
      </c>
      <c r="B12" s="462">
        <f>SUM(B15,B18,B21,B24,B27)</f>
        <v>55430.306000000004</v>
      </c>
      <c r="C12" s="462">
        <f>SUM(C15,C18,C21,C24,C27)</f>
        <v>15701.811</v>
      </c>
      <c r="D12" s="462">
        <f>SUM(D15,D18,D21,D24,D27)</f>
        <v>13236.460999999999</v>
      </c>
      <c r="E12" s="462">
        <f>SUM(E15,E18,E21,E24,E27)</f>
        <v>13236.460999999999</v>
      </c>
      <c r="F12" s="462">
        <f>IFERROR(E12/B12*100,0)</f>
        <v>23.879465864756362</v>
      </c>
      <c r="G12" s="462">
        <f>IFERROR(E12/C12*100,0)</f>
        <v>84.298944879670245</v>
      </c>
      <c r="H12" s="508">
        <f t="shared" ref="H12:AE12" si="1">SUM(H15,H18,H21,H24,H27)</f>
        <v>7237.6039999999994</v>
      </c>
      <c r="I12" s="508">
        <f t="shared" si="1"/>
        <v>4175.2790000000005</v>
      </c>
      <c r="J12" s="508">
        <f t="shared" si="1"/>
        <v>4703.8770000000004</v>
      </c>
      <c r="K12" s="508">
        <f t="shared" si="1"/>
        <v>5381.9040000000005</v>
      </c>
      <c r="L12" s="508">
        <f t="shared" si="1"/>
        <v>3760.3300000000004</v>
      </c>
      <c r="M12" s="508">
        <f t="shared" si="1"/>
        <v>3679.2779999999998</v>
      </c>
      <c r="N12" s="508">
        <f t="shared" si="1"/>
        <v>5461.0169999999998</v>
      </c>
      <c r="O12" s="508">
        <f t="shared" si="1"/>
        <v>0</v>
      </c>
      <c r="P12" s="508">
        <f t="shared" si="1"/>
        <v>4261.335</v>
      </c>
      <c r="Q12" s="508">
        <f t="shared" si="1"/>
        <v>0</v>
      </c>
      <c r="R12" s="508">
        <f t="shared" si="1"/>
        <v>3739.8889999999997</v>
      </c>
      <c r="S12" s="508">
        <f t="shared" si="1"/>
        <v>0</v>
      </c>
      <c r="T12" s="508">
        <f t="shared" si="1"/>
        <v>5460.4080000000004</v>
      </c>
      <c r="U12" s="508">
        <f t="shared" si="1"/>
        <v>0</v>
      </c>
      <c r="V12" s="508">
        <f t="shared" si="1"/>
        <v>4302.0550000000003</v>
      </c>
      <c r="W12" s="508">
        <f t="shared" si="1"/>
        <v>0</v>
      </c>
      <c r="X12" s="508">
        <f t="shared" si="1"/>
        <v>3741.759</v>
      </c>
      <c r="Y12" s="508">
        <f t="shared" si="1"/>
        <v>0</v>
      </c>
      <c r="Z12" s="508">
        <f t="shared" si="1"/>
        <v>5458.6390000000001</v>
      </c>
      <c r="AA12" s="508">
        <f t="shared" si="1"/>
        <v>0</v>
      </c>
      <c r="AB12" s="508">
        <f t="shared" si="1"/>
        <v>4262.7449999999999</v>
      </c>
      <c r="AC12" s="508">
        <f t="shared" si="1"/>
        <v>0</v>
      </c>
      <c r="AD12" s="508">
        <f t="shared" si="1"/>
        <v>3040.6480000000001</v>
      </c>
      <c r="AE12" s="508">
        <f t="shared" si="1"/>
        <v>0</v>
      </c>
      <c r="AF12" s="456"/>
    </row>
    <row r="13" spans="1:33" ht="18.75" x14ac:dyDescent="0.25">
      <c r="A13" s="938" t="s">
        <v>351</v>
      </c>
      <c r="B13" s="936"/>
      <c r="C13" s="936"/>
      <c r="D13" s="936"/>
      <c r="E13" s="936"/>
      <c r="F13" s="936"/>
      <c r="G13" s="936"/>
      <c r="H13" s="936"/>
      <c r="I13" s="936"/>
      <c r="J13" s="936"/>
      <c r="K13" s="936"/>
      <c r="L13" s="936"/>
      <c r="M13" s="936"/>
      <c r="N13" s="936"/>
      <c r="O13" s="936"/>
      <c r="P13" s="936"/>
      <c r="Q13" s="936"/>
      <c r="R13" s="936"/>
      <c r="S13" s="936"/>
      <c r="T13" s="936"/>
      <c r="U13" s="936"/>
      <c r="V13" s="936"/>
      <c r="W13" s="936"/>
      <c r="X13" s="936"/>
      <c r="Y13" s="936"/>
      <c r="Z13" s="936"/>
      <c r="AA13" s="936"/>
      <c r="AB13" s="936"/>
      <c r="AC13" s="936"/>
      <c r="AD13" s="936"/>
      <c r="AE13" s="937"/>
      <c r="AF13" s="463"/>
    </row>
    <row r="14" spans="1:33" s="460" customFormat="1" ht="18.75" x14ac:dyDescent="0.3">
      <c r="A14" s="457" t="s">
        <v>31</v>
      </c>
      <c r="B14" s="458">
        <f>SUM(B15:B15)</f>
        <v>115</v>
      </c>
      <c r="C14" s="458">
        <f>SUM(C15:C15)</f>
        <v>19.5</v>
      </c>
      <c r="D14" s="458">
        <f>SUM(D15:D15)</f>
        <v>0</v>
      </c>
      <c r="E14" s="458">
        <f>SUM(E15:E15)</f>
        <v>0</v>
      </c>
      <c r="F14" s="458">
        <f>IFERROR(E14/B14*100,0)</f>
        <v>0</v>
      </c>
      <c r="G14" s="458">
        <f>IFERROR(E14/C14*100,0)</f>
        <v>0</v>
      </c>
      <c r="H14" s="507">
        <f t="shared" ref="H14:AE14" si="2">SUM(H15:H15)</f>
        <v>0</v>
      </c>
      <c r="I14" s="507">
        <f t="shared" si="2"/>
        <v>0</v>
      </c>
      <c r="J14" s="507">
        <f t="shared" si="2"/>
        <v>0</v>
      </c>
      <c r="K14" s="507">
        <f t="shared" si="2"/>
        <v>0</v>
      </c>
      <c r="L14" s="507">
        <f t="shared" si="2"/>
        <v>19.5</v>
      </c>
      <c r="M14" s="507">
        <f t="shared" si="2"/>
        <v>0</v>
      </c>
      <c r="N14" s="507">
        <f t="shared" si="2"/>
        <v>9.2799999999999994</v>
      </c>
      <c r="O14" s="507">
        <f t="shared" si="2"/>
        <v>0</v>
      </c>
      <c r="P14" s="507">
        <f t="shared" si="2"/>
        <v>11.35</v>
      </c>
      <c r="Q14" s="507">
        <f t="shared" si="2"/>
        <v>0</v>
      </c>
      <c r="R14" s="507">
        <f t="shared" si="2"/>
        <v>9.86</v>
      </c>
      <c r="S14" s="507">
        <f t="shared" si="2"/>
        <v>0</v>
      </c>
      <c r="T14" s="507">
        <f t="shared" si="2"/>
        <v>8.67</v>
      </c>
      <c r="U14" s="507">
        <f t="shared" si="2"/>
        <v>0</v>
      </c>
      <c r="V14" s="507">
        <f t="shared" si="2"/>
        <v>15.37</v>
      </c>
      <c r="W14" s="507">
        <f t="shared" si="2"/>
        <v>0</v>
      </c>
      <c r="X14" s="507">
        <f t="shared" si="2"/>
        <v>12.03</v>
      </c>
      <c r="Y14" s="507">
        <f t="shared" si="2"/>
        <v>0</v>
      </c>
      <c r="Z14" s="507">
        <f t="shared" si="2"/>
        <v>6.8</v>
      </c>
      <c r="AA14" s="507">
        <f t="shared" si="2"/>
        <v>0</v>
      </c>
      <c r="AB14" s="507">
        <f t="shared" si="2"/>
        <v>12.56</v>
      </c>
      <c r="AC14" s="507">
        <f t="shared" si="2"/>
        <v>0</v>
      </c>
      <c r="AD14" s="507">
        <f t="shared" si="2"/>
        <v>9.58</v>
      </c>
      <c r="AE14" s="507">
        <f t="shared" si="2"/>
        <v>0</v>
      </c>
      <c r="AF14" s="464"/>
      <c r="AG14" s="770"/>
    </row>
    <row r="15" spans="1:33" ht="168.75" x14ac:dyDescent="0.35">
      <c r="A15" s="461" t="s">
        <v>33</v>
      </c>
      <c r="B15" s="462">
        <f>SUM(H15,J15,L15,N15,P15,R15,T15,V15,X15,Z15,AB15,AD15)</f>
        <v>115</v>
      </c>
      <c r="C15" s="462">
        <f>H15+J15+L15</f>
        <v>19.5</v>
      </c>
      <c r="D15" s="462">
        <f>E15</f>
        <v>0</v>
      </c>
      <c r="E15" s="462">
        <f>SUM(I15,K15,M15,O15,Q15,S15,U15,W15,Y15,AA15,AC15,AE15)</f>
        <v>0</v>
      </c>
      <c r="F15" s="462">
        <f t="shared" ref="F15" si="3">IFERROR(E15/B15*100,0)</f>
        <v>0</v>
      </c>
      <c r="G15" s="462">
        <f t="shared" ref="G15" si="4">IFERROR(E15/C15*100,0)</f>
        <v>0</v>
      </c>
      <c r="H15" s="508">
        <v>0</v>
      </c>
      <c r="I15" s="508">
        <v>0</v>
      </c>
      <c r="J15" s="508">
        <v>0</v>
      </c>
      <c r="K15" s="508">
        <v>0</v>
      </c>
      <c r="L15" s="508">
        <v>19.5</v>
      </c>
      <c r="M15" s="508">
        <v>0</v>
      </c>
      <c r="N15" s="508">
        <v>9.2799999999999994</v>
      </c>
      <c r="O15" s="508">
        <v>0</v>
      </c>
      <c r="P15" s="508">
        <v>11.35</v>
      </c>
      <c r="Q15" s="508">
        <v>0</v>
      </c>
      <c r="R15" s="508">
        <v>9.86</v>
      </c>
      <c r="S15" s="508">
        <v>0</v>
      </c>
      <c r="T15" s="508">
        <v>8.67</v>
      </c>
      <c r="U15" s="508">
        <v>0</v>
      </c>
      <c r="V15" s="508">
        <v>15.37</v>
      </c>
      <c r="W15" s="508">
        <v>0</v>
      </c>
      <c r="X15" s="508">
        <v>12.03</v>
      </c>
      <c r="Y15" s="508">
        <v>0</v>
      </c>
      <c r="Z15" s="508">
        <v>6.8</v>
      </c>
      <c r="AA15" s="508">
        <v>0</v>
      </c>
      <c r="AB15" s="508">
        <v>12.56</v>
      </c>
      <c r="AC15" s="508">
        <v>0</v>
      </c>
      <c r="AD15" s="508">
        <v>9.58</v>
      </c>
      <c r="AE15" s="508">
        <v>0</v>
      </c>
      <c r="AF15" s="463" t="s">
        <v>567</v>
      </c>
      <c r="AG15" s="769"/>
    </row>
    <row r="16" spans="1:33" ht="21" x14ac:dyDescent="0.35">
      <c r="A16" s="938" t="s">
        <v>352</v>
      </c>
      <c r="B16" s="936"/>
      <c r="C16" s="936"/>
      <c r="D16" s="936"/>
      <c r="E16" s="936"/>
      <c r="F16" s="936"/>
      <c r="G16" s="936"/>
      <c r="H16" s="936"/>
      <c r="I16" s="936"/>
      <c r="J16" s="936"/>
      <c r="K16" s="936"/>
      <c r="L16" s="936"/>
      <c r="M16" s="936"/>
      <c r="N16" s="936"/>
      <c r="O16" s="936"/>
      <c r="P16" s="936"/>
      <c r="Q16" s="936"/>
      <c r="R16" s="936"/>
      <c r="S16" s="936"/>
      <c r="T16" s="936"/>
      <c r="U16" s="936"/>
      <c r="V16" s="936"/>
      <c r="W16" s="936"/>
      <c r="X16" s="936"/>
      <c r="Y16" s="936"/>
      <c r="Z16" s="936"/>
      <c r="AA16" s="936"/>
      <c r="AB16" s="936"/>
      <c r="AC16" s="936"/>
      <c r="AD16" s="936"/>
      <c r="AE16" s="937"/>
      <c r="AF16" s="463"/>
      <c r="AG16" s="769"/>
    </row>
    <row r="17" spans="1:33" s="460" customFormat="1" ht="21" x14ac:dyDescent="0.35">
      <c r="A17" s="457" t="s">
        <v>31</v>
      </c>
      <c r="B17" s="458">
        <f>SUM(B18:B18)</f>
        <v>0</v>
      </c>
      <c r="C17" s="458">
        <f>SUM(C18:C18)</f>
        <v>0</v>
      </c>
      <c r="D17" s="458">
        <f>SUM(D18:D18)</f>
        <v>0</v>
      </c>
      <c r="E17" s="458">
        <f>SUM(E18:E18)</f>
        <v>0</v>
      </c>
      <c r="F17" s="458">
        <f>IFERROR(E17/B17*100,0)</f>
        <v>0</v>
      </c>
      <c r="G17" s="458">
        <f>IFERROR(E17/C17*100,0)</f>
        <v>0</v>
      </c>
      <c r="H17" s="507">
        <f t="shared" ref="H17:AE17" si="5">SUM(H18:H18)</f>
        <v>0</v>
      </c>
      <c r="I17" s="507">
        <f t="shared" si="5"/>
        <v>0</v>
      </c>
      <c r="J17" s="507">
        <f t="shared" si="5"/>
        <v>0</v>
      </c>
      <c r="K17" s="507">
        <f t="shared" si="5"/>
        <v>0</v>
      </c>
      <c r="L17" s="507">
        <f t="shared" si="5"/>
        <v>0</v>
      </c>
      <c r="M17" s="507">
        <f t="shared" si="5"/>
        <v>0</v>
      </c>
      <c r="N17" s="507">
        <f t="shared" si="5"/>
        <v>0</v>
      </c>
      <c r="O17" s="507">
        <f t="shared" si="5"/>
        <v>0</v>
      </c>
      <c r="P17" s="507">
        <f t="shared" si="5"/>
        <v>0</v>
      </c>
      <c r="Q17" s="507">
        <f t="shared" si="5"/>
        <v>0</v>
      </c>
      <c r="R17" s="507">
        <f t="shared" si="5"/>
        <v>0</v>
      </c>
      <c r="S17" s="507">
        <f t="shared" si="5"/>
        <v>0</v>
      </c>
      <c r="T17" s="507">
        <f t="shared" si="5"/>
        <v>0</v>
      </c>
      <c r="U17" s="507">
        <f t="shared" si="5"/>
        <v>0</v>
      </c>
      <c r="V17" s="507">
        <f t="shared" si="5"/>
        <v>0</v>
      </c>
      <c r="W17" s="507">
        <f t="shared" si="5"/>
        <v>0</v>
      </c>
      <c r="X17" s="507">
        <f t="shared" si="5"/>
        <v>0</v>
      </c>
      <c r="Y17" s="507">
        <f t="shared" si="5"/>
        <v>0</v>
      </c>
      <c r="Z17" s="507">
        <f t="shared" si="5"/>
        <v>0</v>
      </c>
      <c r="AA17" s="507">
        <f t="shared" si="5"/>
        <v>0</v>
      </c>
      <c r="AB17" s="507">
        <f t="shared" si="5"/>
        <v>0</v>
      </c>
      <c r="AC17" s="507">
        <f t="shared" si="5"/>
        <v>0</v>
      </c>
      <c r="AD17" s="507">
        <f t="shared" si="5"/>
        <v>0</v>
      </c>
      <c r="AE17" s="507">
        <f t="shared" si="5"/>
        <v>0</v>
      </c>
      <c r="AF17" s="464"/>
      <c r="AG17" s="769"/>
    </row>
    <row r="18" spans="1:33" ht="21" x14ac:dyDescent="0.35">
      <c r="A18" s="461" t="s">
        <v>33</v>
      </c>
      <c r="B18" s="462">
        <f>SUM(H18,J18,L18,N18,P18,R18,T18,V18,X18,Z18,AB18,AD18)</f>
        <v>0</v>
      </c>
      <c r="C18" s="462">
        <f>SUM(H18+J18)</f>
        <v>0</v>
      </c>
      <c r="D18" s="462">
        <f>E18</f>
        <v>0</v>
      </c>
      <c r="E18" s="462">
        <f>SUM(I18,K18,M18,O18,Q18,S18,U18,W18,Y18,AA18,AC18,AE18)</f>
        <v>0</v>
      </c>
      <c r="F18" s="462">
        <f t="shared" ref="F18" si="6">IFERROR(E18/B18*100,0)</f>
        <v>0</v>
      </c>
      <c r="G18" s="462">
        <f t="shared" ref="G18" si="7">IFERROR(E18/C18*100,0)</f>
        <v>0</v>
      </c>
      <c r="H18" s="508">
        <v>0</v>
      </c>
      <c r="I18" s="508">
        <v>0</v>
      </c>
      <c r="J18" s="508">
        <v>0</v>
      </c>
      <c r="K18" s="508">
        <v>0</v>
      </c>
      <c r="L18" s="508">
        <v>0</v>
      </c>
      <c r="M18" s="508">
        <v>0</v>
      </c>
      <c r="N18" s="508">
        <v>0</v>
      </c>
      <c r="O18" s="508">
        <v>0</v>
      </c>
      <c r="P18" s="508">
        <v>0</v>
      </c>
      <c r="Q18" s="508">
        <v>0</v>
      </c>
      <c r="R18" s="508">
        <v>0</v>
      </c>
      <c r="S18" s="508">
        <v>0</v>
      </c>
      <c r="T18" s="508">
        <v>0</v>
      </c>
      <c r="U18" s="508">
        <v>0</v>
      </c>
      <c r="V18" s="508">
        <v>0</v>
      </c>
      <c r="W18" s="508">
        <v>0</v>
      </c>
      <c r="X18" s="508">
        <v>0</v>
      </c>
      <c r="Y18" s="508">
        <v>0</v>
      </c>
      <c r="Z18" s="508">
        <v>0</v>
      </c>
      <c r="AA18" s="508">
        <v>0</v>
      </c>
      <c r="AB18" s="508">
        <v>0</v>
      </c>
      <c r="AC18" s="508">
        <v>0</v>
      </c>
      <c r="AD18" s="508">
        <v>0</v>
      </c>
      <c r="AE18" s="508">
        <v>0</v>
      </c>
      <c r="AF18" s="463"/>
      <c r="AG18" s="769"/>
    </row>
    <row r="19" spans="1:33" ht="21" x14ac:dyDescent="0.35">
      <c r="A19" s="938" t="s">
        <v>353</v>
      </c>
      <c r="B19" s="936"/>
      <c r="C19" s="936"/>
      <c r="D19" s="936"/>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7"/>
      <c r="AF19" s="465"/>
      <c r="AG19" s="769"/>
    </row>
    <row r="20" spans="1:33" s="460" customFormat="1" ht="93.75" x14ac:dyDescent="0.35">
      <c r="A20" s="608" t="s">
        <v>31</v>
      </c>
      <c r="B20" s="609">
        <f>SUM(B21:B21)</f>
        <v>27709.398000000001</v>
      </c>
      <c r="C20" s="609">
        <f>SUM(C21:C21)</f>
        <v>7919.5509999999995</v>
      </c>
      <c r="D20" s="609">
        <f>SUM(D21:D21)</f>
        <v>6571.5749999999998</v>
      </c>
      <c r="E20" s="609">
        <f>SUM(E21:E21)</f>
        <v>6571.5749999999998</v>
      </c>
      <c r="F20" s="609">
        <f>IFERROR(E20/B20*100,0)</f>
        <v>23.716051139039539</v>
      </c>
      <c r="G20" s="609">
        <f>IFERROR(E20/C20*100,0)</f>
        <v>82.979136064658206</v>
      </c>
      <c r="H20" s="610">
        <f>SUM(H21:H21)</f>
        <v>3701.0929999999998</v>
      </c>
      <c r="I20" s="610">
        <f t="shared" ref="I20:AE20" si="8">SUM(I21:I21)</f>
        <v>2125.4960000000001</v>
      </c>
      <c r="J20" s="610">
        <f t="shared" si="8"/>
        <v>2342.223</v>
      </c>
      <c r="K20" s="610">
        <f t="shared" si="8"/>
        <v>2654.116</v>
      </c>
      <c r="L20" s="610">
        <f t="shared" si="8"/>
        <v>1876.2349999999999</v>
      </c>
      <c r="M20" s="610">
        <f t="shared" si="8"/>
        <v>1791.963</v>
      </c>
      <c r="N20" s="610">
        <f t="shared" si="8"/>
        <v>2727.828</v>
      </c>
      <c r="O20" s="610">
        <f t="shared" si="8"/>
        <v>0</v>
      </c>
      <c r="P20" s="610">
        <f t="shared" si="8"/>
        <v>2125.8780000000002</v>
      </c>
      <c r="Q20" s="610">
        <f t="shared" si="8"/>
        <v>0</v>
      </c>
      <c r="R20" s="610">
        <f t="shared" si="8"/>
        <v>1865.4349999999999</v>
      </c>
      <c r="S20" s="610">
        <f t="shared" si="8"/>
        <v>0</v>
      </c>
      <c r="T20" s="610">
        <f t="shared" si="8"/>
        <v>2727.8290000000002</v>
      </c>
      <c r="U20" s="610">
        <f t="shared" si="8"/>
        <v>0</v>
      </c>
      <c r="V20" s="610">
        <f t="shared" si="8"/>
        <v>2162.578</v>
      </c>
      <c r="W20" s="610">
        <f t="shared" si="8"/>
        <v>0</v>
      </c>
      <c r="X20" s="610">
        <f t="shared" si="8"/>
        <v>1865.4349999999999</v>
      </c>
      <c r="Y20" s="610">
        <f t="shared" si="8"/>
        <v>0</v>
      </c>
      <c r="Z20" s="610">
        <f t="shared" si="8"/>
        <v>2727.83</v>
      </c>
      <c r="AA20" s="610">
        <f t="shared" si="8"/>
        <v>0</v>
      </c>
      <c r="AB20" s="610">
        <f t="shared" si="8"/>
        <v>2125.8780000000002</v>
      </c>
      <c r="AC20" s="610">
        <f t="shared" si="8"/>
        <v>0</v>
      </c>
      <c r="AD20" s="610">
        <f t="shared" si="8"/>
        <v>1461.1559999999999</v>
      </c>
      <c r="AE20" s="610">
        <f t="shared" si="8"/>
        <v>0</v>
      </c>
      <c r="AF20" s="465" t="s">
        <v>566</v>
      </c>
      <c r="AG20" s="769"/>
    </row>
    <row r="21" spans="1:33" ht="21" x14ac:dyDescent="0.35">
      <c r="A21" s="611" t="s">
        <v>33</v>
      </c>
      <c r="B21" s="612">
        <f>SUM(H21,J21,L21,N21,P21,R21,T21,V21,X21,Z21,AB21,AD21)</f>
        <v>27709.398000000001</v>
      </c>
      <c r="C21" s="612">
        <f>SUM(H21+J21+L21)</f>
        <v>7919.5509999999995</v>
      </c>
      <c r="D21" s="612">
        <f>E21</f>
        <v>6571.5749999999998</v>
      </c>
      <c r="E21" s="612">
        <f>SUM(I21,K21,M21,O21,Q21,S21,U21,W21,Y21,AA21,AC21,AE21)</f>
        <v>6571.5749999999998</v>
      </c>
      <c r="F21" s="612">
        <f t="shared" ref="F21" si="9">IFERROR(E21/B21*100,0)</f>
        <v>23.716051139039539</v>
      </c>
      <c r="G21" s="612">
        <f t="shared" ref="G21" si="10">IFERROR(E21/C21*100,0)</f>
        <v>82.979136064658206</v>
      </c>
      <c r="H21" s="613">
        <v>3701.0929999999998</v>
      </c>
      <c r="I21" s="613">
        <v>2125.4960000000001</v>
      </c>
      <c r="J21" s="613">
        <v>2342.223</v>
      </c>
      <c r="K21" s="613">
        <v>2654.116</v>
      </c>
      <c r="L21" s="613">
        <v>1876.2349999999999</v>
      </c>
      <c r="M21" s="613">
        <v>1791.963</v>
      </c>
      <c r="N21" s="613">
        <v>2727.828</v>
      </c>
      <c r="O21" s="613">
        <v>0</v>
      </c>
      <c r="P21" s="613">
        <v>2125.8780000000002</v>
      </c>
      <c r="Q21" s="613">
        <v>0</v>
      </c>
      <c r="R21" s="613">
        <v>1865.4349999999999</v>
      </c>
      <c r="S21" s="613">
        <v>0</v>
      </c>
      <c r="T21" s="613">
        <v>2727.8290000000002</v>
      </c>
      <c r="U21" s="613">
        <v>0</v>
      </c>
      <c r="V21" s="613">
        <v>2162.578</v>
      </c>
      <c r="W21" s="613">
        <v>0</v>
      </c>
      <c r="X21" s="613">
        <v>1865.4349999999999</v>
      </c>
      <c r="Y21" s="613">
        <v>0</v>
      </c>
      <c r="Z21" s="613">
        <v>2727.83</v>
      </c>
      <c r="AA21" s="613">
        <v>0</v>
      </c>
      <c r="AB21" s="613">
        <v>2125.8780000000002</v>
      </c>
      <c r="AC21" s="613">
        <v>0</v>
      </c>
      <c r="AD21" s="613">
        <v>1461.1559999999999</v>
      </c>
      <c r="AE21" s="613">
        <v>0</v>
      </c>
      <c r="AF21" s="465"/>
      <c r="AG21" s="769"/>
    </row>
    <row r="22" spans="1:33" ht="21" x14ac:dyDescent="0.35">
      <c r="A22" s="943" t="s">
        <v>354</v>
      </c>
      <c r="B22" s="944"/>
      <c r="C22" s="944"/>
      <c r="D22" s="944"/>
      <c r="E22" s="944"/>
      <c r="F22" s="944"/>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5"/>
      <c r="AF22" s="465"/>
      <c r="AG22" s="769"/>
    </row>
    <row r="23" spans="1:33" s="460" customFormat="1" ht="93.75" x14ac:dyDescent="0.35">
      <c r="A23" s="608" t="s">
        <v>31</v>
      </c>
      <c r="B23" s="609">
        <f>SUM(B24:B24)</f>
        <v>19383.007999999998</v>
      </c>
      <c r="C23" s="609">
        <f>SUM(C24:C24)</f>
        <v>5429.384</v>
      </c>
      <c r="D23" s="609">
        <f>SUM(D24:D24)</f>
        <v>4843.0569999999998</v>
      </c>
      <c r="E23" s="609">
        <f>SUM(E24:E24)</f>
        <v>4843.0569999999998</v>
      </c>
      <c r="F23" s="609">
        <f>IFERROR(E23/B23*100,0)</f>
        <v>24.986096069299464</v>
      </c>
      <c r="G23" s="609">
        <f>IFERROR(E23/C23*100,0)</f>
        <v>89.200855935037922</v>
      </c>
      <c r="H23" s="610">
        <f t="shared" ref="H23:AE23" si="11">SUM(H24:H24)</f>
        <v>2449.17</v>
      </c>
      <c r="I23" s="610">
        <f t="shared" si="11"/>
        <v>1553.9559999999999</v>
      </c>
      <c r="J23" s="610">
        <f t="shared" si="11"/>
        <v>1667.3140000000001</v>
      </c>
      <c r="K23" s="610">
        <f t="shared" si="11"/>
        <v>2039.366</v>
      </c>
      <c r="L23" s="610">
        <f t="shared" si="11"/>
        <v>1312.9</v>
      </c>
      <c r="M23" s="610">
        <f t="shared" si="11"/>
        <v>1249.7349999999999</v>
      </c>
      <c r="N23" s="610">
        <f t="shared" si="11"/>
        <v>1911.74</v>
      </c>
      <c r="O23" s="610">
        <f t="shared" si="11"/>
        <v>0</v>
      </c>
      <c r="P23" s="610">
        <f t="shared" si="11"/>
        <v>1493.75</v>
      </c>
      <c r="Q23" s="610">
        <f t="shared" si="11"/>
        <v>0</v>
      </c>
      <c r="R23" s="610">
        <f t="shared" si="11"/>
        <v>1312.9</v>
      </c>
      <c r="S23" s="610">
        <f t="shared" si="11"/>
        <v>0</v>
      </c>
      <c r="T23" s="610">
        <f t="shared" si="11"/>
        <v>1911.74</v>
      </c>
      <c r="U23" s="610">
        <f t="shared" si="11"/>
        <v>0</v>
      </c>
      <c r="V23" s="610">
        <f t="shared" si="11"/>
        <v>1493.75</v>
      </c>
      <c r="W23" s="610">
        <f t="shared" si="11"/>
        <v>0</v>
      </c>
      <c r="X23" s="610">
        <f t="shared" si="11"/>
        <v>1312.9</v>
      </c>
      <c r="Y23" s="610">
        <f t="shared" si="11"/>
        <v>0</v>
      </c>
      <c r="Z23" s="610">
        <f t="shared" si="11"/>
        <v>1911.74</v>
      </c>
      <c r="AA23" s="610">
        <f t="shared" si="11"/>
        <v>0</v>
      </c>
      <c r="AB23" s="610">
        <f t="shared" si="11"/>
        <v>1493.75</v>
      </c>
      <c r="AC23" s="610">
        <f t="shared" si="11"/>
        <v>0</v>
      </c>
      <c r="AD23" s="610">
        <f t="shared" si="11"/>
        <v>1111.354</v>
      </c>
      <c r="AE23" s="610">
        <f t="shared" si="11"/>
        <v>0</v>
      </c>
      <c r="AF23" s="768" t="s">
        <v>566</v>
      </c>
      <c r="AG23" s="769"/>
    </row>
    <row r="24" spans="1:33" ht="21" x14ac:dyDescent="0.35">
      <c r="A24" s="611" t="s">
        <v>33</v>
      </c>
      <c r="B24" s="612">
        <f>SUM(H24,J24,L24,N24,P24,R24,T24,V24,X24,Z24,AB24,AD24)</f>
        <v>19383.007999999998</v>
      </c>
      <c r="C24" s="612">
        <f>H24+J24+L24</f>
        <v>5429.384</v>
      </c>
      <c r="D24" s="612">
        <f>E24</f>
        <v>4843.0569999999998</v>
      </c>
      <c r="E24" s="612">
        <f>SUM(I24,K24,M24,O24,Q24,S24,U24,W24,Y24,AA24,AC24,AE24)</f>
        <v>4843.0569999999998</v>
      </c>
      <c r="F24" s="612">
        <f t="shared" ref="F24" si="12">IFERROR(E24/B24*100,0)</f>
        <v>24.986096069299464</v>
      </c>
      <c r="G24" s="612">
        <f t="shared" ref="G24" si="13">IFERROR(E24/C24*100,0)</f>
        <v>89.200855935037922</v>
      </c>
      <c r="H24" s="613">
        <v>2449.17</v>
      </c>
      <c r="I24" s="613">
        <v>1553.9559999999999</v>
      </c>
      <c r="J24" s="613">
        <v>1667.3140000000001</v>
      </c>
      <c r="K24" s="613">
        <v>2039.366</v>
      </c>
      <c r="L24" s="613">
        <v>1312.9</v>
      </c>
      <c r="M24" s="613">
        <v>1249.7349999999999</v>
      </c>
      <c r="N24" s="613">
        <v>1911.74</v>
      </c>
      <c r="O24" s="613">
        <v>0</v>
      </c>
      <c r="P24" s="613">
        <v>1493.75</v>
      </c>
      <c r="Q24" s="613">
        <v>0</v>
      </c>
      <c r="R24" s="613">
        <v>1312.9</v>
      </c>
      <c r="S24" s="613">
        <v>0</v>
      </c>
      <c r="T24" s="613">
        <v>1911.74</v>
      </c>
      <c r="U24" s="613">
        <v>0</v>
      </c>
      <c r="V24" s="613">
        <v>1493.75</v>
      </c>
      <c r="W24" s="613">
        <v>0</v>
      </c>
      <c r="X24" s="613">
        <v>1312.9</v>
      </c>
      <c r="Y24" s="613">
        <v>0</v>
      </c>
      <c r="Z24" s="613">
        <v>1911.74</v>
      </c>
      <c r="AA24" s="613">
        <v>0</v>
      </c>
      <c r="AB24" s="613">
        <v>1493.75</v>
      </c>
      <c r="AC24" s="613">
        <v>0</v>
      </c>
      <c r="AD24" s="613">
        <v>1111.354</v>
      </c>
      <c r="AE24" s="613">
        <v>0</v>
      </c>
      <c r="AF24" s="465"/>
      <c r="AG24" s="769"/>
    </row>
    <row r="25" spans="1:33" ht="21" x14ac:dyDescent="0.35">
      <c r="A25" s="943" t="s">
        <v>355</v>
      </c>
      <c r="B25" s="944"/>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5"/>
      <c r="AF25" s="463"/>
      <c r="AG25" s="769"/>
    </row>
    <row r="26" spans="1:33" s="460" customFormat="1" ht="93.75" x14ac:dyDescent="0.35">
      <c r="A26" s="608" t="s">
        <v>31</v>
      </c>
      <c r="B26" s="609">
        <f>SUM(B27:B27)</f>
        <v>8222.9</v>
      </c>
      <c r="C26" s="609">
        <f>SUM(C27:C27)</f>
        <v>2333.3760000000002</v>
      </c>
      <c r="D26" s="609">
        <f>SUM(D27:D27)</f>
        <v>1821.8290000000002</v>
      </c>
      <c r="E26" s="609">
        <f>SUM(E27:E27)</f>
        <v>1821.8290000000002</v>
      </c>
      <c r="F26" s="609">
        <f>IFERROR(E26/B26*100,0)</f>
        <v>22.155553393571616</v>
      </c>
      <c r="G26" s="609">
        <f>IFERROR(E26/C26*100,0)</f>
        <v>78.076958021339038</v>
      </c>
      <c r="H26" s="610">
        <f t="shared" ref="H26:AE26" si="14">SUM(H27:H27)</f>
        <v>1087.3409999999999</v>
      </c>
      <c r="I26" s="610">
        <f t="shared" si="14"/>
        <v>495.827</v>
      </c>
      <c r="J26" s="610">
        <f t="shared" si="14"/>
        <v>694.34</v>
      </c>
      <c r="K26" s="610">
        <f t="shared" si="14"/>
        <v>688.42200000000003</v>
      </c>
      <c r="L26" s="610">
        <f t="shared" si="14"/>
        <v>551.69500000000005</v>
      </c>
      <c r="M26" s="610">
        <f t="shared" si="14"/>
        <v>637.58000000000004</v>
      </c>
      <c r="N26" s="610">
        <f t="shared" si="14"/>
        <v>812.16899999999998</v>
      </c>
      <c r="O26" s="610">
        <f t="shared" si="14"/>
        <v>0</v>
      </c>
      <c r="P26" s="610">
        <f t="shared" si="14"/>
        <v>630.35699999999997</v>
      </c>
      <c r="Q26" s="610">
        <f t="shared" si="14"/>
        <v>0</v>
      </c>
      <c r="R26" s="610">
        <f t="shared" si="14"/>
        <v>551.69399999999996</v>
      </c>
      <c r="S26" s="610">
        <f t="shared" si="14"/>
        <v>0</v>
      </c>
      <c r="T26" s="610">
        <f t="shared" si="14"/>
        <v>812.16899999999998</v>
      </c>
      <c r="U26" s="610">
        <f t="shared" si="14"/>
        <v>0</v>
      </c>
      <c r="V26" s="610">
        <f t="shared" si="14"/>
        <v>630.35699999999997</v>
      </c>
      <c r="W26" s="610">
        <f t="shared" si="14"/>
        <v>0</v>
      </c>
      <c r="X26" s="610">
        <f t="shared" si="14"/>
        <v>551.39400000000001</v>
      </c>
      <c r="Y26" s="610">
        <f t="shared" si="14"/>
        <v>0</v>
      </c>
      <c r="Z26" s="610">
        <f t="shared" si="14"/>
        <v>812.26900000000001</v>
      </c>
      <c r="AA26" s="610">
        <f t="shared" si="14"/>
        <v>0</v>
      </c>
      <c r="AB26" s="610">
        <f t="shared" si="14"/>
        <v>630.55700000000002</v>
      </c>
      <c r="AC26" s="610">
        <f t="shared" si="14"/>
        <v>0</v>
      </c>
      <c r="AD26" s="610">
        <f t="shared" si="14"/>
        <v>458.55799999999999</v>
      </c>
      <c r="AE26" s="610">
        <f t="shared" si="14"/>
        <v>0</v>
      </c>
      <c r="AF26" s="463" t="s">
        <v>566</v>
      </c>
      <c r="AG26" s="769"/>
    </row>
    <row r="27" spans="1:33" ht="21" x14ac:dyDescent="0.35">
      <c r="A27" s="611" t="s">
        <v>33</v>
      </c>
      <c r="B27" s="612">
        <f>SUM(H27,J27,L27,N27,P27,R27,T27,V27,X27,Z27,AB27,AD27)</f>
        <v>8222.9</v>
      </c>
      <c r="C27" s="612">
        <f>H27+J27+L27</f>
        <v>2333.3760000000002</v>
      </c>
      <c r="D27" s="612">
        <f>E27</f>
        <v>1821.8290000000002</v>
      </c>
      <c r="E27" s="612">
        <f>SUM(I27,K27,M27,O27,Q27,S27,U27,W27,Y27,AA27,AC27,AE27)</f>
        <v>1821.8290000000002</v>
      </c>
      <c r="F27" s="612">
        <f t="shared" ref="F27" si="15">IFERROR(E27/B27*100,0)</f>
        <v>22.155553393571616</v>
      </c>
      <c r="G27" s="612">
        <f t="shared" ref="G27" si="16">IFERROR(E27/C27*100,0)</f>
        <v>78.076958021339038</v>
      </c>
      <c r="H27" s="613">
        <v>1087.3409999999999</v>
      </c>
      <c r="I27" s="613">
        <v>495.827</v>
      </c>
      <c r="J27" s="613">
        <v>694.34</v>
      </c>
      <c r="K27" s="613">
        <v>688.42200000000003</v>
      </c>
      <c r="L27" s="613">
        <v>551.69500000000005</v>
      </c>
      <c r="M27" s="613">
        <v>637.58000000000004</v>
      </c>
      <c r="N27" s="613">
        <v>812.16899999999998</v>
      </c>
      <c r="O27" s="613">
        <v>0</v>
      </c>
      <c r="P27" s="613">
        <v>630.35699999999997</v>
      </c>
      <c r="Q27" s="613">
        <v>0</v>
      </c>
      <c r="R27" s="613">
        <v>551.69399999999996</v>
      </c>
      <c r="S27" s="613">
        <v>0</v>
      </c>
      <c r="T27" s="613">
        <v>812.16899999999998</v>
      </c>
      <c r="U27" s="613">
        <v>0</v>
      </c>
      <c r="V27" s="613">
        <v>630.35699999999997</v>
      </c>
      <c r="W27" s="613">
        <v>0</v>
      </c>
      <c r="X27" s="613">
        <v>551.39400000000001</v>
      </c>
      <c r="Y27" s="613">
        <v>0</v>
      </c>
      <c r="Z27" s="613">
        <v>812.26900000000001</v>
      </c>
      <c r="AA27" s="613">
        <v>0</v>
      </c>
      <c r="AB27" s="613">
        <v>630.55700000000002</v>
      </c>
      <c r="AC27" s="613">
        <v>0</v>
      </c>
      <c r="AD27" s="613">
        <v>458.55799999999999</v>
      </c>
      <c r="AE27" s="613">
        <v>0</v>
      </c>
      <c r="AF27" s="463"/>
      <c r="AG27" s="769"/>
    </row>
    <row r="28" spans="1:33" ht="21" x14ac:dyDescent="0.35">
      <c r="A28" s="466" t="s">
        <v>356</v>
      </c>
      <c r="B28" s="467"/>
      <c r="C28" s="467"/>
      <c r="D28" s="467"/>
      <c r="E28" s="467"/>
      <c r="F28" s="468"/>
      <c r="G28" s="468"/>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3"/>
      <c r="AG28" s="769"/>
    </row>
    <row r="29" spans="1:33" s="460" customFormat="1" ht="21" x14ac:dyDescent="0.35">
      <c r="A29" s="469" t="s">
        <v>31</v>
      </c>
      <c r="B29" s="470">
        <f>SUM(B30:B30)</f>
        <v>55430.306000000004</v>
      </c>
      <c r="C29" s="470">
        <f>SUM(C30:C30)</f>
        <v>15701.811</v>
      </c>
      <c r="D29" s="470">
        <f>SUM(D30:D30)</f>
        <v>13236.460999999999</v>
      </c>
      <c r="E29" s="470">
        <f>SUM(E30:E30)</f>
        <v>13236.460999999999</v>
      </c>
      <c r="F29" s="471">
        <f t="shared" ref="F29" si="17">IFERROR(E29/B29*100,0)</f>
        <v>23.879465864756362</v>
      </c>
      <c r="G29" s="471">
        <f t="shared" ref="G29:G30" si="18">IFERROR(E29/C29*100,0)</f>
        <v>84.298944879670245</v>
      </c>
      <c r="H29" s="509">
        <f t="shared" ref="H29:AE29" si="19">SUM(H30:H30)</f>
        <v>7237.6039999999994</v>
      </c>
      <c r="I29" s="509">
        <f t="shared" si="19"/>
        <v>4175.2790000000005</v>
      </c>
      <c r="J29" s="509">
        <f t="shared" si="19"/>
        <v>4703.8770000000004</v>
      </c>
      <c r="K29" s="509">
        <f t="shared" si="19"/>
        <v>5381.9040000000005</v>
      </c>
      <c r="L29" s="509">
        <f t="shared" si="19"/>
        <v>3760.3300000000004</v>
      </c>
      <c r="M29" s="509">
        <f t="shared" si="19"/>
        <v>3679.2779999999998</v>
      </c>
      <c r="N29" s="509">
        <f t="shared" si="19"/>
        <v>5461.0169999999998</v>
      </c>
      <c r="O29" s="509">
        <f t="shared" si="19"/>
        <v>0</v>
      </c>
      <c r="P29" s="509">
        <f t="shared" si="19"/>
        <v>4261.335</v>
      </c>
      <c r="Q29" s="509">
        <f t="shared" si="19"/>
        <v>0</v>
      </c>
      <c r="R29" s="509">
        <f t="shared" si="19"/>
        <v>3739.8889999999997</v>
      </c>
      <c r="S29" s="509">
        <f t="shared" si="19"/>
        <v>0</v>
      </c>
      <c r="T29" s="509">
        <f t="shared" si="19"/>
        <v>5460.4080000000004</v>
      </c>
      <c r="U29" s="509">
        <f t="shared" si="19"/>
        <v>0</v>
      </c>
      <c r="V29" s="509">
        <f t="shared" si="19"/>
        <v>4302.0550000000003</v>
      </c>
      <c r="W29" s="509">
        <f t="shared" si="19"/>
        <v>0</v>
      </c>
      <c r="X29" s="509">
        <f t="shared" si="19"/>
        <v>3741.759</v>
      </c>
      <c r="Y29" s="509">
        <f t="shared" si="19"/>
        <v>0</v>
      </c>
      <c r="Z29" s="509">
        <f t="shared" si="19"/>
        <v>5458.6390000000001</v>
      </c>
      <c r="AA29" s="509">
        <f t="shared" si="19"/>
        <v>0</v>
      </c>
      <c r="AB29" s="509">
        <f t="shared" si="19"/>
        <v>4262.7449999999999</v>
      </c>
      <c r="AC29" s="509">
        <f t="shared" si="19"/>
        <v>0</v>
      </c>
      <c r="AD29" s="509">
        <f t="shared" si="19"/>
        <v>3040.6480000000001</v>
      </c>
      <c r="AE29" s="509">
        <f t="shared" si="19"/>
        <v>0</v>
      </c>
      <c r="AF29" s="464"/>
      <c r="AG29" s="769"/>
    </row>
    <row r="30" spans="1:33" ht="21" x14ac:dyDescent="0.35">
      <c r="A30" s="472" t="s">
        <v>33</v>
      </c>
      <c r="B30" s="473">
        <f>B15+B18+B21+B24+B27</f>
        <v>55430.306000000004</v>
      </c>
      <c r="C30" s="473">
        <f>H30+J30+L30</f>
        <v>15701.811</v>
      </c>
      <c r="D30" s="473">
        <f>D15+D18+D21+D24+D27</f>
        <v>13236.460999999999</v>
      </c>
      <c r="E30" s="473">
        <f>E15+E18+E21+E24+E27</f>
        <v>13236.460999999999</v>
      </c>
      <c r="F30" s="473">
        <f>IFERROR(E30/B30*100,0)</f>
        <v>23.879465864756362</v>
      </c>
      <c r="G30" s="473">
        <f t="shared" si="18"/>
        <v>84.298944879670245</v>
      </c>
      <c r="H30" s="510">
        <f t="shared" ref="H30:AE30" si="20">H15+H18+H21+H24+H27</f>
        <v>7237.6039999999994</v>
      </c>
      <c r="I30" s="510">
        <f t="shared" si="20"/>
        <v>4175.2790000000005</v>
      </c>
      <c r="J30" s="510">
        <f t="shared" si="20"/>
        <v>4703.8770000000004</v>
      </c>
      <c r="K30" s="510">
        <f t="shared" si="20"/>
        <v>5381.9040000000005</v>
      </c>
      <c r="L30" s="510">
        <f t="shared" si="20"/>
        <v>3760.3300000000004</v>
      </c>
      <c r="M30" s="510">
        <f t="shared" si="20"/>
        <v>3679.2779999999998</v>
      </c>
      <c r="N30" s="510">
        <f t="shared" si="20"/>
        <v>5461.0169999999998</v>
      </c>
      <c r="O30" s="510">
        <f t="shared" si="20"/>
        <v>0</v>
      </c>
      <c r="P30" s="510">
        <f t="shared" si="20"/>
        <v>4261.335</v>
      </c>
      <c r="Q30" s="510">
        <f t="shared" si="20"/>
        <v>0</v>
      </c>
      <c r="R30" s="510">
        <f t="shared" si="20"/>
        <v>3739.8889999999997</v>
      </c>
      <c r="S30" s="510">
        <f t="shared" si="20"/>
        <v>0</v>
      </c>
      <c r="T30" s="510">
        <f t="shared" si="20"/>
        <v>5460.4080000000004</v>
      </c>
      <c r="U30" s="510">
        <f t="shared" si="20"/>
        <v>0</v>
      </c>
      <c r="V30" s="510">
        <f t="shared" si="20"/>
        <v>4302.0550000000003</v>
      </c>
      <c r="W30" s="510">
        <f t="shared" si="20"/>
        <v>0</v>
      </c>
      <c r="X30" s="510">
        <f t="shared" si="20"/>
        <v>3741.759</v>
      </c>
      <c r="Y30" s="510">
        <f t="shared" si="20"/>
        <v>0</v>
      </c>
      <c r="Z30" s="510">
        <f t="shared" si="20"/>
        <v>5458.6390000000001</v>
      </c>
      <c r="AA30" s="510">
        <f t="shared" si="20"/>
        <v>0</v>
      </c>
      <c r="AB30" s="510">
        <f t="shared" si="20"/>
        <v>4262.7449999999999</v>
      </c>
      <c r="AC30" s="510">
        <f t="shared" si="20"/>
        <v>0</v>
      </c>
      <c r="AD30" s="510">
        <f t="shared" si="20"/>
        <v>3040.6480000000001</v>
      </c>
      <c r="AE30" s="510">
        <f t="shared" si="20"/>
        <v>0</v>
      </c>
      <c r="AF30" s="463"/>
      <c r="AG30" s="769"/>
    </row>
    <row r="31" spans="1:33" ht="21" x14ac:dyDescent="0.35">
      <c r="A31" s="946" t="s">
        <v>357</v>
      </c>
      <c r="B31" s="947"/>
      <c r="C31" s="947"/>
      <c r="D31" s="947"/>
      <c r="E31" s="947"/>
      <c r="F31" s="947"/>
      <c r="G31" s="947"/>
      <c r="H31" s="947"/>
      <c r="I31" s="947"/>
      <c r="J31" s="947"/>
      <c r="K31" s="947"/>
      <c r="L31" s="947"/>
      <c r="M31" s="947"/>
      <c r="N31" s="947"/>
      <c r="O31" s="947"/>
      <c r="P31" s="947"/>
      <c r="Q31" s="947"/>
      <c r="R31" s="947"/>
      <c r="S31" s="947"/>
      <c r="T31" s="947"/>
      <c r="U31" s="947"/>
      <c r="V31" s="947"/>
      <c r="W31" s="947"/>
      <c r="X31" s="947"/>
      <c r="Y31" s="947"/>
      <c r="Z31" s="947"/>
      <c r="AA31" s="947"/>
      <c r="AB31" s="947"/>
      <c r="AC31" s="947"/>
      <c r="AD31" s="947"/>
      <c r="AE31" s="948"/>
      <c r="AF31" s="474"/>
      <c r="AG31" s="769"/>
    </row>
    <row r="32" spans="1:33" ht="21" x14ac:dyDescent="0.35">
      <c r="A32" s="475" t="s">
        <v>167</v>
      </c>
      <c r="B32" s="230"/>
      <c r="C32" s="476"/>
      <c r="D32" s="476"/>
      <c r="E32" s="230"/>
      <c r="F32" s="231"/>
      <c r="G32" s="231"/>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8"/>
      <c r="AF32" s="479"/>
      <c r="AG32" s="769"/>
    </row>
    <row r="33" spans="1:33" ht="21" x14ac:dyDescent="0.35">
      <c r="A33" s="949" t="s">
        <v>358</v>
      </c>
      <c r="B33" s="950"/>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1"/>
      <c r="AF33" s="463"/>
      <c r="AG33" s="769"/>
    </row>
    <row r="34" spans="1:33" s="460" customFormat="1" ht="21" x14ac:dyDescent="0.35">
      <c r="A34" s="457" t="s">
        <v>31</v>
      </c>
      <c r="B34" s="458">
        <f>B35+B36</f>
        <v>342.11</v>
      </c>
      <c r="C34" s="458">
        <f t="shared" ref="C34:E34" si="21">C35+C36</f>
        <v>0</v>
      </c>
      <c r="D34" s="458">
        <f t="shared" si="21"/>
        <v>0</v>
      </c>
      <c r="E34" s="458">
        <f t="shared" si="21"/>
        <v>0</v>
      </c>
      <c r="F34" s="458">
        <f t="shared" ref="F34:F37" si="22">IFERROR(E34/B34*100,0)</f>
        <v>0</v>
      </c>
      <c r="G34" s="458">
        <f t="shared" ref="G34:G37" si="23">IFERROR(E34/C34*100,0)</f>
        <v>0</v>
      </c>
      <c r="H34" s="507">
        <f>H35+H36</f>
        <v>0</v>
      </c>
      <c r="I34" s="507">
        <f t="shared" ref="I34:AE34" si="24">I35+I36</f>
        <v>0</v>
      </c>
      <c r="J34" s="507">
        <f t="shared" si="24"/>
        <v>0</v>
      </c>
      <c r="K34" s="507">
        <f t="shared" si="24"/>
        <v>0</v>
      </c>
      <c r="L34" s="507">
        <f t="shared" si="24"/>
        <v>0</v>
      </c>
      <c r="M34" s="507">
        <f t="shared" si="24"/>
        <v>0</v>
      </c>
      <c r="N34" s="507">
        <f t="shared" si="24"/>
        <v>0</v>
      </c>
      <c r="O34" s="507">
        <f t="shared" si="24"/>
        <v>0</v>
      </c>
      <c r="P34" s="507">
        <f t="shared" si="24"/>
        <v>0</v>
      </c>
      <c r="Q34" s="507">
        <f t="shared" si="24"/>
        <v>0</v>
      </c>
      <c r="R34" s="507">
        <f t="shared" si="24"/>
        <v>0</v>
      </c>
      <c r="S34" s="507">
        <f t="shared" si="24"/>
        <v>0</v>
      </c>
      <c r="T34" s="507">
        <f t="shared" si="24"/>
        <v>292.11</v>
      </c>
      <c r="U34" s="507">
        <f t="shared" si="24"/>
        <v>0</v>
      </c>
      <c r="V34" s="507">
        <f t="shared" si="24"/>
        <v>0</v>
      </c>
      <c r="W34" s="507">
        <f t="shared" si="24"/>
        <v>0</v>
      </c>
      <c r="X34" s="507">
        <f t="shared" si="24"/>
        <v>0</v>
      </c>
      <c r="Y34" s="507">
        <f t="shared" si="24"/>
        <v>0</v>
      </c>
      <c r="Z34" s="507">
        <f t="shared" si="24"/>
        <v>0</v>
      </c>
      <c r="AA34" s="507">
        <f t="shared" si="24"/>
        <v>0</v>
      </c>
      <c r="AB34" s="507">
        <f t="shared" si="24"/>
        <v>50</v>
      </c>
      <c r="AC34" s="507">
        <f t="shared" si="24"/>
        <v>0</v>
      </c>
      <c r="AD34" s="507">
        <f t="shared" si="24"/>
        <v>0</v>
      </c>
      <c r="AE34" s="507">
        <f t="shared" si="24"/>
        <v>0</v>
      </c>
      <c r="AF34" s="480"/>
      <c r="AG34" s="769"/>
    </row>
    <row r="35" spans="1:33" ht="21" x14ac:dyDescent="0.35">
      <c r="A35" s="461" t="s">
        <v>32</v>
      </c>
      <c r="B35" s="462">
        <f t="shared" ref="B35:E37" si="25">B40</f>
        <v>325</v>
      </c>
      <c r="C35" s="462">
        <f t="shared" si="25"/>
        <v>0</v>
      </c>
      <c r="D35" s="462">
        <f t="shared" si="25"/>
        <v>0</v>
      </c>
      <c r="E35" s="462">
        <f t="shared" si="25"/>
        <v>0</v>
      </c>
      <c r="F35" s="473">
        <f t="shared" si="22"/>
        <v>0</v>
      </c>
      <c r="G35" s="473">
        <f t="shared" si="23"/>
        <v>0</v>
      </c>
      <c r="H35" s="508">
        <f t="shared" ref="H35:AE37" si="26">H40</f>
        <v>0</v>
      </c>
      <c r="I35" s="508">
        <f t="shared" si="26"/>
        <v>0</v>
      </c>
      <c r="J35" s="508">
        <f t="shared" si="26"/>
        <v>0</v>
      </c>
      <c r="K35" s="508">
        <f t="shared" si="26"/>
        <v>0</v>
      </c>
      <c r="L35" s="508">
        <f t="shared" si="26"/>
        <v>0</v>
      </c>
      <c r="M35" s="508">
        <f t="shared" si="26"/>
        <v>0</v>
      </c>
      <c r="N35" s="508">
        <f t="shared" si="26"/>
        <v>0</v>
      </c>
      <c r="O35" s="508">
        <f t="shared" si="26"/>
        <v>0</v>
      </c>
      <c r="P35" s="508">
        <f t="shared" si="26"/>
        <v>0</v>
      </c>
      <c r="Q35" s="508">
        <f t="shared" si="26"/>
        <v>0</v>
      </c>
      <c r="R35" s="508">
        <f t="shared" si="26"/>
        <v>0</v>
      </c>
      <c r="S35" s="508">
        <f t="shared" si="26"/>
        <v>0</v>
      </c>
      <c r="T35" s="508">
        <f t="shared" si="26"/>
        <v>277.5</v>
      </c>
      <c r="U35" s="508">
        <f t="shared" si="26"/>
        <v>0</v>
      </c>
      <c r="V35" s="508">
        <f t="shared" si="26"/>
        <v>0</v>
      </c>
      <c r="W35" s="508">
        <f t="shared" si="26"/>
        <v>0</v>
      </c>
      <c r="X35" s="508">
        <f t="shared" si="26"/>
        <v>0</v>
      </c>
      <c r="Y35" s="508">
        <f t="shared" si="26"/>
        <v>0</v>
      </c>
      <c r="Z35" s="508">
        <f t="shared" si="26"/>
        <v>0</v>
      </c>
      <c r="AA35" s="508">
        <f t="shared" si="26"/>
        <v>0</v>
      </c>
      <c r="AB35" s="508">
        <f t="shared" si="26"/>
        <v>47.5</v>
      </c>
      <c r="AC35" s="508">
        <f t="shared" si="26"/>
        <v>0</v>
      </c>
      <c r="AD35" s="508">
        <f t="shared" si="26"/>
        <v>0</v>
      </c>
      <c r="AE35" s="508">
        <f t="shared" si="26"/>
        <v>0</v>
      </c>
      <c r="AF35" s="463"/>
      <c r="AG35" s="769"/>
    </row>
    <row r="36" spans="1:33" ht="21" x14ac:dyDescent="0.35">
      <c r="A36" s="461" t="s">
        <v>33</v>
      </c>
      <c r="B36" s="462">
        <f t="shared" si="25"/>
        <v>17.11</v>
      </c>
      <c r="C36" s="462">
        <f t="shared" si="25"/>
        <v>0</v>
      </c>
      <c r="D36" s="462">
        <f t="shared" si="25"/>
        <v>0</v>
      </c>
      <c r="E36" s="462">
        <f t="shared" si="25"/>
        <v>0</v>
      </c>
      <c r="F36" s="473">
        <f t="shared" si="22"/>
        <v>0</v>
      </c>
      <c r="G36" s="473">
        <f t="shared" si="23"/>
        <v>0</v>
      </c>
      <c r="H36" s="508">
        <f t="shared" si="26"/>
        <v>0</v>
      </c>
      <c r="I36" s="508">
        <f t="shared" si="26"/>
        <v>0</v>
      </c>
      <c r="J36" s="508">
        <f t="shared" si="26"/>
        <v>0</v>
      </c>
      <c r="K36" s="508">
        <f t="shared" si="26"/>
        <v>0</v>
      </c>
      <c r="L36" s="508">
        <f t="shared" si="26"/>
        <v>0</v>
      </c>
      <c r="M36" s="508">
        <f t="shared" si="26"/>
        <v>0</v>
      </c>
      <c r="N36" s="508">
        <f t="shared" si="26"/>
        <v>0</v>
      </c>
      <c r="O36" s="508">
        <f t="shared" si="26"/>
        <v>0</v>
      </c>
      <c r="P36" s="508">
        <f t="shared" si="26"/>
        <v>0</v>
      </c>
      <c r="Q36" s="508">
        <f t="shared" si="26"/>
        <v>0</v>
      </c>
      <c r="R36" s="508">
        <f t="shared" si="26"/>
        <v>0</v>
      </c>
      <c r="S36" s="508">
        <f t="shared" si="26"/>
        <v>0</v>
      </c>
      <c r="T36" s="508">
        <f t="shared" si="26"/>
        <v>14.61</v>
      </c>
      <c r="U36" s="508">
        <f t="shared" si="26"/>
        <v>0</v>
      </c>
      <c r="V36" s="508">
        <f t="shared" si="26"/>
        <v>0</v>
      </c>
      <c r="W36" s="508">
        <f t="shared" si="26"/>
        <v>0</v>
      </c>
      <c r="X36" s="508">
        <f t="shared" si="26"/>
        <v>0</v>
      </c>
      <c r="Y36" s="508">
        <f t="shared" si="26"/>
        <v>0</v>
      </c>
      <c r="Z36" s="508">
        <f t="shared" si="26"/>
        <v>0</v>
      </c>
      <c r="AA36" s="508">
        <f t="shared" si="26"/>
        <v>0</v>
      </c>
      <c r="AB36" s="508">
        <f t="shared" si="26"/>
        <v>2.5</v>
      </c>
      <c r="AC36" s="508">
        <f t="shared" si="26"/>
        <v>0</v>
      </c>
      <c r="AD36" s="508">
        <f t="shared" si="26"/>
        <v>0</v>
      </c>
      <c r="AE36" s="508">
        <f t="shared" si="26"/>
        <v>0</v>
      </c>
      <c r="AF36" s="463"/>
      <c r="AG36" s="769"/>
    </row>
    <row r="37" spans="1:33" ht="37.5" x14ac:dyDescent="0.35">
      <c r="A37" s="481" t="s">
        <v>174</v>
      </c>
      <c r="B37" s="462">
        <f t="shared" si="25"/>
        <v>17.11</v>
      </c>
      <c r="C37" s="462">
        <f t="shared" si="25"/>
        <v>0</v>
      </c>
      <c r="D37" s="462">
        <f t="shared" si="25"/>
        <v>0</v>
      </c>
      <c r="E37" s="462">
        <f t="shared" si="25"/>
        <v>0</v>
      </c>
      <c r="F37" s="473">
        <f t="shared" si="22"/>
        <v>0</v>
      </c>
      <c r="G37" s="473">
        <f t="shared" si="23"/>
        <v>0</v>
      </c>
      <c r="H37" s="508">
        <f t="shared" si="26"/>
        <v>0</v>
      </c>
      <c r="I37" s="508">
        <f t="shared" si="26"/>
        <v>0</v>
      </c>
      <c r="J37" s="508">
        <f t="shared" si="26"/>
        <v>0</v>
      </c>
      <c r="K37" s="508">
        <f t="shared" si="26"/>
        <v>0</v>
      </c>
      <c r="L37" s="508">
        <f t="shared" si="26"/>
        <v>0</v>
      </c>
      <c r="M37" s="508">
        <f t="shared" si="26"/>
        <v>0</v>
      </c>
      <c r="N37" s="508">
        <f t="shared" si="26"/>
        <v>0</v>
      </c>
      <c r="O37" s="508">
        <f t="shared" si="26"/>
        <v>0</v>
      </c>
      <c r="P37" s="508">
        <f t="shared" si="26"/>
        <v>0</v>
      </c>
      <c r="Q37" s="508">
        <f t="shared" si="26"/>
        <v>0</v>
      </c>
      <c r="R37" s="508">
        <f t="shared" si="26"/>
        <v>0</v>
      </c>
      <c r="S37" s="508">
        <f t="shared" si="26"/>
        <v>0</v>
      </c>
      <c r="T37" s="508">
        <f t="shared" si="26"/>
        <v>14.61</v>
      </c>
      <c r="U37" s="508">
        <f t="shared" si="26"/>
        <v>0</v>
      </c>
      <c r="V37" s="508">
        <f t="shared" si="26"/>
        <v>0</v>
      </c>
      <c r="W37" s="508">
        <f t="shared" si="26"/>
        <v>0</v>
      </c>
      <c r="X37" s="508">
        <f t="shared" si="26"/>
        <v>0</v>
      </c>
      <c r="Y37" s="508">
        <f t="shared" si="26"/>
        <v>0</v>
      </c>
      <c r="Z37" s="508">
        <f t="shared" si="26"/>
        <v>0</v>
      </c>
      <c r="AA37" s="508">
        <f t="shared" si="26"/>
        <v>0</v>
      </c>
      <c r="AB37" s="508">
        <f t="shared" si="26"/>
        <v>2.5</v>
      </c>
      <c r="AC37" s="508">
        <f t="shared" si="26"/>
        <v>0</v>
      </c>
      <c r="AD37" s="508">
        <f t="shared" si="26"/>
        <v>0</v>
      </c>
      <c r="AE37" s="508">
        <f t="shared" si="26"/>
        <v>0</v>
      </c>
      <c r="AF37" s="463"/>
      <c r="AG37" s="769"/>
    </row>
    <row r="38" spans="1:33" ht="21" x14ac:dyDescent="0.35">
      <c r="A38" s="938" t="s">
        <v>359</v>
      </c>
      <c r="B38" s="936"/>
      <c r="C38" s="936"/>
      <c r="D38" s="936"/>
      <c r="E38" s="936"/>
      <c r="F38" s="936"/>
      <c r="G38" s="936"/>
      <c r="H38" s="936"/>
      <c r="I38" s="936"/>
      <c r="J38" s="936"/>
      <c r="K38" s="936"/>
      <c r="L38" s="936"/>
      <c r="M38" s="936"/>
      <c r="N38" s="936"/>
      <c r="O38" s="936"/>
      <c r="P38" s="936"/>
      <c r="Q38" s="936"/>
      <c r="R38" s="936"/>
      <c r="S38" s="936"/>
      <c r="T38" s="936"/>
      <c r="U38" s="936"/>
      <c r="V38" s="936"/>
      <c r="W38" s="936"/>
      <c r="X38" s="936"/>
      <c r="Y38" s="936"/>
      <c r="Z38" s="936"/>
      <c r="AA38" s="936"/>
      <c r="AB38" s="936"/>
      <c r="AC38" s="936"/>
      <c r="AD38" s="936"/>
      <c r="AE38" s="937"/>
      <c r="AF38" s="482"/>
      <c r="AG38" s="769"/>
    </row>
    <row r="39" spans="1:33" s="460" customFormat="1" ht="21" x14ac:dyDescent="0.35">
      <c r="A39" s="457" t="s">
        <v>31</v>
      </c>
      <c r="B39" s="458">
        <f>B40+B41</f>
        <v>342.11</v>
      </c>
      <c r="C39" s="458">
        <f t="shared" ref="C39:E39" si="27">C40+C41</f>
        <v>0</v>
      </c>
      <c r="D39" s="458">
        <f t="shared" si="27"/>
        <v>0</v>
      </c>
      <c r="E39" s="458">
        <f t="shared" si="27"/>
        <v>0</v>
      </c>
      <c r="F39" s="458">
        <f t="shared" ref="F39:F42" si="28">IFERROR(E39/B39*100,0)</f>
        <v>0</v>
      </c>
      <c r="G39" s="458">
        <f t="shared" ref="G39:G42" si="29">IFERROR(E39/C39*100,0)</f>
        <v>0</v>
      </c>
      <c r="H39" s="507">
        <f>H40+H41</f>
        <v>0</v>
      </c>
      <c r="I39" s="507">
        <f t="shared" ref="I39:AE39" si="30">I40+I41</f>
        <v>0</v>
      </c>
      <c r="J39" s="507">
        <f t="shared" si="30"/>
        <v>0</v>
      </c>
      <c r="K39" s="507">
        <f t="shared" si="30"/>
        <v>0</v>
      </c>
      <c r="L39" s="507">
        <f t="shared" si="30"/>
        <v>0</v>
      </c>
      <c r="M39" s="507">
        <f t="shared" si="30"/>
        <v>0</v>
      </c>
      <c r="N39" s="507">
        <f t="shared" si="30"/>
        <v>0</v>
      </c>
      <c r="O39" s="507">
        <f t="shared" si="30"/>
        <v>0</v>
      </c>
      <c r="P39" s="507">
        <f t="shared" si="30"/>
        <v>0</v>
      </c>
      <c r="Q39" s="507">
        <f t="shared" si="30"/>
        <v>0</v>
      </c>
      <c r="R39" s="507">
        <f t="shared" si="30"/>
        <v>0</v>
      </c>
      <c r="S39" s="507">
        <f t="shared" si="30"/>
        <v>0</v>
      </c>
      <c r="T39" s="507">
        <f t="shared" si="30"/>
        <v>292.11</v>
      </c>
      <c r="U39" s="507">
        <f t="shared" si="30"/>
        <v>0</v>
      </c>
      <c r="V39" s="507">
        <f t="shared" si="30"/>
        <v>0</v>
      </c>
      <c r="W39" s="507">
        <f t="shared" si="30"/>
        <v>0</v>
      </c>
      <c r="X39" s="507">
        <f t="shared" si="30"/>
        <v>0</v>
      </c>
      <c r="Y39" s="507">
        <f t="shared" si="30"/>
        <v>0</v>
      </c>
      <c r="Z39" s="507">
        <f t="shared" si="30"/>
        <v>0</v>
      </c>
      <c r="AA39" s="507">
        <f t="shared" si="30"/>
        <v>0</v>
      </c>
      <c r="AB39" s="507">
        <f t="shared" si="30"/>
        <v>50</v>
      </c>
      <c r="AC39" s="507">
        <f t="shared" si="30"/>
        <v>0</v>
      </c>
      <c r="AD39" s="507">
        <f t="shared" si="30"/>
        <v>0</v>
      </c>
      <c r="AE39" s="507">
        <f t="shared" si="30"/>
        <v>0</v>
      </c>
      <c r="AF39" s="464"/>
      <c r="AG39" s="769"/>
    </row>
    <row r="40" spans="1:33" ht="21" x14ac:dyDescent="0.35">
      <c r="A40" s="461" t="s">
        <v>32</v>
      </c>
      <c r="B40" s="462">
        <f>SUM(H40,J40,L40,N40,P40,R40,T40,V40,X40,Z40,AB40,AD40)</f>
        <v>325</v>
      </c>
      <c r="C40" s="462">
        <f>H40+J40+L40</f>
        <v>0</v>
      </c>
      <c r="D40" s="462">
        <f>E40</f>
        <v>0</v>
      </c>
      <c r="E40" s="462">
        <f>SUM(I40,K40,M40,O40,Q40,S40,U40,W40,Y40,AA40,AC40,AE40)</f>
        <v>0</v>
      </c>
      <c r="F40" s="462">
        <f t="shared" si="28"/>
        <v>0</v>
      </c>
      <c r="G40" s="462">
        <f t="shared" si="29"/>
        <v>0</v>
      </c>
      <c r="H40" s="508">
        <f>H45+H50</f>
        <v>0</v>
      </c>
      <c r="I40" s="508">
        <f t="shared" ref="I40:AE42" si="31">I45+I50</f>
        <v>0</v>
      </c>
      <c r="J40" s="508">
        <f t="shared" si="31"/>
        <v>0</v>
      </c>
      <c r="K40" s="508">
        <f t="shared" si="31"/>
        <v>0</v>
      </c>
      <c r="L40" s="508">
        <f t="shared" si="31"/>
        <v>0</v>
      </c>
      <c r="M40" s="508">
        <f t="shared" si="31"/>
        <v>0</v>
      </c>
      <c r="N40" s="508">
        <f t="shared" si="31"/>
        <v>0</v>
      </c>
      <c r="O40" s="508">
        <f t="shared" si="31"/>
        <v>0</v>
      </c>
      <c r="P40" s="508">
        <f t="shared" si="31"/>
        <v>0</v>
      </c>
      <c r="Q40" s="508">
        <f t="shared" si="31"/>
        <v>0</v>
      </c>
      <c r="R40" s="508">
        <f t="shared" si="31"/>
        <v>0</v>
      </c>
      <c r="S40" s="508">
        <f t="shared" si="31"/>
        <v>0</v>
      </c>
      <c r="T40" s="508">
        <f t="shared" si="31"/>
        <v>277.5</v>
      </c>
      <c r="U40" s="508">
        <f t="shared" si="31"/>
        <v>0</v>
      </c>
      <c r="V40" s="508">
        <f t="shared" si="31"/>
        <v>0</v>
      </c>
      <c r="W40" s="508">
        <f t="shared" si="31"/>
        <v>0</v>
      </c>
      <c r="X40" s="508">
        <f t="shared" si="31"/>
        <v>0</v>
      </c>
      <c r="Y40" s="508">
        <f t="shared" si="31"/>
        <v>0</v>
      </c>
      <c r="Z40" s="508">
        <f t="shared" si="31"/>
        <v>0</v>
      </c>
      <c r="AA40" s="508">
        <f t="shared" si="31"/>
        <v>0</v>
      </c>
      <c r="AB40" s="508">
        <f t="shared" si="31"/>
        <v>47.5</v>
      </c>
      <c r="AC40" s="508">
        <f t="shared" si="31"/>
        <v>0</v>
      </c>
      <c r="AD40" s="508">
        <f t="shared" si="31"/>
        <v>0</v>
      </c>
      <c r="AE40" s="508">
        <f t="shared" si="31"/>
        <v>0</v>
      </c>
      <c r="AF40" s="463"/>
      <c r="AG40" s="769"/>
    </row>
    <row r="41" spans="1:33" ht="21" x14ac:dyDescent="0.35">
      <c r="A41" s="461" t="s">
        <v>33</v>
      </c>
      <c r="B41" s="462">
        <f>SUM(H41,J41,L41,N41,P41,R41,T41,V41,X41,Z41,AB41,AD41)</f>
        <v>17.11</v>
      </c>
      <c r="C41" s="462">
        <f>H41+J41+L41</f>
        <v>0</v>
      </c>
      <c r="D41" s="462">
        <f>E41</f>
        <v>0</v>
      </c>
      <c r="E41" s="462">
        <f>SUM(I41,K41,M41,O41,Q41,S41,U41,W41,Y41,AA41,AC41,AE41)</f>
        <v>0</v>
      </c>
      <c r="F41" s="462">
        <f t="shared" si="28"/>
        <v>0</v>
      </c>
      <c r="G41" s="462">
        <f t="shared" si="29"/>
        <v>0</v>
      </c>
      <c r="H41" s="508">
        <f t="shared" ref="H41:W42" si="32">H46+H51</f>
        <v>0</v>
      </c>
      <c r="I41" s="508">
        <f t="shared" si="32"/>
        <v>0</v>
      </c>
      <c r="J41" s="508">
        <f t="shared" si="32"/>
        <v>0</v>
      </c>
      <c r="K41" s="508">
        <f t="shared" si="32"/>
        <v>0</v>
      </c>
      <c r="L41" s="508">
        <f t="shared" si="32"/>
        <v>0</v>
      </c>
      <c r="M41" s="508">
        <f t="shared" si="32"/>
        <v>0</v>
      </c>
      <c r="N41" s="508">
        <f t="shared" si="32"/>
        <v>0</v>
      </c>
      <c r="O41" s="508">
        <f t="shared" si="32"/>
        <v>0</v>
      </c>
      <c r="P41" s="508">
        <f t="shared" si="32"/>
        <v>0</v>
      </c>
      <c r="Q41" s="508">
        <f t="shared" si="32"/>
        <v>0</v>
      </c>
      <c r="R41" s="508">
        <f t="shared" si="32"/>
        <v>0</v>
      </c>
      <c r="S41" s="508">
        <f t="shared" si="32"/>
        <v>0</v>
      </c>
      <c r="T41" s="508">
        <f t="shared" si="32"/>
        <v>14.61</v>
      </c>
      <c r="U41" s="508">
        <f t="shared" si="32"/>
        <v>0</v>
      </c>
      <c r="V41" s="508">
        <f t="shared" si="32"/>
        <v>0</v>
      </c>
      <c r="W41" s="508">
        <f t="shared" si="32"/>
        <v>0</v>
      </c>
      <c r="X41" s="508">
        <f t="shared" si="31"/>
        <v>0</v>
      </c>
      <c r="Y41" s="508">
        <f t="shared" si="31"/>
        <v>0</v>
      </c>
      <c r="Z41" s="508">
        <f t="shared" si="31"/>
        <v>0</v>
      </c>
      <c r="AA41" s="508">
        <f t="shared" si="31"/>
        <v>0</v>
      </c>
      <c r="AB41" s="508">
        <f t="shared" si="31"/>
        <v>2.5</v>
      </c>
      <c r="AC41" s="508">
        <f t="shared" si="31"/>
        <v>0</v>
      </c>
      <c r="AD41" s="508">
        <f t="shared" si="31"/>
        <v>0</v>
      </c>
      <c r="AE41" s="508">
        <f t="shared" si="31"/>
        <v>0</v>
      </c>
      <c r="AF41" s="463"/>
      <c r="AG41" s="769"/>
    </row>
    <row r="42" spans="1:33" ht="37.5" x14ac:dyDescent="0.35">
      <c r="A42" s="481" t="s">
        <v>174</v>
      </c>
      <c r="B42" s="462">
        <f>SUM(H42,J42,L42,N42,P42,R42,T42,V42,X42,Z42,AB42,AD42)</f>
        <v>17.11</v>
      </c>
      <c r="C42" s="462">
        <f>H42+J42</f>
        <v>0</v>
      </c>
      <c r="D42" s="462">
        <f>E42</f>
        <v>0</v>
      </c>
      <c r="E42" s="462">
        <f>SUM(I42,K42,M42,O42,Q42,S42,U42,W42,Y42,AA42,AC42,AE42)</f>
        <v>0</v>
      </c>
      <c r="F42" s="462">
        <f t="shared" si="28"/>
        <v>0</v>
      </c>
      <c r="G42" s="462">
        <f t="shared" si="29"/>
        <v>0</v>
      </c>
      <c r="H42" s="508">
        <f t="shared" si="32"/>
        <v>0</v>
      </c>
      <c r="I42" s="508">
        <f t="shared" si="32"/>
        <v>0</v>
      </c>
      <c r="J42" s="508">
        <f t="shared" si="32"/>
        <v>0</v>
      </c>
      <c r="K42" s="508">
        <f t="shared" si="32"/>
        <v>0</v>
      </c>
      <c r="L42" s="508">
        <f t="shared" si="32"/>
        <v>0</v>
      </c>
      <c r="M42" s="508">
        <f t="shared" si="32"/>
        <v>0</v>
      </c>
      <c r="N42" s="508">
        <f t="shared" si="32"/>
        <v>0</v>
      </c>
      <c r="O42" s="508">
        <f t="shared" si="32"/>
        <v>0</v>
      </c>
      <c r="P42" s="508">
        <f t="shared" si="32"/>
        <v>0</v>
      </c>
      <c r="Q42" s="508">
        <f t="shared" si="32"/>
        <v>0</v>
      </c>
      <c r="R42" s="508">
        <f t="shared" si="32"/>
        <v>0</v>
      </c>
      <c r="S42" s="508">
        <f t="shared" si="32"/>
        <v>0</v>
      </c>
      <c r="T42" s="508">
        <f t="shared" si="32"/>
        <v>14.61</v>
      </c>
      <c r="U42" s="508">
        <f t="shared" si="32"/>
        <v>0</v>
      </c>
      <c r="V42" s="508">
        <f t="shared" si="32"/>
        <v>0</v>
      </c>
      <c r="W42" s="508">
        <f t="shared" si="32"/>
        <v>0</v>
      </c>
      <c r="X42" s="508">
        <f t="shared" si="31"/>
        <v>0</v>
      </c>
      <c r="Y42" s="508">
        <f t="shared" si="31"/>
        <v>0</v>
      </c>
      <c r="Z42" s="508">
        <f t="shared" si="31"/>
        <v>0</v>
      </c>
      <c r="AA42" s="508">
        <f t="shared" si="31"/>
        <v>0</v>
      </c>
      <c r="AB42" s="508">
        <f t="shared" si="31"/>
        <v>2.5</v>
      </c>
      <c r="AC42" s="508">
        <f t="shared" si="31"/>
        <v>0</v>
      </c>
      <c r="AD42" s="508">
        <f t="shared" si="31"/>
        <v>0</v>
      </c>
      <c r="AE42" s="508">
        <f t="shared" si="31"/>
        <v>0</v>
      </c>
      <c r="AF42" s="463"/>
      <c r="AG42" s="769"/>
    </row>
    <row r="43" spans="1:33" ht="21" x14ac:dyDescent="0.35">
      <c r="A43" s="938" t="s">
        <v>360</v>
      </c>
      <c r="B43" s="936"/>
      <c r="C43" s="936"/>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7"/>
      <c r="AF43" s="463"/>
      <c r="AG43" s="769"/>
    </row>
    <row r="44" spans="1:33" s="460" customFormat="1" ht="21" x14ac:dyDescent="0.35">
      <c r="A44" s="457" t="s">
        <v>31</v>
      </c>
      <c r="B44" s="458">
        <f>B45+B46</f>
        <v>292.11</v>
      </c>
      <c r="C44" s="458">
        <f t="shared" ref="C44:E44" si="33">C45+C46</f>
        <v>0</v>
      </c>
      <c r="D44" s="458">
        <f t="shared" si="33"/>
        <v>0</v>
      </c>
      <c r="E44" s="458">
        <f t="shared" si="33"/>
        <v>0</v>
      </c>
      <c r="F44" s="458">
        <f t="shared" ref="F44:F47" si="34">IFERROR(E44/B44*100,0)</f>
        <v>0</v>
      </c>
      <c r="G44" s="458">
        <f t="shared" ref="G44:G47" si="35">IFERROR(E44/C44*100,0)</f>
        <v>0</v>
      </c>
      <c r="H44" s="507">
        <f>H45+H46</f>
        <v>0</v>
      </c>
      <c r="I44" s="507">
        <f t="shared" ref="I44:AE44" si="36">I45+I46</f>
        <v>0</v>
      </c>
      <c r="J44" s="507">
        <f t="shared" si="36"/>
        <v>0</v>
      </c>
      <c r="K44" s="507">
        <f t="shared" si="36"/>
        <v>0</v>
      </c>
      <c r="L44" s="507">
        <f t="shared" si="36"/>
        <v>0</v>
      </c>
      <c r="M44" s="507">
        <f t="shared" si="36"/>
        <v>0</v>
      </c>
      <c r="N44" s="507">
        <f t="shared" si="36"/>
        <v>0</v>
      </c>
      <c r="O44" s="507">
        <f t="shared" si="36"/>
        <v>0</v>
      </c>
      <c r="P44" s="507">
        <f t="shared" si="36"/>
        <v>0</v>
      </c>
      <c r="Q44" s="507">
        <f t="shared" si="36"/>
        <v>0</v>
      </c>
      <c r="R44" s="507">
        <f t="shared" si="36"/>
        <v>0</v>
      </c>
      <c r="S44" s="507">
        <f t="shared" si="36"/>
        <v>0</v>
      </c>
      <c r="T44" s="507">
        <f t="shared" si="36"/>
        <v>292.11</v>
      </c>
      <c r="U44" s="507">
        <f t="shared" si="36"/>
        <v>0</v>
      </c>
      <c r="V44" s="507">
        <f t="shared" si="36"/>
        <v>0</v>
      </c>
      <c r="W44" s="507">
        <f t="shared" si="36"/>
        <v>0</v>
      </c>
      <c r="X44" s="507">
        <f t="shared" si="36"/>
        <v>0</v>
      </c>
      <c r="Y44" s="507">
        <f t="shared" si="36"/>
        <v>0</v>
      </c>
      <c r="Z44" s="507">
        <f t="shared" si="36"/>
        <v>0</v>
      </c>
      <c r="AA44" s="507">
        <f t="shared" si="36"/>
        <v>0</v>
      </c>
      <c r="AB44" s="507">
        <f t="shared" si="36"/>
        <v>0</v>
      </c>
      <c r="AC44" s="507">
        <f t="shared" si="36"/>
        <v>0</v>
      </c>
      <c r="AD44" s="507">
        <f t="shared" si="36"/>
        <v>0</v>
      </c>
      <c r="AE44" s="507">
        <f t="shared" si="36"/>
        <v>0</v>
      </c>
      <c r="AF44" s="464"/>
      <c r="AG44" s="769"/>
    </row>
    <row r="45" spans="1:33" ht="21" x14ac:dyDescent="0.35">
      <c r="A45" s="461" t="s">
        <v>32</v>
      </c>
      <c r="B45" s="462">
        <f>SUM(H45,J45,L45,N45,P45,R45,T45,V45,X45,Z45,AB45,AD45)</f>
        <v>277.5</v>
      </c>
      <c r="C45" s="462">
        <f>H45+J45+L45</f>
        <v>0</v>
      </c>
      <c r="D45" s="462">
        <f>E45</f>
        <v>0</v>
      </c>
      <c r="E45" s="462">
        <f>SUM(I45,K45,M45,O45,Q45,S45,U45,W45,Y45,AA45,AC45,AE45)</f>
        <v>0</v>
      </c>
      <c r="F45" s="462">
        <f t="shared" si="34"/>
        <v>0</v>
      </c>
      <c r="G45" s="462">
        <f t="shared" si="35"/>
        <v>0</v>
      </c>
      <c r="H45" s="508">
        <v>0</v>
      </c>
      <c r="I45" s="508">
        <v>0</v>
      </c>
      <c r="J45" s="508">
        <v>0</v>
      </c>
      <c r="K45" s="508">
        <v>0</v>
      </c>
      <c r="L45" s="508">
        <v>0</v>
      </c>
      <c r="M45" s="508">
        <v>0</v>
      </c>
      <c r="N45" s="508">
        <v>0</v>
      </c>
      <c r="O45" s="508">
        <v>0</v>
      </c>
      <c r="P45" s="508">
        <v>0</v>
      </c>
      <c r="Q45" s="508">
        <v>0</v>
      </c>
      <c r="R45" s="508">
        <v>0</v>
      </c>
      <c r="S45" s="508">
        <v>0</v>
      </c>
      <c r="T45" s="508">
        <v>277.5</v>
      </c>
      <c r="U45" s="508">
        <v>0</v>
      </c>
      <c r="V45" s="508">
        <v>0</v>
      </c>
      <c r="W45" s="508">
        <v>0</v>
      </c>
      <c r="X45" s="508">
        <v>0</v>
      </c>
      <c r="Y45" s="508">
        <v>0</v>
      </c>
      <c r="Z45" s="508">
        <v>0</v>
      </c>
      <c r="AA45" s="508">
        <v>0</v>
      </c>
      <c r="AB45" s="508">
        <v>0</v>
      </c>
      <c r="AC45" s="508">
        <v>0</v>
      </c>
      <c r="AD45" s="508">
        <v>0</v>
      </c>
      <c r="AE45" s="508">
        <v>0</v>
      </c>
      <c r="AF45" s="463"/>
      <c r="AG45" s="769"/>
    </row>
    <row r="46" spans="1:33" ht="21" x14ac:dyDescent="0.35">
      <c r="A46" s="461" t="s">
        <v>33</v>
      </c>
      <c r="B46" s="462">
        <f>SUM(H46,J46,L46,N46,P46,R46,T46,V46,X46,Z46,AB46,AD46)</f>
        <v>14.61</v>
      </c>
      <c r="C46" s="462">
        <f>H46+J46+L46</f>
        <v>0</v>
      </c>
      <c r="D46" s="462">
        <f>E46</f>
        <v>0</v>
      </c>
      <c r="E46" s="462">
        <f>SUM(I46,K46,M46,O46,Q46,S46,U46,W46,Y46,AA46,AC46,AE46)</f>
        <v>0</v>
      </c>
      <c r="F46" s="462">
        <f t="shared" si="34"/>
        <v>0</v>
      </c>
      <c r="G46" s="462">
        <f t="shared" si="35"/>
        <v>0</v>
      </c>
      <c r="H46" s="508">
        <v>0</v>
      </c>
      <c r="I46" s="508">
        <v>0</v>
      </c>
      <c r="J46" s="508">
        <v>0</v>
      </c>
      <c r="K46" s="508">
        <v>0</v>
      </c>
      <c r="L46" s="508">
        <v>0</v>
      </c>
      <c r="M46" s="508">
        <v>0</v>
      </c>
      <c r="N46" s="508">
        <v>0</v>
      </c>
      <c r="O46" s="508">
        <v>0</v>
      </c>
      <c r="P46" s="508">
        <v>0</v>
      </c>
      <c r="Q46" s="508">
        <v>0</v>
      </c>
      <c r="R46" s="508">
        <v>0</v>
      </c>
      <c r="S46" s="508">
        <v>0</v>
      </c>
      <c r="T46" s="508">
        <v>14.61</v>
      </c>
      <c r="U46" s="508">
        <v>0</v>
      </c>
      <c r="V46" s="508">
        <v>0</v>
      </c>
      <c r="W46" s="508">
        <v>0</v>
      </c>
      <c r="X46" s="508">
        <v>0</v>
      </c>
      <c r="Y46" s="508">
        <v>0</v>
      </c>
      <c r="Z46" s="508">
        <v>0</v>
      </c>
      <c r="AA46" s="508">
        <v>0</v>
      </c>
      <c r="AB46" s="508">
        <v>0</v>
      </c>
      <c r="AC46" s="508">
        <v>0</v>
      </c>
      <c r="AD46" s="508">
        <v>0</v>
      </c>
      <c r="AE46" s="508">
        <v>0</v>
      </c>
      <c r="AF46" s="463"/>
      <c r="AG46" s="769"/>
    </row>
    <row r="47" spans="1:33" ht="37.5" x14ac:dyDescent="0.35">
      <c r="A47" s="481" t="s">
        <v>174</v>
      </c>
      <c r="B47" s="462">
        <f>SUM(H47,J47,L47,N47,P47,R47,T47,V47,X47,Z47,AB47,AD47)</f>
        <v>14.61</v>
      </c>
      <c r="C47" s="462">
        <f>H47+J47+L47</f>
        <v>0</v>
      </c>
      <c r="D47" s="462">
        <f>E47</f>
        <v>0</v>
      </c>
      <c r="E47" s="462">
        <f>SUM(I47,K47,M47,O47,Q47,S47,U47,W47,Y47,AA47,AC47,AE47)</f>
        <v>0</v>
      </c>
      <c r="F47" s="462">
        <f t="shared" si="34"/>
        <v>0</v>
      </c>
      <c r="G47" s="462">
        <f t="shared" si="35"/>
        <v>0</v>
      </c>
      <c r="H47" s="508">
        <v>0</v>
      </c>
      <c r="I47" s="508">
        <v>0</v>
      </c>
      <c r="J47" s="508">
        <v>0</v>
      </c>
      <c r="K47" s="508">
        <v>0</v>
      </c>
      <c r="L47" s="508">
        <v>0</v>
      </c>
      <c r="M47" s="508">
        <v>0</v>
      </c>
      <c r="N47" s="508">
        <v>0</v>
      </c>
      <c r="O47" s="508">
        <v>0</v>
      </c>
      <c r="P47" s="508">
        <v>0</v>
      </c>
      <c r="Q47" s="508">
        <v>0</v>
      </c>
      <c r="R47" s="508">
        <v>0</v>
      </c>
      <c r="S47" s="508">
        <v>0</v>
      </c>
      <c r="T47" s="508">
        <v>14.61</v>
      </c>
      <c r="U47" s="508">
        <v>0</v>
      </c>
      <c r="V47" s="508">
        <v>0</v>
      </c>
      <c r="W47" s="508">
        <v>0</v>
      </c>
      <c r="X47" s="508">
        <v>0</v>
      </c>
      <c r="Y47" s="508">
        <v>0</v>
      </c>
      <c r="Z47" s="508">
        <v>0</v>
      </c>
      <c r="AA47" s="508">
        <v>0</v>
      </c>
      <c r="AB47" s="508">
        <v>0</v>
      </c>
      <c r="AC47" s="508">
        <v>0</v>
      </c>
      <c r="AD47" s="508">
        <v>0</v>
      </c>
      <c r="AE47" s="508">
        <v>0</v>
      </c>
      <c r="AF47" s="463"/>
      <c r="AG47" s="769"/>
    </row>
    <row r="48" spans="1:33" ht="21" x14ac:dyDescent="0.35">
      <c r="A48" s="938" t="s">
        <v>361</v>
      </c>
      <c r="B48" s="936"/>
      <c r="C48" s="936"/>
      <c r="D48" s="936"/>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937"/>
      <c r="AF48" s="463"/>
      <c r="AG48" s="769"/>
    </row>
    <row r="49" spans="1:33" s="460" customFormat="1" ht="21" x14ac:dyDescent="0.35">
      <c r="A49" s="457" t="s">
        <v>31</v>
      </c>
      <c r="B49" s="458">
        <f>B50+B51</f>
        <v>50</v>
      </c>
      <c r="C49" s="458">
        <f t="shared" ref="C49:E49" si="37">C50+C51</f>
        <v>0</v>
      </c>
      <c r="D49" s="458">
        <f t="shared" si="37"/>
        <v>0</v>
      </c>
      <c r="E49" s="458">
        <f t="shared" si="37"/>
        <v>0</v>
      </c>
      <c r="F49" s="458">
        <f t="shared" ref="F49:F52" si="38">IFERROR(E49/B49*100,0)</f>
        <v>0</v>
      </c>
      <c r="G49" s="458">
        <f t="shared" ref="G49:G52" si="39">IFERROR(E49/C49*100,0)</f>
        <v>0</v>
      </c>
      <c r="H49" s="507">
        <f>H50+H51</f>
        <v>0</v>
      </c>
      <c r="I49" s="507">
        <f t="shared" ref="I49:AE49" si="40">I50+I51</f>
        <v>0</v>
      </c>
      <c r="J49" s="507">
        <f t="shared" si="40"/>
        <v>0</v>
      </c>
      <c r="K49" s="507">
        <f t="shared" si="40"/>
        <v>0</v>
      </c>
      <c r="L49" s="507">
        <f t="shared" si="40"/>
        <v>0</v>
      </c>
      <c r="M49" s="507">
        <f t="shared" si="40"/>
        <v>0</v>
      </c>
      <c r="N49" s="507">
        <f t="shared" si="40"/>
        <v>0</v>
      </c>
      <c r="O49" s="507">
        <f t="shared" si="40"/>
        <v>0</v>
      </c>
      <c r="P49" s="507">
        <f t="shared" si="40"/>
        <v>0</v>
      </c>
      <c r="Q49" s="507">
        <f t="shared" si="40"/>
        <v>0</v>
      </c>
      <c r="R49" s="507">
        <f t="shared" si="40"/>
        <v>0</v>
      </c>
      <c r="S49" s="507">
        <f t="shared" si="40"/>
        <v>0</v>
      </c>
      <c r="T49" s="507">
        <f t="shared" si="40"/>
        <v>0</v>
      </c>
      <c r="U49" s="507">
        <f t="shared" si="40"/>
        <v>0</v>
      </c>
      <c r="V49" s="507">
        <f t="shared" si="40"/>
        <v>0</v>
      </c>
      <c r="W49" s="507">
        <f t="shared" si="40"/>
        <v>0</v>
      </c>
      <c r="X49" s="507">
        <f t="shared" si="40"/>
        <v>0</v>
      </c>
      <c r="Y49" s="507">
        <f t="shared" si="40"/>
        <v>0</v>
      </c>
      <c r="Z49" s="507">
        <f t="shared" si="40"/>
        <v>0</v>
      </c>
      <c r="AA49" s="507">
        <f t="shared" si="40"/>
        <v>0</v>
      </c>
      <c r="AB49" s="507">
        <f t="shared" si="40"/>
        <v>50</v>
      </c>
      <c r="AC49" s="507">
        <f t="shared" si="40"/>
        <v>0</v>
      </c>
      <c r="AD49" s="507">
        <f t="shared" si="40"/>
        <v>0</v>
      </c>
      <c r="AE49" s="507">
        <f t="shared" si="40"/>
        <v>0</v>
      </c>
      <c r="AF49" s="464"/>
      <c r="AG49" s="769"/>
    </row>
    <row r="50" spans="1:33" ht="21" x14ac:dyDescent="0.35">
      <c r="A50" s="461" t="s">
        <v>32</v>
      </c>
      <c r="B50" s="462">
        <f>SUM(H50,J50,L50,N50,P50,R50,T50,V50,X50,Z50,AB50,AD50)</f>
        <v>47.5</v>
      </c>
      <c r="C50" s="462">
        <f>H50+J50+L50</f>
        <v>0</v>
      </c>
      <c r="D50" s="462">
        <f>E50</f>
        <v>0</v>
      </c>
      <c r="E50" s="462">
        <f>SUM(I50,K50,M50,O50,Q50,S50,U50,W50,Y50,AA50,AC50,AE50)</f>
        <v>0</v>
      </c>
      <c r="F50" s="462">
        <f t="shared" si="38"/>
        <v>0</v>
      </c>
      <c r="G50" s="462">
        <f t="shared" si="39"/>
        <v>0</v>
      </c>
      <c r="H50" s="508">
        <f>H55</f>
        <v>0</v>
      </c>
      <c r="I50" s="508">
        <f t="shared" ref="I50:AE52" si="41">I55</f>
        <v>0</v>
      </c>
      <c r="J50" s="508">
        <f t="shared" si="41"/>
        <v>0</v>
      </c>
      <c r="K50" s="508">
        <f t="shared" si="41"/>
        <v>0</v>
      </c>
      <c r="L50" s="508">
        <f t="shared" si="41"/>
        <v>0</v>
      </c>
      <c r="M50" s="508">
        <f t="shared" si="41"/>
        <v>0</v>
      </c>
      <c r="N50" s="508">
        <f t="shared" si="41"/>
        <v>0</v>
      </c>
      <c r="O50" s="508">
        <f t="shared" si="41"/>
        <v>0</v>
      </c>
      <c r="P50" s="508">
        <f t="shared" si="41"/>
        <v>0</v>
      </c>
      <c r="Q50" s="508">
        <f t="shared" si="41"/>
        <v>0</v>
      </c>
      <c r="R50" s="508">
        <f t="shared" si="41"/>
        <v>0</v>
      </c>
      <c r="S50" s="508">
        <f t="shared" si="41"/>
        <v>0</v>
      </c>
      <c r="T50" s="508">
        <f t="shared" si="41"/>
        <v>0</v>
      </c>
      <c r="U50" s="508">
        <f t="shared" si="41"/>
        <v>0</v>
      </c>
      <c r="V50" s="508">
        <f t="shared" si="41"/>
        <v>0</v>
      </c>
      <c r="W50" s="508">
        <f t="shared" si="41"/>
        <v>0</v>
      </c>
      <c r="X50" s="508">
        <f t="shared" si="41"/>
        <v>0</v>
      </c>
      <c r="Y50" s="508">
        <f t="shared" si="41"/>
        <v>0</v>
      </c>
      <c r="Z50" s="508">
        <f t="shared" si="41"/>
        <v>0</v>
      </c>
      <c r="AA50" s="508">
        <f t="shared" si="41"/>
        <v>0</v>
      </c>
      <c r="AB50" s="508">
        <f t="shared" si="41"/>
        <v>47.5</v>
      </c>
      <c r="AC50" s="508">
        <f t="shared" si="41"/>
        <v>0</v>
      </c>
      <c r="AD50" s="508">
        <f t="shared" si="41"/>
        <v>0</v>
      </c>
      <c r="AE50" s="508">
        <f t="shared" si="41"/>
        <v>0</v>
      </c>
      <c r="AF50" s="463"/>
      <c r="AG50" s="769"/>
    </row>
    <row r="51" spans="1:33" ht="21" x14ac:dyDescent="0.35">
      <c r="A51" s="461" t="s">
        <v>33</v>
      </c>
      <c r="B51" s="462">
        <f>SUM(H51,J51,L51,N51,P51,R51,T51,V51,X51,Z51,AB51,AD51)</f>
        <v>2.5</v>
      </c>
      <c r="C51" s="462">
        <f>H51+J51+L51</f>
        <v>0</v>
      </c>
      <c r="D51" s="462">
        <f>E51</f>
        <v>0</v>
      </c>
      <c r="E51" s="462">
        <f>SUM(I51,K51,M51,O51,Q51,S51,U51,W51,Y51,AA51,AC51,AE51)</f>
        <v>0</v>
      </c>
      <c r="F51" s="462">
        <f t="shared" si="38"/>
        <v>0</v>
      </c>
      <c r="G51" s="462">
        <f t="shared" si="39"/>
        <v>0</v>
      </c>
      <c r="H51" s="508">
        <f t="shared" ref="H51:W52" si="42">H56</f>
        <v>0</v>
      </c>
      <c r="I51" s="508">
        <f t="shared" si="42"/>
        <v>0</v>
      </c>
      <c r="J51" s="508">
        <f t="shared" si="42"/>
        <v>0</v>
      </c>
      <c r="K51" s="508">
        <f t="shared" si="42"/>
        <v>0</v>
      </c>
      <c r="L51" s="508">
        <f t="shared" si="42"/>
        <v>0</v>
      </c>
      <c r="M51" s="508">
        <f t="shared" si="42"/>
        <v>0</v>
      </c>
      <c r="N51" s="508">
        <f t="shared" si="42"/>
        <v>0</v>
      </c>
      <c r="O51" s="508">
        <f t="shared" si="42"/>
        <v>0</v>
      </c>
      <c r="P51" s="508">
        <f t="shared" si="42"/>
        <v>0</v>
      </c>
      <c r="Q51" s="508">
        <f t="shared" si="42"/>
        <v>0</v>
      </c>
      <c r="R51" s="508">
        <f t="shared" si="42"/>
        <v>0</v>
      </c>
      <c r="S51" s="508">
        <f t="shared" si="42"/>
        <v>0</v>
      </c>
      <c r="T51" s="508">
        <f t="shared" si="42"/>
        <v>0</v>
      </c>
      <c r="U51" s="508">
        <f t="shared" si="42"/>
        <v>0</v>
      </c>
      <c r="V51" s="508">
        <f t="shared" si="42"/>
        <v>0</v>
      </c>
      <c r="W51" s="508">
        <f t="shared" si="42"/>
        <v>0</v>
      </c>
      <c r="X51" s="508">
        <f t="shared" si="41"/>
        <v>0</v>
      </c>
      <c r="Y51" s="508">
        <f t="shared" si="41"/>
        <v>0</v>
      </c>
      <c r="Z51" s="508">
        <f t="shared" si="41"/>
        <v>0</v>
      </c>
      <c r="AA51" s="508">
        <f t="shared" si="41"/>
        <v>0</v>
      </c>
      <c r="AB51" s="508">
        <f t="shared" si="41"/>
        <v>2.5</v>
      </c>
      <c r="AC51" s="508">
        <f t="shared" si="41"/>
        <v>0</v>
      </c>
      <c r="AD51" s="508">
        <f t="shared" si="41"/>
        <v>0</v>
      </c>
      <c r="AE51" s="508">
        <f t="shared" si="41"/>
        <v>0</v>
      </c>
      <c r="AF51" s="463"/>
      <c r="AG51" s="769"/>
    </row>
    <row r="52" spans="1:33" ht="37.5" x14ac:dyDescent="0.35">
      <c r="A52" s="481" t="s">
        <v>174</v>
      </c>
      <c r="B52" s="462">
        <f>SUM(H52,J52,L52,N52,P52,R52,T52,V52,X52,Z52,AB52,AD52)</f>
        <v>2.5</v>
      </c>
      <c r="C52" s="462">
        <f>H52+J52+L52</f>
        <v>0</v>
      </c>
      <c r="D52" s="462">
        <f>E52</f>
        <v>0</v>
      </c>
      <c r="E52" s="462">
        <f>SUM(I52,K52,M52,O52,Q52,S52,U52,W52,Y52,AA52,AC52,AE52)</f>
        <v>0</v>
      </c>
      <c r="F52" s="462">
        <f t="shared" si="38"/>
        <v>0</v>
      </c>
      <c r="G52" s="462">
        <f t="shared" si="39"/>
        <v>0</v>
      </c>
      <c r="H52" s="508">
        <f t="shared" si="42"/>
        <v>0</v>
      </c>
      <c r="I52" s="508">
        <f t="shared" si="42"/>
        <v>0</v>
      </c>
      <c r="J52" s="508">
        <f t="shared" si="42"/>
        <v>0</v>
      </c>
      <c r="K52" s="508">
        <f t="shared" si="42"/>
        <v>0</v>
      </c>
      <c r="L52" s="508">
        <f t="shared" si="42"/>
        <v>0</v>
      </c>
      <c r="M52" s="508">
        <f t="shared" si="42"/>
        <v>0</v>
      </c>
      <c r="N52" s="508">
        <f t="shared" si="42"/>
        <v>0</v>
      </c>
      <c r="O52" s="508">
        <f t="shared" si="42"/>
        <v>0</v>
      </c>
      <c r="P52" s="508">
        <f t="shared" si="42"/>
        <v>0</v>
      </c>
      <c r="Q52" s="508">
        <f t="shared" si="42"/>
        <v>0</v>
      </c>
      <c r="R52" s="508">
        <f t="shared" si="42"/>
        <v>0</v>
      </c>
      <c r="S52" s="508">
        <f t="shared" si="42"/>
        <v>0</v>
      </c>
      <c r="T52" s="508">
        <f t="shared" si="42"/>
        <v>0</v>
      </c>
      <c r="U52" s="508">
        <f t="shared" si="42"/>
        <v>0</v>
      </c>
      <c r="V52" s="508">
        <f t="shared" si="42"/>
        <v>0</v>
      </c>
      <c r="W52" s="508">
        <f t="shared" si="42"/>
        <v>0</v>
      </c>
      <c r="X52" s="508">
        <f t="shared" si="41"/>
        <v>0</v>
      </c>
      <c r="Y52" s="508">
        <f t="shared" si="41"/>
        <v>0</v>
      </c>
      <c r="Z52" s="508">
        <f t="shared" si="41"/>
        <v>0</v>
      </c>
      <c r="AA52" s="508">
        <f t="shared" si="41"/>
        <v>0</v>
      </c>
      <c r="AB52" s="508">
        <f t="shared" si="41"/>
        <v>2.5</v>
      </c>
      <c r="AC52" s="508">
        <f t="shared" si="41"/>
        <v>0</v>
      </c>
      <c r="AD52" s="508">
        <f t="shared" si="41"/>
        <v>0</v>
      </c>
      <c r="AE52" s="508">
        <f t="shared" si="41"/>
        <v>0</v>
      </c>
      <c r="AF52" s="463"/>
      <c r="AG52" s="769"/>
    </row>
    <row r="53" spans="1:33" ht="21" x14ac:dyDescent="0.35">
      <c r="A53" s="938" t="s">
        <v>362</v>
      </c>
      <c r="B53" s="936"/>
      <c r="C53" s="936"/>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7"/>
      <c r="AF53" s="482"/>
      <c r="AG53" s="769"/>
    </row>
    <row r="54" spans="1:33" s="460" customFormat="1" ht="21" x14ac:dyDescent="0.35">
      <c r="A54" s="457" t="s">
        <v>31</v>
      </c>
      <c r="B54" s="458">
        <f>B55+B56</f>
        <v>50</v>
      </c>
      <c r="C54" s="458">
        <f t="shared" ref="C54:E54" si="43">C55+C56</f>
        <v>0</v>
      </c>
      <c r="D54" s="458">
        <f t="shared" si="43"/>
        <v>0</v>
      </c>
      <c r="E54" s="458">
        <f t="shared" si="43"/>
        <v>0</v>
      </c>
      <c r="F54" s="458">
        <f t="shared" ref="F54:F57" si="44">IFERROR(E54/B54*100,0)</f>
        <v>0</v>
      </c>
      <c r="G54" s="458">
        <f t="shared" ref="G54:G57" si="45">IFERROR(E54/C54*100,0)</f>
        <v>0</v>
      </c>
      <c r="H54" s="507">
        <f>H55+H56</f>
        <v>0</v>
      </c>
      <c r="I54" s="507">
        <f t="shared" ref="I54:AE54" si="46">I55+I56</f>
        <v>0</v>
      </c>
      <c r="J54" s="507">
        <f t="shared" si="46"/>
        <v>0</v>
      </c>
      <c r="K54" s="507">
        <f t="shared" si="46"/>
        <v>0</v>
      </c>
      <c r="L54" s="507">
        <f t="shared" si="46"/>
        <v>0</v>
      </c>
      <c r="M54" s="507">
        <f t="shared" si="46"/>
        <v>0</v>
      </c>
      <c r="N54" s="507">
        <f t="shared" si="46"/>
        <v>0</v>
      </c>
      <c r="O54" s="507">
        <f t="shared" si="46"/>
        <v>0</v>
      </c>
      <c r="P54" s="507">
        <f t="shared" si="46"/>
        <v>0</v>
      </c>
      <c r="Q54" s="507">
        <f t="shared" si="46"/>
        <v>0</v>
      </c>
      <c r="R54" s="507">
        <f t="shared" si="46"/>
        <v>0</v>
      </c>
      <c r="S54" s="507">
        <f t="shared" si="46"/>
        <v>0</v>
      </c>
      <c r="T54" s="507">
        <f t="shared" si="46"/>
        <v>0</v>
      </c>
      <c r="U54" s="507">
        <f t="shared" si="46"/>
        <v>0</v>
      </c>
      <c r="V54" s="507">
        <f t="shared" si="46"/>
        <v>0</v>
      </c>
      <c r="W54" s="507">
        <f t="shared" si="46"/>
        <v>0</v>
      </c>
      <c r="X54" s="507">
        <f t="shared" si="46"/>
        <v>0</v>
      </c>
      <c r="Y54" s="507">
        <f t="shared" si="46"/>
        <v>0</v>
      </c>
      <c r="Z54" s="507">
        <f t="shared" si="46"/>
        <v>0</v>
      </c>
      <c r="AA54" s="507">
        <f t="shared" si="46"/>
        <v>0</v>
      </c>
      <c r="AB54" s="507">
        <f t="shared" si="46"/>
        <v>50</v>
      </c>
      <c r="AC54" s="507">
        <f t="shared" si="46"/>
        <v>0</v>
      </c>
      <c r="AD54" s="507">
        <f t="shared" si="46"/>
        <v>0</v>
      </c>
      <c r="AE54" s="507">
        <f t="shared" si="46"/>
        <v>0</v>
      </c>
      <c r="AF54" s="464"/>
      <c r="AG54" s="769"/>
    </row>
    <row r="55" spans="1:33" ht="21" x14ac:dyDescent="0.35">
      <c r="A55" s="461" t="s">
        <v>32</v>
      </c>
      <c r="B55" s="462">
        <f>SUM(H55,J55,L55,N55,P55,R55,T55,V55,X55,Z55,AB55,AD55)</f>
        <v>47.5</v>
      </c>
      <c r="C55" s="462">
        <f>H55+J55+L55</f>
        <v>0</v>
      </c>
      <c r="D55" s="462">
        <f>E55</f>
        <v>0</v>
      </c>
      <c r="E55" s="462">
        <f>SUM(I55,K55,M55,O55,Q55,S55,U55,W55,Y55,AA55,AC55,AE55)</f>
        <v>0</v>
      </c>
      <c r="F55" s="462">
        <f t="shared" si="44"/>
        <v>0</v>
      </c>
      <c r="G55" s="462">
        <f t="shared" si="45"/>
        <v>0</v>
      </c>
      <c r="H55" s="508">
        <v>0</v>
      </c>
      <c r="I55" s="508">
        <v>0</v>
      </c>
      <c r="J55" s="508">
        <v>0</v>
      </c>
      <c r="K55" s="508">
        <v>0</v>
      </c>
      <c r="L55" s="508">
        <v>0</v>
      </c>
      <c r="M55" s="508">
        <v>0</v>
      </c>
      <c r="N55" s="508">
        <v>0</v>
      </c>
      <c r="O55" s="508">
        <v>0</v>
      </c>
      <c r="P55" s="508">
        <v>0</v>
      </c>
      <c r="Q55" s="508">
        <v>0</v>
      </c>
      <c r="R55" s="508">
        <v>0</v>
      </c>
      <c r="S55" s="508">
        <v>0</v>
      </c>
      <c r="T55" s="508">
        <v>0</v>
      </c>
      <c r="U55" s="508">
        <v>0</v>
      </c>
      <c r="V55" s="508">
        <v>0</v>
      </c>
      <c r="W55" s="508">
        <v>0</v>
      </c>
      <c r="X55" s="508">
        <v>0</v>
      </c>
      <c r="Y55" s="508">
        <v>0</v>
      </c>
      <c r="Z55" s="508">
        <v>0</v>
      </c>
      <c r="AA55" s="508">
        <v>0</v>
      </c>
      <c r="AB55" s="508">
        <v>47.5</v>
      </c>
      <c r="AC55" s="508">
        <v>0</v>
      </c>
      <c r="AD55" s="508">
        <v>0</v>
      </c>
      <c r="AE55" s="508">
        <v>0</v>
      </c>
      <c r="AF55" s="463"/>
      <c r="AG55" s="769"/>
    </row>
    <row r="56" spans="1:33" ht="21" x14ac:dyDescent="0.35">
      <c r="A56" s="461" t="s">
        <v>33</v>
      </c>
      <c r="B56" s="462">
        <f>SUM(H56,J56,L56,N56,P56,R56,T56,V56,X56,Z56,AB56,AD56)</f>
        <v>2.5</v>
      </c>
      <c r="C56" s="462">
        <f>H56+J56+L56</f>
        <v>0</v>
      </c>
      <c r="D56" s="462">
        <f>E56</f>
        <v>0</v>
      </c>
      <c r="E56" s="462">
        <f>SUM(I56,K56,M56,O56,Q56,S56,U56,W56,Y56,AA56,AC56,AE56)</f>
        <v>0</v>
      </c>
      <c r="F56" s="462">
        <f t="shared" si="44"/>
        <v>0</v>
      </c>
      <c r="G56" s="462">
        <f t="shared" si="45"/>
        <v>0</v>
      </c>
      <c r="H56" s="508">
        <v>0</v>
      </c>
      <c r="I56" s="508">
        <v>0</v>
      </c>
      <c r="J56" s="508">
        <v>0</v>
      </c>
      <c r="K56" s="508">
        <v>0</v>
      </c>
      <c r="L56" s="508">
        <v>0</v>
      </c>
      <c r="M56" s="508">
        <v>0</v>
      </c>
      <c r="N56" s="508">
        <v>0</v>
      </c>
      <c r="O56" s="508">
        <v>0</v>
      </c>
      <c r="P56" s="508">
        <v>0</v>
      </c>
      <c r="Q56" s="508">
        <v>0</v>
      </c>
      <c r="R56" s="508">
        <v>0</v>
      </c>
      <c r="S56" s="508">
        <v>0</v>
      </c>
      <c r="T56" s="508">
        <v>0</v>
      </c>
      <c r="U56" s="508">
        <v>0</v>
      </c>
      <c r="V56" s="508">
        <v>0</v>
      </c>
      <c r="W56" s="508">
        <v>0</v>
      </c>
      <c r="X56" s="508">
        <v>0</v>
      </c>
      <c r="Y56" s="508">
        <v>0</v>
      </c>
      <c r="Z56" s="508">
        <v>0</v>
      </c>
      <c r="AA56" s="508">
        <v>0</v>
      </c>
      <c r="AB56" s="508">
        <v>2.5</v>
      </c>
      <c r="AC56" s="508">
        <v>0</v>
      </c>
      <c r="AD56" s="508">
        <v>0</v>
      </c>
      <c r="AE56" s="508">
        <v>0</v>
      </c>
      <c r="AF56" s="463"/>
      <c r="AG56" s="769"/>
    </row>
    <row r="57" spans="1:33" ht="37.5" x14ac:dyDescent="0.35">
      <c r="A57" s="481" t="s">
        <v>174</v>
      </c>
      <c r="B57" s="462">
        <f>SUM(H57,J57,L57,N57,P57,R57,T57,V57,X57,Z57,AB57,AD57)</f>
        <v>2.5</v>
      </c>
      <c r="C57" s="462">
        <f>H57+J57+L57</f>
        <v>0</v>
      </c>
      <c r="D57" s="462">
        <f>E57</f>
        <v>0</v>
      </c>
      <c r="E57" s="462">
        <f>SUM(I57,K57,M57,O57,Q57,S57,U57,W57,Y57,AA57,AC57,AE57)</f>
        <v>0</v>
      </c>
      <c r="F57" s="462">
        <f t="shared" si="44"/>
        <v>0</v>
      </c>
      <c r="G57" s="462">
        <f t="shared" si="45"/>
        <v>0</v>
      </c>
      <c r="H57" s="508">
        <v>0</v>
      </c>
      <c r="I57" s="508">
        <v>0</v>
      </c>
      <c r="J57" s="508">
        <v>0</v>
      </c>
      <c r="K57" s="508">
        <v>0</v>
      </c>
      <c r="L57" s="508">
        <v>0</v>
      </c>
      <c r="M57" s="508">
        <v>0</v>
      </c>
      <c r="N57" s="508">
        <v>0</v>
      </c>
      <c r="O57" s="508">
        <v>0</v>
      </c>
      <c r="P57" s="508">
        <v>0</v>
      </c>
      <c r="Q57" s="508">
        <v>0</v>
      </c>
      <c r="R57" s="508">
        <v>0</v>
      </c>
      <c r="S57" s="508">
        <v>0</v>
      </c>
      <c r="T57" s="508">
        <v>0</v>
      </c>
      <c r="U57" s="508">
        <v>0</v>
      </c>
      <c r="V57" s="508">
        <v>0</v>
      </c>
      <c r="W57" s="508">
        <v>0</v>
      </c>
      <c r="X57" s="508">
        <v>0</v>
      </c>
      <c r="Y57" s="508">
        <v>0</v>
      </c>
      <c r="Z57" s="508">
        <v>0</v>
      </c>
      <c r="AA57" s="508">
        <v>0</v>
      </c>
      <c r="AB57" s="508">
        <v>2.5</v>
      </c>
      <c r="AC57" s="508">
        <v>0</v>
      </c>
      <c r="AD57" s="508">
        <v>0</v>
      </c>
      <c r="AE57" s="508">
        <v>0</v>
      </c>
      <c r="AF57" s="463"/>
      <c r="AG57" s="769"/>
    </row>
    <row r="58" spans="1:33" ht="21" x14ac:dyDescent="0.35">
      <c r="A58" s="939" t="s">
        <v>363</v>
      </c>
      <c r="B58" s="939"/>
      <c r="C58" s="939"/>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483"/>
      <c r="AG58" s="769"/>
    </row>
    <row r="59" spans="1:33" s="460" customFormat="1" ht="21" x14ac:dyDescent="0.35">
      <c r="A59" s="457" t="s">
        <v>31</v>
      </c>
      <c r="B59" s="458">
        <f>B60+B61</f>
        <v>8738.1</v>
      </c>
      <c r="C59" s="458">
        <f t="shared" ref="C59:E59" si="47">C60+C61</f>
        <v>0</v>
      </c>
      <c r="D59" s="458">
        <f t="shared" si="47"/>
        <v>0</v>
      </c>
      <c r="E59" s="458">
        <f t="shared" si="47"/>
        <v>0</v>
      </c>
      <c r="F59" s="458">
        <f t="shared" ref="F59:F62" si="48">IFERROR(E59/B59*100,0)</f>
        <v>0</v>
      </c>
      <c r="G59" s="458">
        <f t="shared" ref="G59:G62" si="49">IFERROR(E59/C59*100,0)</f>
        <v>0</v>
      </c>
      <c r="H59" s="507">
        <f>H60+H61</f>
        <v>0</v>
      </c>
      <c r="I59" s="507">
        <f t="shared" ref="I59:AE59" si="50">I60+I61</f>
        <v>0</v>
      </c>
      <c r="J59" s="507">
        <f t="shared" si="50"/>
        <v>0</v>
      </c>
      <c r="K59" s="507">
        <f t="shared" si="50"/>
        <v>0</v>
      </c>
      <c r="L59" s="507">
        <f t="shared" si="50"/>
        <v>0</v>
      </c>
      <c r="M59" s="507">
        <f t="shared" si="50"/>
        <v>0</v>
      </c>
      <c r="N59" s="507">
        <f t="shared" si="50"/>
        <v>0</v>
      </c>
      <c r="O59" s="507">
        <f t="shared" si="50"/>
        <v>0</v>
      </c>
      <c r="P59" s="507">
        <f t="shared" si="50"/>
        <v>0</v>
      </c>
      <c r="Q59" s="507">
        <f t="shared" si="50"/>
        <v>0</v>
      </c>
      <c r="R59" s="507">
        <f t="shared" si="50"/>
        <v>4656.3999999999996</v>
      </c>
      <c r="S59" s="507">
        <f t="shared" si="50"/>
        <v>0</v>
      </c>
      <c r="T59" s="507">
        <f t="shared" si="50"/>
        <v>4081.7</v>
      </c>
      <c r="U59" s="507">
        <f t="shared" si="50"/>
        <v>0</v>
      </c>
      <c r="V59" s="507">
        <f t="shared" si="50"/>
        <v>0</v>
      </c>
      <c r="W59" s="507">
        <f t="shared" si="50"/>
        <v>0</v>
      </c>
      <c r="X59" s="507">
        <f t="shared" si="50"/>
        <v>0</v>
      </c>
      <c r="Y59" s="507">
        <f t="shared" si="50"/>
        <v>0</v>
      </c>
      <c r="Z59" s="507">
        <f t="shared" si="50"/>
        <v>0</v>
      </c>
      <c r="AA59" s="507">
        <f t="shared" si="50"/>
        <v>0</v>
      </c>
      <c r="AB59" s="507">
        <f t="shared" si="50"/>
        <v>0</v>
      </c>
      <c r="AC59" s="507">
        <f t="shared" si="50"/>
        <v>0</v>
      </c>
      <c r="AD59" s="507">
        <f t="shared" si="50"/>
        <v>0</v>
      </c>
      <c r="AE59" s="507">
        <f t="shared" si="50"/>
        <v>0</v>
      </c>
      <c r="AF59" s="480"/>
      <c r="AG59" s="769"/>
    </row>
    <row r="60" spans="1:33" ht="21" x14ac:dyDescent="0.35">
      <c r="A60" s="461" t="s">
        <v>32</v>
      </c>
      <c r="B60" s="473">
        <f>B70+B75+B80+B85+B90+B95+B100+B105+B110+B115+B120</f>
        <v>3972.6</v>
      </c>
      <c r="C60" s="473">
        <f t="shared" ref="C60:E61" si="51">C70+C80+C85+C90+C95+C100+C105+C110+C115+C120</f>
        <v>0</v>
      </c>
      <c r="D60" s="473">
        <f t="shared" si="51"/>
        <v>0</v>
      </c>
      <c r="E60" s="473">
        <f t="shared" si="51"/>
        <v>0</v>
      </c>
      <c r="F60" s="473">
        <f t="shared" si="48"/>
        <v>0</v>
      </c>
      <c r="G60" s="473">
        <f t="shared" si="49"/>
        <v>0</v>
      </c>
      <c r="H60" s="510">
        <f t="shared" ref="H60:AE61" si="52">H70+H75+H80+H85+H90+H95+H100+H105+H110+H115+H120</f>
        <v>0</v>
      </c>
      <c r="I60" s="510">
        <f t="shared" si="52"/>
        <v>0</v>
      </c>
      <c r="J60" s="510">
        <f t="shared" si="52"/>
        <v>0</v>
      </c>
      <c r="K60" s="510">
        <f t="shared" si="52"/>
        <v>0</v>
      </c>
      <c r="L60" s="510">
        <f t="shared" si="52"/>
        <v>0</v>
      </c>
      <c r="M60" s="510">
        <f t="shared" si="52"/>
        <v>0</v>
      </c>
      <c r="N60" s="510">
        <f t="shared" si="52"/>
        <v>0</v>
      </c>
      <c r="O60" s="510">
        <f t="shared" si="52"/>
        <v>0</v>
      </c>
      <c r="P60" s="510">
        <f t="shared" si="52"/>
        <v>0</v>
      </c>
      <c r="Q60" s="510">
        <f t="shared" si="52"/>
        <v>0</v>
      </c>
      <c r="R60" s="510">
        <f t="shared" si="52"/>
        <v>95</v>
      </c>
      <c r="S60" s="510">
        <f t="shared" si="52"/>
        <v>0</v>
      </c>
      <c r="T60" s="510">
        <f t="shared" si="52"/>
        <v>3877.6</v>
      </c>
      <c r="U60" s="510">
        <f t="shared" si="52"/>
        <v>0</v>
      </c>
      <c r="V60" s="510">
        <f t="shared" si="52"/>
        <v>0</v>
      </c>
      <c r="W60" s="510">
        <f t="shared" si="52"/>
        <v>0</v>
      </c>
      <c r="X60" s="510">
        <f t="shared" si="52"/>
        <v>0</v>
      </c>
      <c r="Y60" s="510">
        <f t="shared" si="52"/>
        <v>0</v>
      </c>
      <c r="Z60" s="510">
        <f t="shared" si="52"/>
        <v>0</v>
      </c>
      <c r="AA60" s="510">
        <f t="shared" si="52"/>
        <v>0</v>
      </c>
      <c r="AB60" s="510">
        <f t="shared" si="52"/>
        <v>0</v>
      </c>
      <c r="AC60" s="510">
        <f t="shared" si="52"/>
        <v>0</v>
      </c>
      <c r="AD60" s="510">
        <f t="shared" si="52"/>
        <v>0</v>
      </c>
      <c r="AE60" s="510">
        <f t="shared" si="52"/>
        <v>0</v>
      </c>
      <c r="AF60" s="463"/>
      <c r="AG60" s="769"/>
    </row>
    <row r="61" spans="1:33" ht="21" x14ac:dyDescent="0.35">
      <c r="A61" s="461" t="s">
        <v>33</v>
      </c>
      <c r="B61" s="473">
        <f>B71+B76+B81+B86+B91+B96+B101+B106+B111+B116+B121</f>
        <v>4765.5</v>
      </c>
      <c r="C61" s="473">
        <f t="shared" si="51"/>
        <v>0</v>
      </c>
      <c r="D61" s="473">
        <f t="shared" si="51"/>
        <v>0</v>
      </c>
      <c r="E61" s="473">
        <f t="shared" si="51"/>
        <v>0</v>
      </c>
      <c r="F61" s="473">
        <f t="shared" si="48"/>
        <v>0</v>
      </c>
      <c r="G61" s="473">
        <f t="shared" si="49"/>
        <v>0</v>
      </c>
      <c r="H61" s="510">
        <f t="shared" si="52"/>
        <v>0</v>
      </c>
      <c r="I61" s="510">
        <f t="shared" si="52"/>
        <v>0</v>
      </c>
      <c r="J61" s="510">
        <f t="shared" si="52"/>
        <v>0</v>
      </c>
      <c r="K61" s="510">
        <f t="shared" si="52"/>
        <v>0</v>
      </c>
      <c r="L61" s="510">
        <f t="shared" si="52"/>
        <v>0</v>
      </c>
      <c r="M61" s="510">
        <f t="shared" si="52"/>
        <v>0</v>
      </c>
      <c r="N61" s="510">
        <f t="shared" si="52"/>
        <v>0</v>
      </c>
      <c r="O61" s="510">
        <f t="shared" si="52"/>
        <v>0</v>
      </c>
      <c r="P61" s="510">
        <f t="shared" si="52"/>
        <v>0</v>
      </c>
      <c r="Q61" s="510">
        <f t="shared" si="52"/>
        <v>0</v>
      </c>
      <c r="R61" s="510">
        <f t="shared" si="52"/>
        <v>4561.3999999999996</v>
      </c>
      <c r="S61" s="510">
        <f t="shared" si="52"/>
        <v>0</v>
      </c>
      <c r="T61" s="510">
        <f t="shared" si="52"/>
        <v>204.1</v>
      </c>
      <c r="U61" s="510">
        <f t="shared" si="52"/>
        <v>0</v>
      </c>
      <c r="V61" s="510">
        <f t="shared" si="52"/>
        <v>0</v>
      </c>
      <c r="W61" s="510">
        <f t="shared" si="52"/>
        <v>0</v>
      </c>
      <c r="X61" s="510">
        <f t="shared" si="52"/>
        <v>0</v>
      </c>
      <c r="Y61" s="510">
        <f t="shared" si="52"/>
        <v>0</v>
      </c>
      <c r="Z61" s="510">
        <f t="shared" si="52"/>
        <v>0</v>
      </c>
      <c r="AA61" s="510">
        <f t="shared" si="52"/>
        <v>0</v>
      </c>
      <c r="AB61" s="510">
        <f t="shared" si="52"/>
        <v>0</v>
      </c>
      <c r="AC61" s="510">
        <f t="shared" si="52"/>
        <v>0</v>
      </c>
      <c r="AD61" s="510">
        <f t="shared" si="52"/>
        <v>0</v>
      </c>
      <c r="AE61" s="510">
        <f t="shared" si="52"/>
        <v>0</v>
      </c>
      <c r="AF61" s="463"/>
      <c r="AG61" s="769"/>
    </row>
    <row r="62" spans="1:33" ht="37.5" x14ac:dyDescent="0.35">
      <c r="A62" s="481" t="s">
        <v>174</v>
      </c>
      <c r="B62" s="473">
        <f>B72+B77+B82+B87+B92+B97+B102+B107+B112+B117+B122</f>
        <v>209.1</v>
      </c>
      <c r="C62" s="473">
        <f t="shared" ref="C62:AE62" si="53">C72+C77+C82+C87+C92+C97+C102+C107+C112+C117+C122</f>
        <v>0</v>
      </c>
      <c r="D62" s="473">
        <f t="shared" si="53"/>
        <v>0</v>
      </c>
      <c r="E62" s="473">
        <f t="shared" si="53"/>
        <v>0</v>
      </c>
      <c r="F62" s="473">
        <f t="shared" si="48"/>
        <v>0</v>
      </c>
      <c r="G62" s="473">
        <f t="shared" si="49"/>
        <v>0</v>
      </c>
      <c r="H62" s="510">
        <f t="shared" si="53"/>
        <v>0</v>
      </c>
      <c r="I62" s="510">
        <f t="shared" si="53"/>
        <v>0</v>
      </c>
      <c r="J62" s="510">
        <f t="shared" si="53"/>
        <v>0</v>
      </c>
      <c r="K62" s="510">
        <f t="shared" si="53"/>
        <v>0</v>
      </c>
      <c r="L62" s="510">
        <f t="shared" si="53"/>
        <v>0</v>
      </c>
      <c r="M62" s="510">
        <f t="shared" si="53"/>
        <v>0</v>
      </c>
      <c r="N62" s="510">
        <f t="shared" si="53"/>
        <v>0</v>
      </c>
      <c r="O62" s="510">
        <f t="shared" si="53"/>
        <v>0</v>
      </c>
      <c r="P62" s="510">
        <f t="shared" si="53"/>
        <v>0</v>
      </c>
      <c r="Q62" s="510">
        <f t="shared" si="53"/>
        <v>0</v>
      </c>
      <c r="R62" s="510">
        <f t="shared" si="53"/>
        <v>5</v>
      </c>
      <c r="S62" s="510">
        <f t="shared" si="53"/>
        <v>0</v>
      </c>
      <c r="T62" s="510">
        <f t="shared" si="53"/>
        <v>204.1</v>
      </c>
      <c r="U62" s="510">
        <f t="shared" si="53"/>
        <v>0</v>
      </c>
      <c r="V62" s="510">
        <f t="shared" si="53"/>
        <v>0</v>
      </c>
      <c r="W62" s="510">
        <f t="shared" si="53"/>
        <v>0</v>
      </c>
      <c r="X62" s="510">
        <f t="shared" si="53"/>
        <v>0</v>
      </c>
      <c r="Y62" s="510">
        <f t="shared" si="53"/>
        <v>0</v>
      </c>
      <c r="Z62" s="510">
        <f t="shared" si="53"/>
        <v>0</v>
      </c>
      <c r="AA62" s="510">
        <f t="shared" si="53"/>
        <v>0</v>
      </c>
      <c r="AB62" s="510">
        <f t="shared" si="53"/>
        <v>0</v>
      </c>
      <c r="AC62" s="510">
        <f t="shared" si="53"/>
        <v>0</v>
      </c>
      <c r="AD62" s="510">
        <f t="shared" si="53"/>
        <v>0</v>
      </c>
      <c r="AE62" s="510">
        <f t="shared" si="53"/>
        <v>0</v>
      </c>
      <c r="AF62" s="463"/>
      <c r="AG62" s="769"/>
    </row>
    <row r="63" spans="1:33" ht="21" x14ac:dyDescent="0.35">
      <c r="A63" s="938" t="s">
        <v>364</v>
      </c>
      <c r="B63" s="936"/>
      <c r="C63" s="936"/>
      <c r="D63" s="936"/>
      <c r="E63" s="936"/>
      <c r="F63" s="936"/>
      <c r="G63" s="936"/>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7"/>
      <c r="AF63" s="463"/>
      <c r="AG63" s="769"/>
    </row>
    <row r="64" spans="1:33" s="460" customFormat="1" ht="21" x14ac:dyDescent="0.35">
      <c r="A64" s="457" t="s">
        <v>31</v>
      </c>
      <c r="B64" s="458">
        <f>B65+B66</f>
        <v>8738.1</v>
      </c>
      <c r="C64" s="458">
        <f t="shared" ref="C64:E64" si="54">C65+C66</f>
        <v>0</v>
      </c>
      <c r="D64" s="458">
        <f t="shared" si="54"/>
        <v>0</v>
      </c>
      <c r="E64" s="458">
        <f t="shared" si="54"/>
        <v>0</v>
      </c>
      <c r="F64" s="458">
        <f t="shared" ref="F64:F67" si="55">IFERROR(E64/B64*100,0)</f>
        <v>0</v>
      </c>
      <c r="G64" s="458">
        <f t="shared" ref="G64:G67" si="56">IFERROR(E64/C64*100,0)</f>
        <v>0</v>
      </c>
      <c r="H64" s="507">
        <f>H65+H66</f>
        <v>0</v>
      </c>
      <c r="I64" s="507">
        <f t="shared" ref="I64:AE64" si="57">I65+I66</f>
        <v>0</v>
      </c>
      <c r="J64" s="507">
        <f t="shared" si="57"/>
        <v>0</v>
      </c>
      <c r="K64" s="507">
        <f t="shared" si="57"/>
        <v>0</v>
      </c>
      <c r="L64" s="507">
        <f t="shared" si="57"/>
        <v>0</v>
      </c>
      <c r="M64" s="507">
        <f t="shared" si="57"/>
        <v>0</v>
      </c>
      <c r="N64" s="507">
        <f t="shared" si="57"/>
        <v>0</v>
      </c>
      <c r="O64" s="507">
        <f t="shared" si="57"/>
        <v>0</v>
      </c>
      <c r="P64" s="507">
        <f t="shared" si="57"/>
        <v>0</v>
      </c>
      <c r="Q64" s="507">
        <f t="shared" si="57"/>
        <v>0</v>
      </c>
      <c r="R64" s="507">
        <f t="shared" si="57"/>
        <v>4656.3999999999996</v>
      </c>
      <c r="S64" s="507">
        <f t="shared" si="57"/>
        <v>0</v>
      </c>
      <c r="T64" s="507">
        <f t="shared" si="57"/>
        <v>4081.7</v>
      </c>
      <c r="U64" s="507">
        <f t="shared" si="57"/>
        <v>0</v>
      </c>
      <c r="V64" s="507">
        <f t="shared" si="57"/>
        <v>0</v>
      </c>
      <c r="W64" s="507">
        <f t="shared" si="57"/>
        <v>0</v>
      </c>
      <c r="X64" s="507">
        <f t="shared" si="57"/>
        <v>0</v>
      </c>
      <c r="Y64" s="507">
        <f t="shared" si="57"/>
        <v>0</v>
      </c>
      <c r="Z64" s="507">
        <f t="shared" si="57"/>
        <v>0</v>
      </c>
      <c r="AA64" s="507">
        <f t="shared" si="57"/>
        <v>0</v>
      </c>
      <c r="AB64" s="507">
        <f t="shared" si="57"/>
        <v>0</v>
      </c>
      <c r="AC64" s="507">
        <f t="shared" si="57"/>
        <v>0</v>
      </c>
      <c r="AD64" s="507">
        <f t="shared" si="57"/>
        <v>0</v>
      </c>
      <c r="AE64" s="507">
        <f t="shared" si="57"/>
        <v>0</v>
      </c>
      <c r="AF64" s="464"/>
      <c r="AG64" s="769"/>
    </row>
    <row r="65" spans="1:33" ht="21" x14ac:dyDescent="0.35">
      <c r="A65" s="461" t="s">
        <v>32</v>
      </c>
      <c r="B65" s="462">
        <f>SUM(H65,J65,L65,N65,P65,R65,T65,V65,X65,Z65,AB65,AD65)</f>
        <v>3972.6</v>
      </c>
      <c r="C65" s="462">
        <f>H65+J65+L65</f>
        <v>0</v>
      </c>
      <c r="D65" s="462">
        <f>E65</f>
        <v>0</v>
      </c>
      <c r="E65" s="462">
        <f>SUM(I65,K65,M65,O65,Q65,S65,U65,W65,Y65,AA65,AC65,AE65)</f>
        <v>0</v>
      </c>
      <c r="F65" s="462">
        <f t="shared" si="55"/>
        <v>0</v>
      </c>
      <c r="G65" s="462">
        <f t="shared" si="56"/>
        <v>0</v>
      </c>
      <c r="H65" s="508">
        <f>H70+H75+H80+H85+H90+H95+H100+H105+H110+H115+H120</f>
        <v>0</v>
      </c>
      <c r="I65" s="508">
        <f t="shared" ref="I65:AE67" si="58">I70+I75+I80+I85+I90+I95+I100+I105+I110+I115+I120</f>
        <v>0</v>
      </c>
      <c r="J65" s="508">
        <f t="shared" si="58"/>
        <v>0</v>
      </c>
      <c r="K65" s="508">
        <f t="shared" si="58"/>
        <v>0</v>
      </c>
      <c r="L65" s="508">
        <f t="shared" si="58"/>
        <v>0</v>
      </c>
      <c r="M65" s="508">
        <f t="shared" si="58"/>
        <v>0</v>
      </c>
      <c r="N65" s="508">
        <f t="shared" si="58"/>
        <v>0</v>
      </c>
      <c r="O65" s="508">
        <f t="shared" si="58"/>
        <v>0</v>
      </c>
      <c r="P65" s="508">
        <f t="shared" si="58"/>
        <v>0</v>
      </c>
      <c r="Q65" s="508">
        <f t="shared" si="58"/>
        <v>0</v>
      </c>
      <c r="R65" s="508">
        <f t="shared" si="58"/>
        <v>95</v>
      </c>
      <c r="S65" s="508">
        <f t="shared" si="58"/>
        <v>0</v>
      </c>
      <c r="T65" s="508">
        <f t="shared" si="58"/>
        <v>3877.6</v>
      </c>
      <c r="U65" s="508">
        <f t="shared" si="58"/>
        <v>0</v>
      </c>
      <c r="V65" s="508">
        <f t="shared" si="58"/>
        <v>0</v>
      </c>
      <c r="W65" s="508">
        <f t="shared" si="58"/>
        <v>0</v>
      </c>
      <c r="X65" s="508">
        <f t="shared" si="58"/>
        <v>0</v>
      </c>
      <c r="Y65" s="508">
        <f t="shared" si="58"/>
        <v>0</v>
      </c>
      <c r="Z65" s="508">
        <f t="shared" si="58"/>
        <v>0</v>
      </c>
      <c r="AA65" s="508">
        <f t="shared" si="58"/>
        <v>0</v>
      </c>
      <c r="AB65" s="508">
        <f t="shared" si="58"/>
        <v>0</v>
      </c>
      <c r="AC65" s="508">
        <f t="shared" si="58"/>
        <v>0</v>
      </c>
      <c r="AD65" s="508">
        <f t="shared" si="58"/>
        <v>0</v>
      </c>
      <c r="AE65" s="508">
        <f t="shared" si="58"/>
        <v>0</v>
      </c>
      <c r="AF65" s="463"/>
      <c r="AG65" s="769"/>
    </row>
    <row r="66" spans="1:33" ht="21" x14ac:dyDescent="0.35">
      <c r="A66" s="461" t="s">
        <v>33</v>
      </c>
      <c r="B66" s="462">
        <f>SUM(H66,J66,L66,N66,P66,R66,T66,V66,X66,Z66,AB66,AD66)</f>
        <v>4765.5</v>
      </c>
      <c r="C66" s="462">
        <f>H66+J66+L66</f>
        <v>0</v>
      </c>
      <c r="D66" s="462">
        <f>E66</f>
        <v>0</v>
      </c>
      <c r="E66" s="462">
        <f>SUM(I66,K66,M66,O66,Q66,S66,U66,W66,Y66,AA66,AC66,AE66)</f>
        <v>0</v>
      </c>
      <c r="F66" s="462">
        <f t="shared" si="55"/>
        <v>0</v>
      </c>
      <c r="G66" s="462">
        <f t="shared" si="56"/>
        <v>0</v>
      </c>
      <c r="H66" s="508">
        <f t="shared" ref="H66:W67" si="59">H71+H76+H81+H86+H91+H96+H101+H106+H111+H116+H121</f>
        <v>0</v>
      </c>
      <c r="I66" s="508">
        <f t="shared" si="59"/>
        <v>0</v>
      </c>
      <c r="J66" s="508">
        <f t="shared" si="59"/>
        <v>0</v>
      </c>
      <c r="K66" s="508">
        <f t="shared" si="59"/>
        <v>0</v>
      </c>
      <c r="L66" s="508">
        <f t="shared" si="59"/>
        <v>0</v>
      </c>
      <c r="M66" s="508">
        <f t="shared" si="59"/>
        <v>0</v>
      </c>
      <c r="N66" s="508">
        <f t="shared" si="59"/>
        <v>0</v>
      </c>
      <c r="O66" s="508">
        <f t="shared" si="59"/>
        <v>0</v>
      </c>
      <c r="P66" s="508">
        <f t="shared" si="59"/>
        <v>0</v>
      </c>
      <c r="Q66" s="508">
        <f t="shared" si="59"/>
        <v>0</v>
      </c>
      <c r="R66" s="508">
        <f t="shared" si="59"/>
        <v>4561.3999999999996</v>
      </c>
      <c r="S66" s="508">
        <f t="shared" si="59"/>
        <v>0</v>
      </c>
      <c r="T66" s="508">
        <f t="shared" si="59"/>
        <v>204.1</v>
      </c>
      <c r="U66" s="508">
        <f t="shared" si="59"/>
        <v>0</v>
      </c>
      <c r="V66" s="508">
        <f t="shared" si="59"/>
        <v>0</v>
      </c>
      <c r="W66" s="508">
        <f t="shared" si="59"/>
        <v>0</v>
      </c>
      <c r="X66" s="508">
        <f t="shared" si="58"/>
        <v>0</v>
      </c>
      <c r="Y66" s="508">
        <f t="shared" si="58"/>
        <v>0</v>
      </c>
      <c r="Z66" s="508">
        <f t="shared" si="58"/>
        <v>0</v>
      </c>
      <c r="AA66" s="508">
        <f t="shared" si="58"/>
        <v>0</v>
      </c>
      <c r="AB66" s="508">
        <f t="shared" si="58"/>
        <v>0</v>
      </c>
      <c r="AC66" s="508">
        <f t="shared" si="58"/>
        <v>0</v>
      </c>
      <c r="AD66" s="508">
        <f t="shared" si="58"/>
        <v>0</v>
      </c>
      <c r="AE66" s="508">
        <f t="shared" si="58"/>
        <v>0</v>
      </c>
      <c r="AF66" s="463"/>
      <c r="AG66" s="769"/>
    </row>
    <row r="67" spans="1:33" ht="37.5" x14ac:dyDescent="0.35">
      <c r="A67" s="481" t="s">
        <v>174</v>
      </c>
      <c r="B67" s="462">
        <f>SUM(H67,J67,L67,N67,P67,R67,T67,V67,X67,Z67,AB67,AD67)</f>
        <v>209.1</v>
      </c>
      <c r="C67" s="462">
        <f>H67+J67+L67</f>
        <v>0</v>
      </c>
      <c r="D67" s="462">
        <f>E67</f>
        <v>0</v>
      </c>
      <c r="E67" s="462">
        <f>SUM(I67,K67,M67,O67,Q67,S67,U67,W67,Y67,AA67,AC67,AE67)</f>
        <v>0</v>
      </c>
      <c r="F67" s="462">
        <f t="shared" si="55"/>
        <v>0</v>
      </c>
      <c r="G67" s="462">
        <f t="shared" si="56"/>
        <v>0</v>
      </c>
      <c r="H67" s="508">
        <f t="shared" si="59"/>
        <v>0</v>
      </c>
      <c r="I67" s="508">
        <f t="shared" si="59"/>
        <v>0</v>
      </c>
      <c r="J67" s="508">
        <f t="shared" si="59"/>
        <v>0</v>
      </c>
      <c r="K67" s="508">
        <f t="shared" si="59"/>
        <v>0</v>
      </c>
      <c r="L67" s="508">
        <f t="shared" si="59"/>
        <v>0</v>
      </c>
      <c r="M67" s="508">
        <f t="shared" si="59"/>
        <v>0</v>
      </c>
      <c r="N67" s="508">
        <f t="shared" si="59"/>
        <v>0</v>
      </c>
      <c r="O67" s="508">
        <f t="shared" si="59"/>
        <v>0</v>
      </c>
      <c r="P67" s="508">
        <f t="shared" si="59"/>
        <v>0</v>
      </c>
      <c r="Q67" s="508">
        <f t="shared" si="59"/>
        <v>0</v>
      </c>
      <c r="R67" s="508">
        <f t="shared" si="59"/>
        <v>5</v>
      </c>
      <c r="S67" s="508">
        <f t="shared" si="59"/>
        <v>0</v>
      </c>
      <c r="T67" s="508">
        <f t="shared" si="59"/>
        <v>204.1</v>
      </c>
      <c r="U67" s="508">
        <f t="shared" si="59"/>
        <v>0</v>
      </c>
      <c r="V67" s="508">
        <f t="shared" si="59"/>
        <v>0</v>
      </c>
      <c r="W67" s="508">
        <f t="shared" si="59"/>
        <v>0</v>
      </c>
      <c r="X67" s="508">
        <f t="shared" si="58"/>
        <v>0</v>
      </c>
      <c r="Y67" s="508">
        <f t="shared" si="58"/>
        <v>0</v>
      </c>
      <c r="Z67" s="508">
        <f t="shared" si="58"/>
        <v>0</v>
      </c>
      <c r="AA67" s="508">
        <f t="shared" si="58"/>
        <v>0</v>
      </c>
      <c r="AB67" s="508">
        <f t="shared" si="58"/>
        <v>0</v>
      </c>
      <c r="AC67" s="508">
        <f t="shared" si="58"/>
        <v>0</v>
      </c>
      <c r="AD67" s="508">
        <f t="shared" si="58"/>
        <v>0</v>
      </c>
      <c r="AE67" s="508">
        <f t="shared" si="58"/>
        <v>0</v>
      </c>
      <c r="AF67" s="463"/>
      <c r="AG67" s="769"/>
    </row>
    <row r="68" spans="1:33" ht="21" x14ac:dyDescent="0.35">
      <c r="A68" s="938" t="s">
        <v>365</v>
      </c>
      <c r="B68" s="936"/>
      <c r="C68" s="936"/>
      <c r="D68" s="936"/>
      <c r="E68" s="936"/>
      <c r="F68" s="936"/>
      <c r="G68" s="936"/>
      <c r="H68" s="936"/>
      <c r="I68" s="936"/>
      <c r="J68" s="936"/>
      <c r="K68" s="936"/>
      <c r="L68" s="936"/>
      <c r="M68" s="936"/>
      <c r="N68" s="936"/>
      <c r="O68" s="936"/>
      <c r="P68" s="936"/>
      <c r="Q68" s="936"/>
      <c r="R68" s="936"/>
      <c r="S68" s="936"/>
      <c r="T68" s="936"/>
      <c r="U68" s="936"/>
      <c r="V68" s="936"/>
      <c r="W68" s="936"/>
      <c r="X68" s="936"/>
      <c r="Y68" s="936"/>
      <c r="Z68" s="936"/>
      <c r="AA68" s="936"/>
      <c r="AB68" s="936"/>
      <c r="AC68" s="936"/>
      <c r="AD68" s="936"/>
      <c r="AE68" s="937"/>
      <c r="AF68" s="463"/>
      <c r="AG68" s="769"/>
    </row>
    <row r="69" spans="1:33" s="460" customFormat="1" ht="21" x14ac:dyDescent="0.35">
      <c r="A69" s="457" t="s">
        <v>31</v>
      </c>
      <c r="B69" s="458">
        <f>B70+B71</f>
        <v>1684.22</v>
      </c>
      <c r="C69" s="458">
        <f t="shared" ref="C69:E69" si="60">C70+C71</f>
        <v>0</v>
      </c>
      <c r="D69" s="458">
        <f t="shared" si="60"/>
        <v>0</v>
      </c>
      <c r="E69" s="458">
        <f t="shared" si="60"/>
        <v>0</v>
      </c>
      <c r="F69" s="458">
        <f t="shared" ref="F69:F72" si="61">IFERROR(E69/B69*100,0)</f>
        <v>0</v>
      </c>
      <c r="G69" s="458">
        <f t="shared" ref="G69:G72" si="62">IFERROR(E69/C69*100,0)</f>
        <v>0</v>
      </c>
      <c r="H69" s="507">
        <f>H70+H71</f>
        <v>0</v>
      </c>
      <c r="I69" s="507">
        <f t="shared" ref="I69:AE69" si="63">I70+I71</f>
        <v>0</v>
      </c>
      <c r="J69" s="507">
        <f t="shared" si="63"/>
        <v>0</v>
      </c>
      <c r="K69" s="507">
        <f t="shared" si="63"/>
        <v>0</v>
      </c>
      <c r="L69" s="507">
        <f t="shared" si="63"/>
        <v>0</v>
      </c>
      <c r="M69" s="507">
        <f t="shared" si="63"/>
        <v>0</v>
      </c>
      <c r="N69" s="507">
        <f t="shared" si="63"/>
        <v>0</v>
      </c>
      <c r="O69" s="507">
        <f t="shared" si="63"/>
        <v>0</v>
      </c>
      <c r="P69" s="507">
        <f t="shared" si="63"/>
        <v>0</v>
      </c>
      <c r="Q69" s="507">
        <f t="shared" si="63"/>
        <v>0</v>
      </c>
      <c r="R69" s="507">
        <f t="shared" si="63"/>
        <v>0</v>
      </c>
      <c r="S69" s="507">
        <f t="shared" si="63"/>
        <v>0</v>
      </c>
      <c r="T69" s="507">
        <f t="shared" si="63"/>
        <v>1684.22</v>
      </c>
      <c r="U69" s="507">
        <f t="shared" si="63"/>
        <v>0</v>
      </c>
      <c r="V69" s="507">
        <f t="shared" si="63"/>
        <v>0</v>
      </c>
      <c r="W69" s="507">
        <f t="shared" si="63"/>
        <v>0</v>
      </c>
      <c r="X69" s="507">
        <f t="shared" si="63"/>
        <v>0</v>
      </c>
      <c r="Y69" s="507">
        <f t="shared" si="63"/>
        <v>0</v>
      </c>
      <c r="Z69" s="507">
        <f t="shared" si="63"/>
        <v>0</v>
      </c>
      <c r="AA69" s="507">
        <f t="shared" si="63"/>
        <v>0</v>
      </c>
      <c r="AB69" s="507">
        <f t="shared" si="63"/>
        <v>0</v>
      </c>
      <c r="AC69" s="507">
        <f t="shared" si="63"/>
        <v>0</v>
      </c>
      <c r="AD69" s="507">
        <f t="shared" si="63"/>
        <v>0</v>
      </c>
      <c r="AE69" s="507">
        <f t="shared" si="63"/>
        <v>0</v>
      </c>
      <c r="AF69" s="464"/>
      <c r="AG69" s="769"/>
    </row>
    <row r="70" spans="1:33" ht="21" x14ac:dyDescent="0.35">
      <c r="A70" s="461" t="s">
        <v>32</v>
      </c>
      <c r="B70" s="462">
        <f>SUM(H70,J70,L70,N70,P70,R70,T70,V70,X70,Z70,AB70,AD70)</f>
        <v>1600</v>
      </c>
      <c r="C70" s="462">
        <f>H70+J70+L70</f>
        <v>0</v>
      </c>
      <c r="D70" s="462">
        <f>E70</f>
        <v>0</v>
      </c>
      <c r="E70" s="462">
        <f>SUM(I70,K70,M70,O70,Q70,S70,U70,W70,Y70,AA70,AC70,AE70)</f>
        <v>0</v>
      </c>
      <c r="F70" s="462">
        <f t="shared" si="61"/>
        <v>0</v>
      </c>
      <c r="G70" s="462">
        <f t="shared" si="62"/>
        <v>0</v>
      </c>
      <c r="H70" s="508">
        <v>0</v>
      </c>
      <c r="I70" s="508">
        <v>0</v>
      </c>
      <c r="J70" s="508">
        <v>0</v>
      </c>
      <c r="K70" s="508">
        <v>0</v>
      </c>
      <c r="L70" s="508">
        <v>0</v>
      </c>
      <c r="M70" s="508">
        <v>0</v>
      </c>
      <c r="N70" s="508">
        <v>0</v>
      </c>
      <c r="O70" s="508">
        <v>0</v>
      </c>
      <c r="P70" s="508">
        <v>0</v>
      </c>
      <c r="Q70" s="508">
        <v>0</v>
      </c>
      <c r="R70" s="508">
        <v>0</v>
      </c>
      <c r="S70" s="508">
        <v>0</v>
      </c>
      <c r="T70" s="508">
        <v>1600</v>
      </c>
      <c r="U70" s="508">
        <v>0</v>
      </c>
      <c r="V70" s="508">
        <v>0</v>
      </c>
      <c r="W70" s="508">
        <v>0</v>
      </c>
      <c r="X70" s="508">
        <v>0</v>
      </c>
      <c r="Y70" s="508">
        <v>0</v>
      </c>
      <c r="Z70" s="508">
        <v>0</v>
      </c>
      <c r="AA70" s="508">
        <v>0</v>
      </c>
      <c r="AB70" s="508">
        <v>0</v>
      </c>
      <c r="AC70" s="508">
        <v>0</v>
      </c>
      <c r="AD70" s="508">
        <v>0</v>
      </c>
      <c r="AE70" s="508">
        <v>0</v>
      </c>
      <c r="AF70" s="463"/>
      <c r="AG70" s="769"/>
    </row>
    <row r="71" spans="1:33" ht="21" x14ac:dyDescent="0.35">
      <c r="A71" s="461" t="s">
        <v>33</v>
      </c>
      <c r="B71" s="462">
        <f>SUM(H71,J71,L71,N71,P71,R71,T71,V71,X71,Z71,AB71,AD71)</f>
        <v>84.22</v>
      </c>
      <c r="C71" s="462">
        <f>H71+J71+L71</f>
        <v>0</v>
      </c>
      <c r="D71" s="462">
        <f>E71</f>
        <v>0</v>
      </c>
      <c r="E71" s="462">
        <f>SUM(I71,K71,M71,O71,Q71,S71,U71,W71,Y71,AA71,AC71,AE71)</f>
        <v>0</v>
      </c>
      <c r="F71" s="462">
        <f t="shared" si="61"/>
        <v>0</v>
      </c>
      <c r="G71" s="462">
        <f t="shared" si="62"/>
        <v>0</v>
      </c>
      <c r="H71" s="508">
        <v>0</v>
      </c>
      <c r="I71" s="508">
        <v>0</v>
      </c>
      <c r="J71" s="508">
        <v>0</v>
      </c>
      <c r="K71" s="508">
        <v>0</v>
      </c>
      <c r="L71" s="508">
        <v>0</v>
      </c>
      <c r="M71" s="508">
        <v>0</v>
      </c>
      <c r="N71" s="508">
        <v>0</v>
      </c>
      <c r="O71" s="508">
        <v>0</v>
      </c>
      <c r="P71" s="508">
        <v>0</v>
      </c>
      <c r="Q71" s="508">
        <v>0</v>
      </c>
      <c r="R71" s="508">
        <v>0</v>
      </c>
      <c r="S71" s="508">
        <v>0</v>
      </c>
      <c r="T71" s="508">
        <v>84.22</v>
      </c>
      <c r="U71" s="508">
        <v>0</v>
      </c>
      <c r="V71" s="508">
        <v>0</v>
      </c>
      <c r="W71" s="508">
        <v>0</v>
      </c>
      <c r="X71" s="508">
        <v>0</v>
      </c>
      <c r="Y71" s="508">
        <v>0</v>
      </c>
      <c r="Z71" s="508">
        <v>0</v>
      </c>
      <c r="AA71" s="508">
        <v>0</v>
      </c>
      <c r="AB71" s="508">
        <v>0</v>
      </c>
      <c r="AC71" s="508">
        <v>0</v>
      </c>
      <c r="AD71" s="508">
        <v>0</v>
      </c>
      <c r="AE71" s="508">
        <v>0</v>
      </c>
      <c r="AF71" s="463"/>
      <c r="AG71" s="769"/>
    </row>
    <row r="72" spans="1:33" ht="37.5" x14ac:dyDescent="0.35">
      <c r="A72" s="481" t="s">
        <v>174</v>
      </c>
      <c r="B72" s="462">
        <f>SUM(H72,J72,L72,N72,P72,R72,T72,V72,X72,Z72,AB72,AD72)</f>
        <v>84.22</v>
      </c>
      <c r="C72" s="462">
        <f>H72+J72+L72</f>
        <v>0</v>
      </c>
      <c r="D72" s="462">
        <f>E72</f>
        <v>0</v>
      </c>
      <c r="E72" s="462">
        <f>SUM(I72,K72,M72,O72,Q72,S72,U72,W72,Y72,AA72,AC72,AE72)</f>
        <v>0</v>
      </c>
      <c r="F72" s="462">
        <f t="shared" si="61"/>
        <v>0</v>
      </c>
      <c r="G72" s="462">
        <f t="shared" si="62"/>
        <v>0</v>
      </c>
      <c r="H72" s="508">
        <v>0</v>
      </c>
      <c r="I72" s="508">
        <v>0</v>
      </c>
      <c r="J72" s="508">
        <v>0</v>
      </c>
      <c r="K72" s="508">
        <v>0</v>
      </c>
      <c r="L72" s="508">
        <v>0</v>
      </c>
      <c r="M72" s="508">
        <v>0</v>
      </c>
      <c r="N72" s="508">
        <v>0</v>
      </c>
      <c r="O72" s="508">
        <v>0</v>
      </c>
      <c r="P72" s="508">
        <v>0</v>
      </c>
      <c r="Q72" s="508">
        <v>0</v>
      </c>
      <c r="R72" s="508">
        <v>0</v>
      </c>
      <c r="S72" s="508">
        <v>0</v>
      </c>
      <c r="T72" s="508">
        <v>84.22</v>
      </c>
      <c r="U72" s="508">
        <v>0</v>
      </c>
      <c r="V72" s="508">
        <v>0</v>
      </c>
      <c r="W72" s="508">
        <v>0</v>
      </c>
      <c r="X72" s="508">
        <v>0</v>
      </c>
      <c r="Y72" s="508">
        <v>0</v>
      </c>
      <c r="Z72" s="508">
        <v>0</v>
      </c>
      <c r="AA72" s="508">
        <v>0</v>
      </c>
      <c r="AB72" s="508">
        <v>0</v>
      </c>
      <c r="AC72" s="508">
        <v>0</v>
      </c>
      <c r="AD72" s="508">
        <v>0</v>
      </c>
      <c r="AE72" s="508">
        <v>0</v>
      </c>
      <c r="AF72" s="463"/>
      <c r="AG72" s="769"/>
    </row>
    <row r="73" spans="1:33" ht="21" x14ac:dyDescent="0.35">
      <c r="A73" s="938" t="s">
        <v>366</v>
      </c>
      <c r="B73" s="936"/>
      <c r="C73" s="936"/>
      <c r="D73" s="936"/>
      <c r="E73" s="936"/>
      <c r="F73" s="936"/>
      <c r="G73" s="936"/>
      <c r="H73" s="936"/>
      <c r="I73" s="936"/>
      <c r="J73" s="936"/>
      <c r="K73" s="936"/>
      <c r="L73" s="936"/>
      <c r="M73" s="936"/>
      <c r="N73" s="936"/>
      <c r="O73" s="936"/>
      <c r="P73" s="936"/>
      <c r="Q73" s="936"/>
      <c r="R73" s="936"/>
      <c r="S73" s="936"/>
      <c r="T73" s="936"/>
      <c r="U73" s="936"/>
      <c r="V73" s="936"/>
      <c r="W73" s="936"/>
      <c r="X73" s="936"/>
      <c r="Y73" s="936"/>
      <c r="Z73" s="936"/>
      <c r="AA73" s="936"/>
      <c r="AB73" s="936"/>
      <c r="AC73" s="936"/>
      <c r="AD73" s="936"/>
      <c r="AE73" s="937"/>
      <c r="AF73" s="463"/>
      <c r="AG73" s="769"/>
    </row>
    <row r="74" spans="1:33" s="460" customFormat="1" ht="21" x14ac:dyDescent="0.35">
      <c r="A74" s="457" t="s">
        <v>31</v>
      </c>
      <c r="B74" s="458">
        <f>B75+B76</f>
        <v>1897.48</v>
      </c>
      <c r="C74" s="458">
        <f t="shared" ref="C74:E74" si="64">C75+C76</f>
        <v>0</v>
      </c>
      <c r="D74" s="458">
        <f t="shared" si="64"/>
        <v>0</v>
      </c>
      <c r="E74" s="458">
        <f t="shared" si="64"/>
        <v>0</v>
      </c>
      <c r="F74" s="458">
        <f t="shared" ref="F74:F77" si="65">IFERROR(E74/B74*100,0)</f>
        <v>0</v>
      </c>
      <c r="G74" s="458">
        <f t="shared" ref="G74:G77" si="66">IFERROR(E74/C74*100,0)</f>
        <v>0</v>
      </c>
      <c r="H74" s="507">
        <f>H75+H76</f>
        <v>0</v>
      </c>
      <c r="I74" s="507">
        <f t="shared" ref="I74:AE74" si="67">I75+I76</f>
        <v>0</v>
      </c>
      <c r="J74" s="507">
        <f t="shared" si="67"/>
        <v>0</v>
      </c>
      <c r="K74" s="507">
        <f t="shared" si="67"/>
        <v>0</v>
      </c>
      <c r="L74" s="507">
        <f t="shared" si="67"/>
        <v>0</v>
      </c>
      <c r="M74" s="507">
        <f t="shared" si="67"/>
        <v>0</v>
      </c>
      <c r="N74" s="507">
        <f t="shared" si="67"/>
        <v>0</v>
      </c>
      <c r="O74" s="507">
        <f t="shared" si="67"/>
        <v>0</v>
      </c>
      <c r="P74" s="507">
        <f t="shared" si="67"/>
        <v>0</v>
      </c>
      <c r="Q74" s="507">
        <f t="shared" si="67"/>
        <v>0</v>
      </c>
      <c r="R74" s="507">
        <f t="shared" si="67"/>
        <v>0</v>
      </c>
      <c r="S74" s="507">
        <f t="shared" si="67"/>
        <v>0</v>
      </c>
      <c r="T74" s="507">
        <f t="shared" si="67"/>
        <v>1897.48</v>
      </c>
      <c r="U74" s="507">
        <f t="shared" si="67"/>
        <v>0</v>
      </c>
      <c r="V74" s="507">
        <f t="shared" si="67"/>
        <v>0</v>
      </c>
      <c r="W74" s="507">
        <f t="shared" si="67"/>
        <v>0</v>
      </c>
      <c r="X74" s="507">
        <f t="shared" si="67"/>
        <v>0</v>
      </c>
      <c r="Y74" s="507">
        <f t="shared" si="67"/>
        <v>0</v>
      </c>
      <c r="Z74" s="507">
        <f t="shared" si="67"/>
        <v>0</v>
      </c>
      <c r="AA74" s="507">
        <f t="shared" si="67"/>
        <v>0</v>
      </c>
      <c r="AB74" s="507">
        <f t="shared" si="67"/>
        <v>0</v>
      </c>
      <c r="AC74" s="507">
        <f t="shared" si="67"/>
        <v>0</v>
      </c>
      <c r="AD74" s="507">
        <f t="shared" si="67"/>
        <v>0</v>
      </c>
      <c r="AE74" s="507">
        <f t="shared" si="67"/>
        <v>0</v>
      </c>
      <c r="AF74" s="464"/>
      <c r="AG74" s="769"/>
    </row>
    <row r="75" spans="1:33" ht="21" x14ac:dyDescent="0.35">
      <c r="A75" s="461" t="s">
        <v>32</v>
      </c>
      <c r="B75" s="462">
        <f>SUM(H75,J75,L75,N75,P75,R75,T75,V75,X75,Z75,AB75,AD75)</f>
        <v>1802.6</v>
      </c>
      <c r="C75" s="462">
        <f>H75+J75+L75</f>
        <v>0</v>
      </c>
      <c r="D75" s="462">
        <f>E75</f>
        <v>0</v>
      </c>
      <c r="E75" s="462">
        <f>SUM(I75,K75,M75,O75,Q75,S75,U75,W75,Y75,AA75,AC75,AE75)</f>
        <v>0</v>
      </c>
      <c r="F75" s="462">
        <f t="shared" si="65"/>
        <v>0</v>
      </c>
      <c r="G75" s="462">
        <f t="shared" si="66"/>
        <v>0</v>
      </c>
      <c r="H75" s="508">
        <v>0</v>
      </c>
      <c r="I75" s="508">
        <v>0</v>
      </c>
      <c r="J75" s="508">
        <v>0</v>
      </c>
      <c r="K75" s="508">
        <v>0</v>
      </c>
      <c r="L75" s="508">
        <v>0</v>
      </c>
      <c r="M75" s="508">
        <v>0</v>
      </c>
      <c r="N75" s="508">
        <v>0</v>
      </c>
      <c r="O75" s="508">
        <v>0</v>
      </c>
      <c r="P75" s="508">
        <v>0</v>
      </c>
      <c r="Q75" s="508">
        <v>0</v>
      </c>
      <c r="R75" s="508">
        <v>0</v>
      </c>
      <c r="S75" s="508">
        <v>0</v>
      </c>
      <c r="T75" s="508">
        <v>1802.6</v>
      </c>
      <c r="U75" s="508">
        <v>0</v>
      </c>
      <c r="V75" s="508">
        <v>0</v>
      </c>
      <c r="W75" s="508">
        <v>0</v>
      </c>
      <c r="X75" s="508">
        <v>0</v>
      </c>
      <c r="Y75" s="508">
        <v>0</v>
      </c>
      <c r="Z75" s="508">
        <v>0</v>
      </c>
      <c r="AA75" s="508">
        <v>0</v>
      </c>
      <c r="AB75" s="508">
        <v>0</v>
      </c>
      <c r="AC75" s="508">
        <v>0</v>
      </c>
      <c r="AD75" s="508">
        <v>0</v>
      </c>
      <c r="AE75" s="508">
        <v>0</v>
      </c>
      <c r="AF75" s="463"/>
      <c r="AG75" s="769"/>
    </row>
    <row r="76" spans="1:33" ht="21" x14ac:dyDescent="0.35">
      <c r="A76" s="461" t="s">
        <v>33</v>
      </c>
      <c r="B76" s="462">
        <f>SUM(H76,J76,L76,N76,P76,R76,T76,V76,X76,Z76,AB76,AD76)</f>
        <v>94.88</v>
      </c>
      <c r="C76" s="462">
        <f>H76+J76+L76</f>
        <v>0</v>
      </c>
      <c r="D76" s="462">
        <f>E76</f>
        <v>0</v>
      </c>
      <c r="E76" s="462">
        <f>SUM(I76,K76,M76,O76,Q76,S76,U76,W76,Y76,AA76,AC76,AE76)</f>
        <v>0</v>
      </c>
      <c r="F76" s="462">
        <f t="shared" si="65"/>
        <v>0</v>
      </c>
      <c r="G76" s="462">
        <f t="shared" si="66"/>
        <v>0</v>
      </c>
      <c r="H76" s="508">
        <v>0</v>
      </c>
      <c r="I76" s="508">
        <v>0</v>
      </c>
      <c r="J76" s="508">
        <v>0</v>
      </c>
      <c r="K76" s="508">
        <v>0</v>
      </c>
      <c r="L76" s="508">
        <v>0</v>
      </c>
      <c r="M76" s="508">
        <v>0</v>
      </c>
      <c r="N76" s="508">
        <v>0</v>
      </c>
      <c r="O76" s="508">
        <v>0</v>
      </c>
      <c r="P76" s="508">
        <v>0</v>
      </c>
      <c r="Q76" s="508">
        <v>0</v>
      </c>
      <c r="R76" s="508">
        <v>0</v>
      </c>
      <c r="S76" s="508">
        <v>0</v>
      </c>
      <c r="T76" s="508">
        <v>94.88</v>
      </c>
      <c r="U76" s="508">
        <v>0</v>
      </c>
      <c r="V76" s="508">
        <v>0</v>
      </c>
      <c r="W76" s="508">
        <v>0</v>
      </c>
      <c r="X76" s="508">
        <v>0</v>
      </c>
      <c r="Y76" s="508">
        <v>0</v>
      </c>
      <c r="Z76" s="508">
        <v>0</v>
      </c>
      <c r="AA76" s="508">
        <v>0</v>
      </c>
      <c r="AB76" s="508">
        <v>0</v>
      </c>
      <c r="AC76" s="508">
        <v>0</v>
      </c>
      <c r="AD76" s="508">
        <v>0</v>
      </c>
      <c r="AE76" s="508">
        <v>0</v>
      </c>
      <c r="AF76" s="463"/>
      <c r="AG76" s="769"/>
    </row>
    <row r="77" spans="1:33" ht="37.5" x14ac:dyDescent="0.35">
      <c r="A77" s="481" t="s">
        <v>174</v>
      </c>
      <c r="B77" s="462">
        <f>SUM(H77,J77,L77,N77,P77,R77,T77,V77,X77,Z77,AB77,AD77)</f>
        <v>94.88</v>
      </c>
      <c r="C77" s="462">
        <f>H77+J77+L77</f>
        <v>0</v>
      </c>
      <c r="D77" s="462">
        <f>E77</f>
        <v>0</v>
      </c>
      <c r="E77" s="462">
        <f>SUM(I77,K77,M77,O77,Q77,S77,U77,W77,Y77,AA77,AC77,AE77)</f>
        <v>0</v>
      </c>
      <c r="F77" s="462">
        <f t="shared" si="65"/>
        <v>0</v>
      </c>
      <c r="G77" s="462">
        <f t="shared" si="66"/>
        <v>0</v>
      </c>
      <c r="H77" s="508">
        <v>0</v>
      </c>
      <c r="I77" s="508">
        <v>0</v>
      </c>
      <c r="J77" s="508">
        <v>0</v>
      </c>
      <c r="K77" s="508">
        <v>0</v>
      </c>
      <c r="L77" s="508">
        <v>0</v>
      </c>
      <c r="M77" s="508">
        <v>0</v>
      </c>
      <c r="N77" s="508">
        <v>0</v>
      </c>
      <c r="O77" s="508">
        <v>0</v>
      </c>
      <c r="P77" s="508">
        <v>0</v>
      </c>
      <c r="Q77" s="508">
        <v>0</v>
      </c>
      <c r="R77" s="508">
        <v>0</v>
      </c>
      <c r="S77" s="508">
        <v>0</v>
      </c>
      <c r="T77" s="508">
        <v>94.88</v>
      </c>
      <c r="U77" s="508">
        <v>0</v>
      </c>
      <c r="V77" s="508">
        <v>0</v>
      </c>
      <c r="W77" s="508">
        <v>0</v>
      </c>
      <c r="X77" s="508">
        <v>0</v>
      </c>
      <c r="Y77" s="508">
        <v>0</v>
      </c>
      <c r="Z77" s="508">
        <v>0</v>
      </c>
      <c r="AA77" s="508">
        <v>0</v>
      </c>
      <c r="AB77" s="508">
        <v>0</v>
      </c>
      <c r="AC77" s="508">
        <v>0</v>
      </c>
      <c r="AD77" s="508">
        <v>0</v>
      </c>
      <c r="AE77" s="508">
        <v>0</v>
      </c>
      <c r="AF77" s="463"/>
      <c r="AG77" s="769"/>
    </row>
    <row r="78" spans="1:33" ht="21" x14ac:dyDescent="0.35">
      <c r="A78" s="938" t="s">
        <v>367</v>
      </c>
      <c r="B78" s="936"/>
      <c r="C78" s="936"/>
      <c r="D78" s="936"/>
      <c r="E78" s="936"/>
      <c r="F78" s="936"/>
      <c r="G78" s="936"/>
      <c r="H78" s="936"/>
      <c r="I78" s="936"/>
      <c r="J78" s="936"/>
      <c r="K78" s="936"/>
      <c r="L78" s="936"/>
      <c r="M78" s="936"/>
      <c r="N78" s="936"/>
      <c r="O78" s="936"/>
      <c r="P78" s="936"/>
      <c r="Q78" s="936"/>
      <c r="R78" s="936"/>
      <c r="S78" s="936"/>
      <c r="T78" s="936"/>
      <c r="U78" s="936"/>
      <c r="V78" s="936"/>
      <c r="W78" s="936"/>
      <c r="X78" s="936"/>
      <c r="Y78" s="936"/>
      <c r="Z78" s="936"/>
      <c r="AA78" s="936"/>
      <c r="AB78" s="936"/>
      <c r="AC78" s="936"/>
      <c r="AD78" s="936"/>
      <c r="AE78" s="937"/>
      <c r="AF78" s="463"/>
      <c r="AG78" s="769"/>
    </row>
    <row r="79" spans="1:33" s="460" customFormat="1" ht="21" x14ac:dyDescent="0.35">
      <c r="A79" s="457" t="s">
        <v>31</v>
      </c>
      <c r="B79" s="458">
        <f>B80+B81</f>
        <v>500</v>
      </c>
      <c r="C79" s="458">
        <f t="shared" ref="C79:E79" si="68">C80+C81</f>
        <v>0</v>
      </c>
      <c r="D79" s="458">
        <f t="shared" si="68"/>
        <v>0</v>
      </c>
      <c r="E79" s="458">
        <f t="shared" si="68"/>
        <v>0</v>
      </c>
      <c r="F79" s="458">
        <f t="shared" ref="F79:F82" si="69">IFERROR(E79/B79*100,0)</f>
        <v>0</v>
      </c>
      <c r="G79" s="458">
        <f t="shared" ref="G79:G82" si="70">IFERROR(E79/C79*100,0)</f>
        <v>0</v>
      </c>
      <c r="H79" s="507">
        <f>H80+H81</f>
        <v>0</v>
      </c>
      <c r="I79" s="507">
        <f t="shared" ref="I79:AE79" si="71">I80+I81</f>
        <v>0</v>
      </c>
      <c r="J79" s="507">
        <f t="shared" si="71"/>
        <v>0</v>
      </c>
      <c r="K79" s="507">
        <f t="shared" si="71"/>
        <v>0</v>
      </c>
      <c r="L79" s="507">
        <f t="shared" si="71"/>
        <v>0</v>
      </c>
      <c r="M79" s="507">
        <f t="shared" si="71"/>
        <v>0</v>
      </c>
      <c r="N79" s="507">
        <f t="shared" si="71"/>
        <v>0</v>
      </c>
      <c r="O79" s="507">
        <f t="shared" si="71"/>
        <v>0</v>
      </c>
      <c r="P79" s="507">
        <f t="shared" si="71"/>
        <v>0</v>
      </c>
      <c r="Q79" s="507">
        <f t="shared" si="71"/>
        <v>0</v>
      </c>
      <c r="R79" s="507">
        <f t="shared" si="71"/>
        <v>0</v>
      </c>
      <c r="S79" s="507">
        <f t="shared" si="71"/>
        <v>0</v>
      </c>
      <c r="T79" s="507">
        <f t="shared" si="71"/>
        <v>500</v>
      </c>
      <c r="U79" s="507">
        <f t="shared" si="71"/>
        <v>0</v>
      </c>
      <c r="V79" s="507">
        <f t="shared" si="71"/>
        <v>0</v>
      </c>
      <c r="W79" s="507">
        <f t="shared" si="71"/>
        <v>0</v>
      </c>
      <c r="X79" s="507">
        <f t="shared" si="71"/>
        <v>0</v>
      </c>
      <c r="Y79" s="507">
        <f t="shared" si="71"/>
        <v>0</v>
      </c>
      <c r="Z79" s="507">
        <f t="shared" si="71"/>
        <v>0</v>
      </c>
      <c r="AA79" s="507">
        <f t="shared" si="71"/>
        <v>0</v>
      </c>
      <c r="AB79" s="507">
        <f t="shared" si="71"/>
        <v>0</v>
      </c>
      <c r="AC79" s="507">
        <f t="shared" si="71"/>
        <v>0</v>
      </c>
      <c r="AD79" s="507">
        <f t="shared" si="71"/>
        <v>0</v>
      </c>
      <c r="AE79" s="507">
        <f t="shared" si="71"/>
        <v>0</v>
      </c>
      <c r="AF79" s="464"/>
      <c r="AG79" s="769"/>
    </row>
    <row r="80" spans="1:33" ht="21" x14ac:dyDescent="0.35">
      <c r="A80" s="461" t="s">
        <v>32</v>
      </c>
      <c r="B80" s="462">
        <f>SUM(H80,J80,L80,N80,P80,R80,T80,V80,X80,Z80,AB80,AD80)</f>
        <v>475</v>
      </c>
      <c r="C80" s="462">
        <f>H80+J80+L80</f>
        <v>0</v>
      </c>
      <c r="D80" s="462">
        <f>E80</f>
        <v>0</v>
      </c>
      <c r="E80" s="462">
        <f>SUM(I80,K80,M80,O80,Q80,S80,U80,W80,Y80,AA80,AC80,AE80)</f>
        <v>0</v>
      </c>
      <c r="F80" s="462">
        <f t="shared" si="69"/>
        <v>0</v>
      </c>
      <c r="G80" s="462">
        <f t="shared" si="70"/>
        <v>0</v>
      </c>
      <c r="H80" s="508">
        <v>0</v>
      </c>
      <c r="I80" s="508">
        <v>0</v>
      </c>
      <c r="J80" s="508">
        <v>0</v>
      </c>
      <c r="K80" s="508">
        <v>0</v>
      </c>
      <c r="L80" s="508">
        <v>0</v>
      </c>
      <c r="M80" s="508">
        <v>0</v>
      </c>
      <c r="N80" s="508">
        <v>0</v>
      </c>
      <c r="O80" s="508">
        <v>0</v>
      </c>
      <c r="P80" s="508">
        <v>0</v>
      </c>
      <c r="Q80" s="508">
        <v>0</v>
      </c>
      <c r="R80" s="508">
        <v>0</v>
      </c>
      <c r="S80" s="508">
        <v>0</v>
      </c>
      <c r="T80" s="508">
        <v>475</v>
      </c>
      <c r="U80" s="508">
        <v>0</v>
      </c>
      <c r="V80" s="508">
        <v>0</v>
      </c>
      <c r="W80" s="508">
        <v>0</v>
      </c>
      <c r="X80" s="508">
        <v>0</v>
      </c>
      <c r="Y80" s="508">
        <v>0</v>
      </c>
      <c r="Z80" s="508">
        <v>0</v>
      </c>
      <c r="AA80" s="508">
        <v>0</v>
      </c>
      <c r="AB80" s="508">
        <v>0</v>
      </c>
      <c r="AC80" s="508">
        <v>0</v>
      </c>
      <c r="AD80" s="508">
        <v>0</v>
      </c>
      <c r="AE80" s="508">
        <v>0</v>
      </c>
      <c r="AF80" s="463"/>
      <c r="AG80" s="769"/>
    </row>
    <row r="81" spans="1:33" ht="21" x14ac:dyDescent="0.35">
      <c r="A81" s="461" t="s">
        <v>33</v>
      </c>
      <c r="B81" s="462">
        <f>SUM(H81,J81,L81,N81,P81,R81,T81,V81,X81,Z81,AB81,AD81)</f>
        <v>25</v>
      </c>
      <c r="C81" s="462">
        <f>H81+J81+L81</f>
        <v>0</v>
      </c>
      <c r="D81" s="462">
        <f>E81</f>
        <v>0</v>
      </c>
      <c r="E81" s="462">
        <f>SUM(I81,K81,M81,O81,Q81,S81,U81,W81,Y81,AA81,AC81,AE81)</f>
        <v>0</v>
      </c>
      <c r="F81" s="462">
        <f t="shared" si="69"/>
        <v>0</v>
      </c>
      <c r="G81" s="462">
        <f t="shared" si="70"/>
        <v>0</v>
      </c>
      <c r="H81" s="508">
        <v>0</v>
      </c>
      <c r="I81" s="508">
        <v>0</v>
      </c>
      <c r="J81" s="508">
        <v>0</v>
      </c>
      <c r="K81" s="508">
        <v>0</v>
      </c>
      <c r="L81" s="508">
        <v>0</v>
      </c>
      <c r="M81" s="508">
        <v>0</v>
      </c>
      <c r="N81" s="508">
        <v>0</v>
      </c>
      <c r="O81" s="508">
        <v>0</v>
      </c>
      <c r="P81" s="508">
        <v>0</v>
      </c>
      <c r="Q81" s="508">
        <v>0</v>
      </c>
      <c r="R81" s="508">
        <v>0</v>
      </c>
      <c r="S81" s="508">
        <v>0</v>
      </c>
      <c r="T81" s="508">
        <v>25</v>
      </c>
      <c r="U81" s="508">
        <v>0</v>
      </c>
      <c r="V81" s="508">
        <v>0</v>
      </c>
      <c r="W81" s="508">
        <v>0</v>
      </c>
      <c r="X81" s="508">
        <v>0</v>
      </c>
      <c r="Y81" s="508">
        <v>0</v>
      </c>
      <c r="Z81" s="508">
        <v>0</v>
      </c>
      <c r="AA81" s="508">
        <v>0</v>
      </c>
      <c r="AB81" s="508">
        <v>0</v>
      </c>
      <c r="AC81" s="508">
        <v>0</v>
      </c>
      <c r="AD81" s="508">
        <v>0</v>
      </c>
      <c r="AE81" s="508">
        <v>0</v>
      </c>
      <c r="AF81" s="463"/>
      <c r="AG81" s="769"/>
    </row>
    <row r="82" spans="1:33" ht="37.5" x14ac:dyDescent="0.35">
      <c r="A82" s="481" t="s">
        <v>174</v>
      </c>
      <c r="B82" s="462">
        <f>SUM(H82,J82,L82,N82,P82,R82,T82,V82,X82,Z82,AB82,AD82)</f>
        <v>25</v>
      </c>
      <c r="C82" s="462">
        <f>H82+J82+L82</f>
        <v>0</v>
      </c>
      <c r="D82" s="462">
        <f>E82</f>
        <v>0</v>
      </c>
      <c r="E82" s="462">
        <f>SUM(I82,K82,M82,O82,Q82,S82,U82,W82,Y82,AA82,AC82,AE82)</f>
        <v>0</v>
      </c>
      <c r="F82" s="462">
        <f t="shared" si="69"/>
        <v>0</v>
      </c>
      <c r="G82" s="462">
        <f t="shared" si="70"/>
        <v>0</v>
      </c>
      <c r="H82" s="508">
        <v>0</v>
      </c>
      <c r="I82" s="508">
        <v>0</v>
      </c>
      <c r="J82" s="508">
        <v>0</v>
      </c>
      <c r="K82" s="508">
        <v>0</v>
      </c>
      <c r="L82" s="508">
        <v>0</v>
      </c>
      <c r="M82" s="508">
        <v>0</v>
      </c>
      <c r="N82" s="508">
        <v>0</v>
      </c>
      <c r="O82" s="508">
        <v>0</v>
      </c>
      <c r="P82" s="508">
        <v>0</v>
      </c>
      <c r="Q82" s="508">
        <v>0</v>
      </c>
      <c r="R82" s="508">
        <v>0</v>
      </c>
      <c r="S82" s="508">
        <v>0</v>
      </c>
      <c r="T82" s="508">
        <v>25</v>
      </c>
      <c r="U82" s="508">
        <v>0</v>
      </c>
      <c r="V82" s="508">
        <v>0</v>
      </c>
      <c r="W82" s="508">
        <v>0</v>
      </c>
      <c r="X82" s="508">
        <v>0</v>
      </c>
      <c r="Y82" s="508">
        <v>0</v>
      </c>
      <c r="Z82" s="508">
        <v>0</v>
      </c>
      <c r="AA82" s="508">
        <v>0</v>
      </c>
      <c r="AB82" s="508">
        <v>0</v>
      </c>
      <c r="AC82" s="508">
        <v>0</v>
      </c>
      <c r="AD82" s="508">
        <v>0</v>
      </c>
      <c r="AE82" s="508">
        <v>0</v>
      </c>
      <c r="AF82" s="463"/>
      <c r="AG82" s="769"/>
    </row>
    <row r="83" spans="1:33" ht="21" x14ac:dyDescent="0.35">
      <c r="A83" s="938" t="s">
        <v>368</v>
      </c>
      <c r="B83" s="936"/>
      <c r="C83" s="936"/>
      <c r="D83" s="936"/>
      <c r="E83" s="936"/>
      <c r="F83" s="936"/>
      <c r="G83" s="936"/>
      <c r="H83" s="936"/>
      <c r="I83" s="936"/>
      <c r="J83" s="936"/>
      <c r="K83" s="936"/>
      <c r="L83" s="936"/>
      <c r="M83" s="936"/>
      <c r="N83" s="936"/>
      <c r="O83" s="936"/>
      <c r="P83" s="936"/>
      <c r="Q83" s="936"/>
      <c r="R83" s="936"/>
      <c r="S83" s="936"/>
      <c r="T83" s="936"/>
      <c r="U83" s="936"/>
      <c r="V83" s="936"/>
      <c r="W83" s="936"/>
      <c r="X83" s="936"/>
      <c r="Y83" s="936"/>
      <c r="Z83" s="936"/>
      <c r="AA83" s="936"/>
      <c r="AB83" s="936"/>
      <c r="AC83" s="936"/>
      <c r="AD83" s="936"/>
      <c r="AE83" s="937"/>
      <c r="AF83" s="463"/>
      <c r="AG83" s="769"/>
    </row>
    <row r="84" spans="1:33" s="460" customFormat="1" ht="21" x14ac:dyDescent="0.35">
      <c r="A84" s="457" t="s">
        <v>31</v>
      </c>
      <c r="B84" s="458">
        <f>B85+B86</f>
        <v>500</v>
      </c>
      <c r="C84" s="458">
        <f t="shared" ref="C84:E84" si="72">C85+C86</f>
        <v>0</v>
      </c>
      <c r="D84" s="458">
        <f t="shared" si="72"/>
        <v>0</v>
      </c>
      <c r="E84" s="458">
        <f t="shared" si="72"/>
        <v>0</v>
      </c>
      <c r="F84" s="458">
        <f t="shared" ref="F84:F87" si="73">IFERROR(E84/B84*100,0)</f>
        <v>0</v>
      </c>
      <c r="G84" s="458">
        <f t="shared" ref="G84:G87" si="74">IFERROR(E84/C84*100,0)</f>
        <v>0</v>
      </c>
      <c r="H84" s="507">
        <f>H85+H86</f>
        <v>0</v>
      </c>
      <c r="I84" s="507">
        <f t="shared" ref="I84:AE84" si="75">I85+I86</f>
        <v>0</v>
      </c>
      <c r="J84" s="507">
        <f t="shared" si="75"/>
        <v>0</v>
      </c>
      <c r="K84" s="507">
        <f t="shared" si="75"/>
        <v>0</v>
      </c>
      <c r="L84" s="507">
        <f t="shared" si="75"/>
        <v>0</v>
      </c>
      <c r="M84" s="507">
        <f t="shared" si="75"/>
        <v>0</v>
      </c>
      <c r="N84" s="507">
        <f t="shared" si="75"/>
        <v>0</v>
      </c>
      <c r="O84" s="507">
        <f t="shared" si="75"/>
        <v>0</v>
      </c>
      <c r="P84" s="507">
        <f t="shared" si="75"/>
        <v>0</v>
      </c>
      <c r="Q84" s="507">
        <f t="shared" si="75"/>
        <v>0</v>
      </c>
      <c r="R84" s="507">
        <f t="shared" si="75"/>
        <v>500</v>
      </c>
      <c r="S84" s="507">
        <f t="shared" si="75"/>
        <v>0</v>
      </c>
      <c r="T84" s="507">
        <f t="shared" si="75"/>
        <v>0</v>
      </c>
      <c r="U84" s="507">
        <f t="shared" si="75"/>
        <v>0</v>
      </c>
      <c r="V84" s="507">
        <f t="shared" si="75"/>
        <v>0</v>
      </c>
      <c r="W84" s="507">
        <f t="shared" si="75"/>
        <v>0</v>
      </c>
      <c r="X84" s="507">
        <f t="shared" si="75"/>
        <v>0</v>
      </c>
      <c r="Y84" s="507">
        <f t="shared" si="75"/>
        <v>0</v>
      </c>
      <c r="Z84" s="507">
        <f t="shared" si="75"/>
        <v>0</v>
      </c>
      <c r="AA84" s="507">
        <f t="shared" si="75"/>
        <v>0</v>
      </c>
      <c r="AB84" s="507">
        <f t="shared" si="75"/>
        <v>0</v>
      </c>
      <c r="AC84" s="507">
        <f t="shared" si="75"/>
        <v>0</v>
      </c>
      <c r="AD84" s="507">
        <f t="shared" si="75"/>
        <v>0</v>
      </c>
      <c r="AE84" s="507">
        <f t="shared" si="75"/>
        <v>0</v>
      </c>
      <c r="AF84" s="464"/>
      <c r="AG84" s="769"/>
    </row>
    <row r="85" spans="1:33" ht="21" x14ac:dyDescent="0.35">
      <c r="A85" s="461" t="s">
        <v>32</v>
      </c>
      <c r="B85" s="462">
        <f>SUM(H85,J85,L85,N85,P85,R85,T85,V85,X85,Z85,AB85,AD85)</f>
        <v>0</v>
      </c>
      <c r="C85" s="462">
        <f>H85+J85+L85</f>
        <v>0</v>
      </c>
      <c r="D85" s="462">
        <f>E85</f>
        <v>0</v>
      </c>
      <c r="E85" s="462">
        <f>SUM(I85,K85,M85,O85,Q85,S85,U85,W85,Y85,AA85,AC85,AE85)</f>
        <v>0</v>
      </c>
      <c r="F85" s="462">
        <f t="shared" si="73"/>
        <v>0</v>
      </c>
      <c r="G85" s="462">
        <f t="shared" si="74"/>
        <v>0</v>
      </c>
      <c r="H85" s="508">
        <v>0</v>
      </c>
      <c r="I85" s="508">
        <v>0</v>
      </c>
      <c r="J85" s="508">
        <v>0</v>
      </c>
      <c r="K85" s="508">
        <v>0</v>
      </c>
      <c r="L85" s="508">
        <v>0</v>
      </c>
      <c r="M85" s="508">
        <v>0</v>
      </c>
      <c r="N85" s="508">
        <v>0</v>
      </c>
      <c r="O85" s="508">
        <v>0</v>
      </c>
      <c r="P85" s="508">
        <v>0</v>
      </c>
      <c r="Q85" s="508">
        <v>0</v>
      </c>
      <c r="R85" s="508">
        <v>0</v>
      </c>
      <c r="S85" s="508">
        <v>0</v>
      </c>
      <c r="T85" s="508">
        <v>0</v>
      </c>
      <c r="U85" s="508">
        <v>0</v>
      </c>
      <c r="V85" s="508">
        <v>0</v>
      </c>
      <c r="W85" s="508">
        <v>0</v>
      </c>
      <c r="X85" s="508">
        <v>0</v>
      </c>
      <c r="Y85" s="508">
        <v>0</v>
      </c>
      <c r="Z85" s="508">
        <v>0</v>
      </c>
      <c r="AA85" s="508">
        <v>0</v>
      </c>
      <c r="AB85" s="508">
        <v>0</v>
      </c>
      <c r="AC85" s="508">
        <v>0</v>
      </c>
      <c r="AD85" s="508">
        <v>0</v>
      </c>
      <c r="AE85" s="508">
        <v>0</v>
      </c>
      <c r="AF85" s="463"/>
      <c r="AG85" s="769"/>
    </row>
    <row r="86" spans="1:33" ht="21" x14ac:dyDescent="0.35">
      <c r="A86" s="461" t="s">
        <v>33</v>
      </c>
      <c r="B86" s="462">
        <f>SUM(H86,J86,L86,N86,P86,R86,T86,V86,X86,Z86,AB86,AD86)</f>
        <v>500</v>
      </c>
      <c r="C86" s="462">
        <f>H86+J86+L86</f>
        <v>0</v>
      </c>
      <c r="D86" s="462">
        <f>E86</f>
        <v>0</v>
      </c>
      <c r="E86" s="462">
        <f>SUM(I86,K86,M86,O86,Q86,S86,U86,W86,Y86,AA86,AC86,AE86)</f>
        <v>0</v>
      </c>
      <c r="F86" s="462">
        <f t="shared" si="73"/>
        <v>0</v>
      </c>
      <c r="G86" s="462">
        <f t="shared" si="74"/>
        <v>0</v>
      </c>
      <c r="H86" s="508">
        <v>0</v>
      </c>
      <c r="I86" s="508">
        <v>0</v>
      </c>
      <c r="J86" s="508">
        <v>0</v>
      </c>
      <c r="K86" s="508">
        <v>0</v>
      </c>
      <c r="L86" s="508">
        <v>0</v>
      </c>
      <c r="M86" s="508">
        <v>0</v>
      </c>
      <c r="N86" s="508">
        <v>0</v>
      </c>
      <c r="O86" s="508">
        <v>0</v>
      </c>
      <c r="P86" s="508">
        <v>0</v>
      </c>
      <c r="Q86" s="508">
        <v>0</v>
      </c>
      <c r="R86" s="508">
        <v>500</v>
      </c>
      <c r="S86" s="508">
        <v>0</v>
      </c>
      <c r="T86" s="508">
        <v>0</v>
      </c>
      <c r="U86" s="508">
        <v>0</v>
      </c>
      <c r="V86" s="508">
        <v>0</v>
      </c>
      <c r="W86" s="508">
        <v>0</v>
      </c>
      <c r="X86" s="508">
        <v>0</v>
      </c>
      <c r="Y86" s="508">
        <v>0</v>
      </c>
      <c r="Z86" s="508">
        <v>0</v>
      </c>
      <c r="AA86" s="508">
        <v>0</v>
      </c>
      <c r="AB86" s="508">
        <v>0</v>
      </c>
      <c r="AC86" s="508">
        <v>0</v>
      </c>
      <c r="AD86" s="508">
        <v>0</v>
      </c>
      <c r="AE86" s="508">
        <v>0</v>
      </c>
      <c r="AF86" s="463"/>
      <c r="AG86" s="769"/>
    </row>
    <row r="87" spans="1:33" ht="37.5" x14ac:dyDescent="0.35">
      <c r="A87" s="481" t="s">
        <v>174</v>
      </c>
      <c r="B87" s="462">
        <f>SUM(H87,J87,L87,N87,P87,R87,T87,V87,X87,Z87,AB87,AD87)</f>
        <v>0</v>
      </c>
      <c r="C87" s="462">
        <f>H87+J87+L87</f>
        <v>0</v>
      </c>
      <c r="D87" s="462">
        <f>E87</f>
        <v>0</v>
      </c>
      <c r="E87" s="462">
        <f>SUM(I87,K87,M87,O87,Q87,S87,U87,W87,Y87,AA87,AC87,AE87)</f>
        <v>0</v>
      </c>
      <c r="F87" s="462">
        <f t="shared" si="73"/>
        <v>0</v>
      </c>
      <c r="G87" s="462">
        <f t="shared" si="74"/>
        <v>0</v>
      </c>
      <c r="H87" s="508">
        <v>0</v>
      </c>
      <c r="I87" s="508">
        <v>0</v>
      </c>
      <c r="J87" s="508">
        <v>0</v>
      </c>
      <c r="K87" s="508">
        <v>0</v>
      </c>
      <c r="L87" s="508">
        <v>0</v>
      </c>
      <c r="M87" s="508">
        <v>0</v>
      </c>
      <c r="N87" s="508">
        <v>0</v>
      </c>
      <c r="O87" s="508">
        <v>0</v>
      </c>
      <c r="P87" s="508">
        <v>0</v>
      </c>
      <c r="Q87" s="508">
        <v>0</v>
      </c>
      <c r="R87" s="508">
        <v>0</v>
      </c>
      <c r="S87" s="508">
        <v>0</v>
      </c>
      <c r="T87" s="508">
        <v>0</v>
      </c>
      <c r="U87" s="508">
        <v>0</v>
      </c>
      <c r="V87" s="508">
        <v>0</v>
      </c>
      <c r="W87" s="508">
        <v>0</v>
      </c>
      <c r="X87" s="508">
        <v>0</v>
      </c>
      <c r="Y87" s="508">
        <v>0</v>
      </c>
      <c r="Z87" s="508">
        <v>0</v>
      </c>
      <c r="AA87" s="508">
        <v>0</v>
      </c>
      <c r="AB87" s="508">
        <v>0</v>
      </c>
      <c r="AC87" s="508">
        <v>0</v>
      </c>
      <c r="AD87" s="508">
        <v>0</v>
      </c>
      <c r="AE87" s="508">
        <v>0</v>
      </c>
      <c r="AF87" s="463"/>
      <c r="AG87" s="769"/>
    </row>
    <row r="88" spans="1:33" ht="21" x14ac:dyDescent="0.35">
      <c r="A88" s="484" t="s">
        <v>369</v>
      </c>
      <c r="B88" s="485"/>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6"/>
      <c r="AF88" s="482"/>
      <c r="AG88" s="769"/>
    </row>
    <row r="89" spans="1:33" s="460" customFormat="1" ht="21" x14ac:dyDescent="0.35">
      <c r="A89" s="457" t="s">
        <v>31</v>
      </c>
      <c r="B89" s="458">
        <f>B90+B91</f>
        <v>1156.4000000000001</v>
      </c>
      <c r="C89" s="458">
        <f t="shared" ref="C89:E89" si="76">C90+C91</f>
        <v>0</v>
      </c>
      <c r="D89" s="458">
        <f t="shared" si="76"/>
        <v>0</v>
      </c>
      <c r="E89" s="458">
        <f t="shared" si="76"/>
        <v>0</v>
      </c>
      <c r="F89" s="458">
        <f t="shared" ref="F89:F92" si="77">IFERROR(E89/B89*100,0)</f>
        <v>0</v>
      </c>
      <c r="G89" s="458">
        <f>IFERROR(E89/C89*100,0)</f>
        <v>0</v>
      </c>
      <c r="H89" s="507">
        <f>H90+H91</f>
        <v>0</v>
      </c>
      <c r="I89" s="507">
        <f t="shared" ref="I89:AE89" si="78">I90+I91</f>
        <v>0</v>
      </c>
      <c r="J89" s="507">
        <f t="shared" si="78"/>
        <v>0</v>
      </c>
      <c r="K89" s="507">
        <f t="shared" si="78"/>
        <v>0</v>
      </c>
      <c r="L89" s="507">
        <f t="shared" si="78"/>
        <v>0</v>
      </c>
      <c r="M89" s="507">
        <f t="shared" si="78"/>
        <v>0</v>
      </c>
      <c r="N89" s="507">
        <f t="shared" si="78"/>
        <v>0</v>
      </c>
      <c r="O89" s="507">
        <f t="shared" si="78"/>
        <v>0</v>
      </c>
      <c r="P89" s="507">
        <f t="shared" si="78"/>
        <v>0</v>
      </c>
      <c r="Q89" s="507">
        <f t="shared" si="78"/>
        <v>0</v>
      </c>
      <c r="R89" s="507">
        <f t="shared" si="78"/>
        <v>1156.4000000000001</v>
      </c>
      <c r="S89" s="507">
        <f t="shared" si="78"/>
        <v>0</v>
      </c>
      <c r="T89" s="507">
        <f t="shared" si="78"/>
        <v>0</v>
      </c>
      <c r="U89" s="507">
        <f t="shared" si="78"/>
        <v>0</v>
      </c>
      <c r="V89" s="507">
        <f t="shared" si="78"/>
        <v>0</v>
      </c>
      <c r="W89" s="507">
        <f t="shared" si="78"/>
        <v>0</v>
      </c>
      <c r="X89" s="507">
        <f t="shared" si="78"/>
        <v>0</v>
      </c>
      <c r="Y89" s="507">
        <f t="shared" si="78"/>
        <v>0</v>
      </c>
      <c r="Z89" s="507">
        <f t="shared" si="78"/>
        <v>0</v>
      </c>
      <c r="AA89" s="507">
        <f t="shared" si="78"/>
        <v>0</v>
      </c>
      <c r="AB89" s="507">
        <f t="shared" si="78"/>
        <v>0</v>
      </c>
      <c r="AC89" s="507">
        <f t="shared" si="78"/>
        <v>0</v>
      </c>
      <c r="AD89" s="507">
        <f t="shared" si="78"/>
        <v>0</v>
      </c>
      <c r="AE89" s="507">
        <f t="shared" si="78"/>
        <v>0</v>
      </c>
      <c r="AF89" s="464"/>
      <c r="AG89" s="769"/>
    </row>
    <row r="90" spans="1:33" ht="21" x14ac:dyDescent="0.35">
      <c r="A90" s="461" t="s">
        <v>32</v>
      </c>
      <c r="B90" s="462">
        <f>SUM(H90,J90,L90,N90,P90,R90,T90,V90,X90,Z90,AB90,AD90)</f>
        <v>0</v>
      </c>
      <c r="C90" s="462">
        <f>H90+J90+L90</f>
        <v>0</v>
      </c>
      <c r="D90" s="462">
        <f>E90</f>
        <v>0</v>
      </c>
      <c r="E90" s="462">
        <f>SUM(I90,K90,M90,O90,Q90,S90,U90,W90,Y90,AA90,AC90,AE90)</f>
        <v>0</v>
      </c>
      <c r="F90" s="462">
        <f t="shared" si="77"/>
        <v>0</v>
      </c>
      <c r="G90" s="462">
        <f t="shared" ref="G90:G92" si="79">IFERROR(E90/C90*100,0)</f>
        <v>0</v>
      </c>
      <c r="H90" s="508">
        <v>0</v>
      </c>
      <c r="I90" s="508">
        <v>0</v>
      </c>
      <c r="J90" s="508">
        <v>0</v>
      </c>
      <c r="K90" s="508">
        <v>0</v>
      </c>
      <c r="L90" s="508">
        <v>0</v>
      </c>
      <c r="M90" s="508">
        <v>0</v>
      </c>
      <c r="N90" s="508">
        <v>0</v>
      </c>
      <c r="O90" s="508">
        <v>0</v>
      </c>
      <c r="P90" s="508">
        <v>0</v>
      </c>
      <c r="Q90" s="508">
        <v>0</v>
      </c>
      <c r="R90" s="508">
        <v>0</v>
      </c>
      <c r="S90" s="508">
        <v>0</v>
      </c>
      <c r="T90" s="508">
        <v>0</v>
      </c>
      <c r="U90" s="508">
        <v>0</v>
      </c>
      <c r="V90" s="508">
        <v>0</v>
      </c>
      <c r="W90" s="508">
        <v>0</v>
      </c>
      <c r="X90" s="508">
        <v>0</v>
      </c>
      <c r="Y90" s="508">
        <v>0</v>
      </c>
      <c r="Z90" s="508">
        <v>0</v>
      </c>
      <c r="AA90" s="508">
        <v>0</v>
      </c>
      <c r="AB90" s="508">
        <v>0</v>
      </c>
      <c r="AC90" s="508">
        <v>0</v>
      </c>
      <c r="AD90" s="508">
        <v>0</v>
      </c>
      <c r="AE90" s="508">
        <v>0</v>
      </c>
      <c r="AF90" s="463"/>
      <c r="AG90" s="769"/>
    </row>
    <row r="91" spans="1:33" ht="21" x14ac:dyDescent="0.35">
      <c r="A91" s="461" t="s">
        <v>33</v>
      </c>
      <c r="B91" s="462">
        <f>SUM(H91,J91,L91,N91,P91,R91,T91,V91,X91,Z91,AB91,AD91)</f>
        <v>1156.4000000000001</v>
      </c>
      <c r="C91" s="462">
        <f>H91+J91+L91</f>
        <v>0</v>
      </c>
      <c r="D91" s="462">
        <f>E91</f>
        <v>0</v>
      </c>
      <c r="E91" s="462">
        <f>SUM(I91,K91,M91,O91,Q91,S91,U91,W91,Y91,AA91,AC91,AE91)</f>
        <v>0</v>
      </c>
      <c r="F91" s="462">
        <f t="shared" si="77"/>
        <v>0</v>
      </c>
      <c r="G91" s="462">
        <f t="shared" si="79"/>
        <v>0</v>
      </c>
      <c r="H91" s="508">
        <v>0</v>
      </c>
      <c r="I91" s="508">
        <v>0</v>
      </c>
      <c r="J91" s="508">
        <v>0</v>
      </c>
      <c r="K91" s="508">
        <v>0</v>
      </c>
      <c r="L91" s="508">
        <v>0</v>
      </c>
      <c r="M91" s="508">
        <v>0</v>
      </c>
      <c r="N91" s="508">
        <v>0</v>
      </c>
      <c r="O91" s="508">
        <v>0</v>
      </c>
      <c r="P91" s="508">
        <v>0</v>
      </c>
      <c r="Q91" s="508">
        <v>0</v>
      </c>
      <c r="R91" s="508">
        <v>1156.4000000000001</v>
      </c>
      <c r="S91" s="508">
        <v>0</v>
      </c>
      <c r="T91" s="508">
        <v>0</v>
      </c>
      <c r="U91" s="508">
        <v>0</v>
      </c>
      <c r="V91" s="508">
        <v>0</v>
      </c>
      <c r="W91" s="508">
        <v>0</v>
      </c>
      <c r="X91" s="508">
        <v>0</v>
      </c>
      <c r="Y91" s="508">
        <v>0</v>
      </c>
      <c r="Z91" s="508">
        <v>0</v>
      </c>
      <c r="AA91" s="508">
        <v>0</v>
      </c>
      <c r="AB91" s="508">
        <v>0</v>
      </c>
      <c r="AC91" s="508">
        <v>0</v>
      </c>
      <c r="AD91" s="508">
        <v>0</v>
      </c>
      <c r="AE91" s="508">
        <v>0</v>
      </c>
      <c r="AF91" s="463"/>
      <c r="AG91" s="769"/>
    </row>
    <row r="92" spans="1:33" ht="37.5" x14ac:dyDescent="0.35">
      <c r="A92" s="481" t="s">
        <v>174</v>
      </c>
      <c r="B92" s="462">
        <f>SUM(H92,J92,L92,N92,P92,R92,T92,V92,X92,Z92,AB92,AD92)</f>
        <v>0</v>
      </c>
      <c r="C92" s="462">
        <f>H92+J92+L92</f>
        <v>0</v>
      </c>
      <c r="D92" s="462">
        <f>E92</f>
        <v>0</v>
      </c>
      <c r="E92" s="462">
        <f>SUM(I92,K92,M92,O92,Q92,S92,U92,W92,Y92,AA92,AC92,AE92)</f>
        <v>0</v>
      </c>
      <c r="F92" s="462">
        <f t="shared" si="77"/>
        <v>0</v>
      </c>
      <c r="G92" s="462">
        <f t="shared" si="79"/>
        <v>0</v>
      </c>
      <c r="H92" s="508">
        <v>0</v>
      </c>
      <c r="I92" s="508">
        <v>0</v>
      </c>
      <c r="J92" s="508">
        <v>0</v>
      </c>
      <c r="K92" s="508">
        <v>0</v>
      </c>
      <c r="L92" s="508">
        <v>0</v>
      </c>
      <c r="M92" s="508">
        <v>0</v>
      </c>
      <c r="N92" s="508">
        <v>0</v>
      </c>
      <c r="O92" s="508">
        <v>0</v>
      </c>
      <c r="P92" s="508">
        <v>0</v>
      </c>
      <c r="Q92" s="508">
        <v>0</v>
      </c>
      <c r="R92" s="508">
        <v>0</v>
      </c>
      <c r="S92" s="508">
        <v>0</v>
      </c>
      <c r="T92" s="508">
        <v>0</v>
      </c>
      <c r="U92" s="508">
        <v>0</v>
      </c>
      <c r="V92" s="508">
        <v>0</v>
      </c>
      <c r="W92" s="508">
        <v>0</v>
      </c>
      <c r="X92" s="508">
        <v>0</v>
      </c>
      <c r="Y92" s="508">
        <v>0</v>
      </c>
      <c r="Z92" s="508">
        <v>0</v>
      </c>
      <c r="AA92" s="508">
        <v>0</v>
      </c>
      <c r="AB92" s="508">
        <v>0</v>
      </c>
      <c r="AC92" s="508">
        <v>0</v>
      </c>
      <c r="AD92" s="508">
        <v>0</v>
      </c>
      <c r="AE92" s="508">
        <v>0</v>
      </c>
      <c r="AF92" s="463"/>
      <c r="AG92" s="769"/>
    </row>
    <row r="93" spans="1:33" ht="21" x14ac:dyDescent="0.35">
      <c r="A93" s="484" t="s">
        <v>370</v>
      </c>
      <c r="B93" s="487"/>
      <c r="C93" s="487"/>
      <c r="D93" s="487"/>
      <c r="E93" s="487"/>
      <c r="F93" s="487"/>
      <c r="G93" s="487"/>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8"/>
      <c r="AF93" s="482"/>
      <c r="AG93" s="769"/>
    </row>
    <row r="94" spans="1:33" s="460" customFormat="1" ht="21" x14ac:dyDescent="0.35">
      <c r="A94" s="457" t="s">
        <v>31</v>
      </c>
      <c r="B94" s="458">
        <f>B95+B96</f>
        <v>0</v>
      </c>
      <c r="C94" s="458">
        <f t="shared" ref="C94:E94" si="80">C95+C96</f>
        <v>0</v>
      </c>
      <c r="D94" s="458">
        <f t="shared" si="80"/>
        <v>0</v>
      </c>
      <c r="E94" s="458">
        <f t="shared" si="80"/>
        <v>0</v>
      </c>
      <c r="F94" s="458">
        <f t="shared" ref="F94:F97" si="81">IFERROR(E94/B94*100,0)</f>
        <v>0</v>
      </c>
      <c r="G94" s="458">
        <f t="shared" ref="G94:G97" si="82">IFERROR(E94/C94*100,0)</f>
        <v>0</v>
      </c>
      <c r="H94" s="507">
        <f>H95+H96</f>
        <v>0</v>
      </c>
      <c r="I94" s="507">
        <f t="shared" ref="I94:AE94" si="83">I95+I96</f>
        <v>0</v>
      </c>
      <c r="J94" s="507">
        <f t="shared" si="83"/>
        <v>0</v>
      </c>
      <c r="K94" s="507">
        <f t="shared" si="83"/>
        <v>0</v>
      </c>
      <c r="L94" s="507">
        <f t="shared" si="83"/>
        <v>0</v>
      </c>
      <c r="M94" s="507">
        <f t="shared" si="83"/>
        <v>0</v>
      </c>
      <c r="N94" s="507">
        <f t="shared" si="83"/>
        <v>0</v>
      </c>
      <c r="O94" s="507">
        <f t="shared" si="83"/>
        <v>0</v>
      </c>
      <c r="P94" s="507">
        <f t="shared" si="83"/>
        <v>0</v>
      </c>
      <c r="Q94" s="507">
        <f t="shared" si="83"/>
        <v>0</v>
      </c>
      <c r="R94" s="507">
        <f t="shared" si="83"/>
        <v>0</v>
      </c>
      <c r="S94" s="507">
        <f t="shared" si="83"/>
        <v>0</v>
      </c>
      <c r="T94" s="507">
        <f t="shared" si="83"/>
        <v>0</v>
      </c>
      <c r="U94" s="507">
        <f t="shared" si="83"/>
        <v>0</v>
      </c>
      <c r="V94" s="507">
        <f t="shared" si="83"/>
        <v>0</v>
      </c>
      <c r="W94" s="507">
        <f t="shared" si="83"/>
        <v>0</v>
      </c>
      <c r="X94" s="507">
        <f t="shared" si="83"/>
        <v>0</v>
      </c>
      <c r="Y94" s="507">
        <f t="shared" si="83"/>
        <v>0</v>
      </c>
      <c r="Z94" s="507">
        <f t="shared" si="83"/>
        <v>0</v>
      </c>
      <c r="AA94" s="507">
        <f t="shared" si="83"/>
        <v>0</v>
      </c>
      <c r="AB94" s="507">
        <f t="shared" si="83"/>
        <v>0</v>
      </c>
      <c r="AC94" s="507">
        <f t="shared" si="83"/>
        <v>0</v>
      </c>
      <c r="AD94" s="507">
        <f t="shared" si="83"/>
        <v>0</v>
      </c>
      <c r="AE94" s="507">
        <f t="shared" si="83"/>
        <v>0</v>
      </c>
      <c r="AF94" s="464"/>
      <c r="AG94" s="769"/>
    </row>
    <row r="95" spans="1:33" ht="21" x14ac:dyDescent="0.35">
      <c r="A95" s="461" t="s">
        <v>32</v>
      </c>
      <c r="B95" s="462">
        <f>SUM(H95,J95,L95,N95,P95,R95,T95,V95,X95,Z95,AB95,AD95)</f>
        <v>0</v>
      </c>
      <c r="C95" s="462">
        <f>H95+J95+L95</f>
        <v>0</v>
      </c>
      <c r="D95" s="462">
        <f>E95</f>
        <v>0</v>
      </c>
      <c r="E95" s="462">
        <f>SUM(I95,K95,M95,O95,Q95,S95,U95,W95,Y95,AA95,AC95,AE95)</f>
        <v>0</v>
      </c>
      <c r="F95" s="462">
        <f t="shared" si="81"/>
        <v>0</v>
      </c>
      <c r="G95" s="462">
        <f t="shared" si="82"/>
        <v>0</v>
      </c>
      <c r="H95" s="508">
        <v>0</v>
      </c>
      <c r="I95" s="508">
        <v>0</v>
      </c>
      <c r="J95" s="508">
        <v>0</v>
      </c>
      <c r="K95" s="508">
        <v>0</v>
      </c>
      <c r="L95" s="508">
        <v>0</v>
      </c>
      <c r="M95" s="508">
        <v>0</v>
      </c>
      <c r="N95" s="508">
        <v>0</v>
      </c>
      <c r="O95" s="508">
        <v>0</v>
      </c>
      <c r="P95" s="508">
        <v>0</v>
      </c>
      <c r="Q95" s="508">
        <v>0</v>
      </c>
      <c r="R95" s="508">
        <v>0</v>
      </c>
      <c r="S95" s="508">
        <v>0</v>
      </c>
      <c r="T95" s="508">
        <v>0</v>
      </c>
      <c r="U95" s="508">
        <v>0</v>
      </c>
      <c r="V95" s="508">
        <v>0</v>
      </c>
      <c r="W95" s="508">
        <v>0</v>
      </c>
      <c r="X95" s="508">
        <v>0</v>
      </c>
      <c r="Y95" s="508">
        <v>0</v>
      </c>
      <c r="Z95" s="508">
        <v>0</v>
      </c>
      <c r="AA95" s="508">
        <v>0</v>
      </c>
      <c r="AB95" s="508">
        <v>0</v>
      </c>
      <c r="AC95" s="508">
        <v>0</v>
      </c>
      <c r="AD95" s="508">
        <v>0</v>
      </c>
      <c r="AE95" s="508">
        <v>0</v>
      </c>
      <c r="AF95" s="463"/>
      <c r="AG95" s="769"/>
    </row>
    <row r="96" spans="1:33" ht="21" x14ac:dyDescent="0.35">
      <c r="A96" s="461" t="s">
        <v>33</v>
      </c>
      <c r="B96" s="462">
        <f>SUM(H96,J96,L96,N96,P96,R96,T96,V96,X96,Z96,AB96,AD96)</f>
        <v>0</v>
      </c>
      <c r="C96" s="462">
        <f>H96+J96+L96</f>
        <v>0</v>
      </c>
      <c r="D96" s="462">
        <f>E96</f>
        <v>0</v>
      </c>
      <c r="E96" s="462">
        <f>SUM(I96,K96,M96,O96,Q96,S96,U96,W96,Y96,AA96,AC96,AE96)</f>
        <v>0</v>
      </c>
      <c r="F96" s="462">
        <f t="shared" si="81"/>
        <v>0</v>
      </c>
      <c r="G96" s="462">
        <f t="shared" si="82"/>
        <v>0</v>
      </c>
      <c r="H96" s="508">
        <v>0</v>
      </c>
      <c r="I96" s="508">
        <v>0</v>
      </c>
      <c r="J96" s="508">
        <v>0</v>
      </c>
      <c r="K96" s="508">
        <v>0</v>
      </c>
      <c r="L96" s="508">
        <v>0</v>
      </c>
      <c r="M96" s="508">
        <v>0</v>
      </c>
      <c r="N96" s="508">
        <v>0</v>
      </c>
      <c r="O96" s="508">
        <v>0</v>
      </c>
      <c r="P96" s="508">
        <v>0</v>
      </c>
      <c r="Q96" s="508">
        <v>0</v>
      </c>
      <c r="R96" s="508">
        <v>0</v>
      </c>
      <c r="S96" s="508">
        <v>0</v>
      </c>
      <c r="T96" s="508">
        <v>0</v>
      </c>
      <c r="U96" s="508">
        <v>0</v>
      </c>
      <c r="V96" s="508">
        <v>0</v>
      </c>
      <c r="W96" s="508">
        <v>0</v>
      </c>
      <c r="X96" s="508">
        <v>0</v>
      </c>
      <c r="Y96" s="508">
        <v>0</v>
      </c>
      <c r="Z96" s="508">
        <v>0</v>
      </c>
      <c r="AA96" s="508">
        <v>0</v>
      </c>
      <c r="AB96" s="508">
        <v>0</v>
      </c>
      <c r="AC96" s="508">
        <v>0</v>
      </c>
      <c r="AD96" s="508">
        <v>0</v>
      </c>
      <c r="AE96" s="508">
        <v>0</v>
      </c>
      <c r="AF96" s="463"/>
      <c r="AG96" s="769"/>
    </row>
    <row r="97" spans="1:33" ht="37.5" x14ac:dyDescent="0.35">
      <c r="A97" s="481" t="s">
        <v>174</v>
      </c>
      <c r="B97" s="462">
        <f>SUM(H97,J97,L97,N97,P97,R97,T97,V97,X97,Z97,AB97,AD97)</f>
        <v>0</v>
      </c>
      <c r="C97" s="462">
        <f>H97+J97+L97</f>
        <v>0</v>
      </c>
      <c r="D97" s="462">
        <f>E97</f>
        <v>0</v>
      </c>
      <c r="E97" s="462">
        <f>SUM(I97,K97,M97,O97,Q97,S97,U97,W97,Y97,AA97,AC97,AE97)</f>
        <v>0</v>
      </c>
      <c r="F97" s="462">
        <f t="shared" si="81"/>
        <v>0</v>
      </c>
      <c r="G97" s="462">
        <f t="shared" si="82"/>
        <v>0</v>
      </c>
      <c r="H97" s="508">
        <v>0</v>
      </c>
      <c r="I97" s="508">
        <v>0</v>
      </c>
      <c r="J97" s="508">
        <v>0</v>
      </c>
      <c r="K97" s="508">
        <v>0</v>
      </c>
      <c r="L97" s="508">
        <v>0</v>
      </c>
      <c r="M97" s="508">
        <v>0</v>
      </c>
      <c r="N97" s="508">
        <v>0</v>
      </c>
      <c r="O97" s="508">
        <v>0</v>
      </c>
      <c r="P97" s="508">
        <v>0</v>
      </c>
      <c r="Q97" s="508">
        <v>0</v>
      </c>
      <c r="R97" s="508">
        <v>0</v>
      </c>
      <c r="S97" s="508">
        <v>0</v>
      </c>
      <c r="T97" s="508">
        <v>0</v>
      </c>
      <c r="U97" s="508">
        <v>0</v>
      </c>
      <c r="V97" s="508">
        <v>0</v>
      </c>
      <c r="W97" s="508">
        <v>0</v>
      </c>
      <c r="X97" s="508">
        <v>0</v>
      </c>
      <c r="Y97" s="508">
        <v>0</v>
      </c>
      <c r="Z97" s="508">
        <v>0</v>
      </c>
      <c r="AA97" s="508">
        <v>0</v>
      </c>
      <c r="AB97" s="508">
        <v>0</v>
      </c>
      <c r="AC97" s="508">
        <v>0</v>
      </c>
      <c r="AD97" s="508">
        <v>0</v>
      </c>
      <c r="AE97" s="508">
        <v>0</v>
      </c>
      <c r="AF97" s="463"/>
      <c r="AG97" s="769"/>
    </row>
    <row r="98" spans="1:33" ht="21" x14ac:dyDescent="0.35">
      <c r="A98" s="484" t="s">
        <v>371</v>
      </c>
      <c r="B98" s="487"/>
      <c r="C98" s="487"/>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8"/>
      <c r="AF98" s="482"/>
      <c r="AG98" s="769"/>
    </row>
    <row r="99" spans="1:33" s="460" customFormat="1" ht="21" x14ac:dyDescent="0.35">
      <c r="A99" s="457" t="s">
        <v>31</v>
      </c>
      <c r="B99" s="458">
        <f>B100+B101</f>
        <v>700</v>
      </c>
      <c r="C99" s="458">
        <f t="shared" ref="C99:E99" si="84">C100+C101</f>
        <v>0</v>
      </c>
      <c r="D99" s="458">
        <f t="shared" si="84"/>
        <v>0</v>
      </c>
      <c r="E99" s="458">
        <f t="shared" si="84"/>
        <v>0</v>
      </c>
      <c r="F99" s="458">
        <f t="shared" ref="F99:F102" si="85">IFERROR(E99/B99*100,0)</f>
        <v>0</v>
      </c>
      <c r="G99" s="458">
        <f t="shared" ref="G99:G102" si="86">IFERROR(E99/C99*100,0)</f>
        <v>0</v>
      </c>
      <c r="H99" s="507">
        <f>H100+H101</f>
        <v>0</v>
      </c>
      <c r="I99" s="507">
        <f t="shared" ref="I99:AE99" si="87">I100+I101</f>
        <v>0</v>
      </c>
      <c r="J99" s="507">
        <f t="shared" si="87"/>
        <v>0</v>
      </c>
      <c r="K99" s="507">
        <f t="shared" si="87"/>
        <v>0</v>
      </c>
      <c r="L99" s="507">
        <f t="shared" si="87"/>
        <v>0</v>
      </c>
      <c r="M99" s="507">
        <f t="shared" si="87"/>
        <v>0</v>
      </c>
      <c r="N99" s="507">
        <f t="shared" si="87"/>
        <v>0</v>
      </c>
      <c r="O99" s="507">
        <f t="shared" si="87"/>
        <v>0</v>
      </c>
      <c r="P99" s="507">
        <f t="shared" si="87"/>
        <v>0</v>
      </c>
      <c r="Q99" s="507">
        <f t="shared" si="87"/>
        <v>0</v>
      </c>
      <c r="R99" s="507">
        <f t="shared" si="87"/>
        <v>700</v>
      </c>
      <c r="S99" s="507">
        <f t="shared" si="87"/>
        <v>0</v>
      </c>
      <c r="T99" s="507">
        <f t="shared" si="87"/>
        <v>0</v>
      </c>
      <c r="U99" s="507">
        <f t="shared" si="87"/>
        <v>0</v>
      </c>
      <c r="V99" s="507">
        <f t="shared" si="87"/>
        <v>0</v>
      </c>
      <c r="W99" s="507">
        <f t="shared" si="87"/>
        <v>0</v>
      </c>
      <c r="X99" s="507">
        <f t="shared" si="87"/>
        <v>0</v>
      </c>
      <c r="Y99" s="507">
        <f t="shared" si="87"/>
        <v>0</v>
      </c>
      <c r="Z99" s="507">
        <f t="shared" si="87"/>
        <v>0</v>
      </c>
      <c r="AA99" s="507">
        <f t="shared" si="87"/>
        <v>0</v>
      </c>
      <c r="AB99" s="507">
        <f t="shared" si="87"/>
        <v>0</v>
      </c>
      <c r="AC99" s="507">
        <f t="shared" si="87"/>
        <v>0</v>
      </c>
      <c r="AD99" s="507">
        <f t="shared" si="87"/>
        <v>0</v>
      </c>
      <c r="AE99" s="507">
        <f t="shared" si="87"/>
        <v>0</v>
      </c>
      <c r="AF99" s="464"/>
      <c r="AG99" s="769"/>
    </row>
    <row r="100" spans="1:33" ht="21" x14ac:dyDescent="0.35">
      <c r="A100" s="461" t="s">
        <v>32</v>
      </c>
      <c r="B100" s="462">
        <f>SUM(H100,J100,L100,N100,P100,R100,T100,V100,X100,Z100,AB100,AD100)</f>
        <v>0</v>
      </c>
      <c r="C100" s="462">
        <f>H100+J100+L100</f>
        <v>0</v>
      </c>
      <c r="D100" s="462">
        <f>E100</f>
        <v>0</v>
      </c>
      <c r="E100" s="462">
        <f>SUM(I100,K100,M100,O100,Q100,S100,U100,W100,Y100,AA100,AC100,AE100)</f>
        <v>0</v>
      </c>
      <c r="F100" s="462">
        <f t="shared" si="85"/>
        <v>0</v>
      </c>
      <c r="G100" s="462">
        <f t="shared" si="86"/>
        <v>0</v>
      </c>
      <c r="H100" s="508">
        <v>0</v>
      </c>
      <c r="I100" s="508">
        <v>0</v>
      </c>
      <c r="J100" s="508">
        <v>0</v>
      </c>
      <c r="K100" s="508">
        <v>0</v>
      </c>
      <c r="L100" s="508">
        <v>0</v>
      </c>
      <c r="M100" s="508">
        <v>0</v>
      </c>
      <c r="N100" s="508">
        <v>0</v>
      </c>
      <c r="O100" s="508">
        <v>0</v>
      </c>
      <c r="P100" s="508">
        <v>0</v>
      </c>
      <c r="Q100" s="508">
        <v>0</v>
      </c>
      <c r="R100" s="508">
        <v>0</v>
      </c>
      <c r="S100" s="508">
        <v>0</v>
      </c>
      <c r="T100" s="508">
        <v>0</v>
      </c>
      <c r="U100" s="508">
        <v>0</v>
      </c>
      <c r="V100" s="508">
        <v>0</v>
      </c>
      <c r="W100" s="508">
        <v>0</v>
      </c>
      <c r="X100" s="508">
        <v>0</v>
      </c>
      <c r="Y100" s="508">
        <v>0</v>
      </c>
      <c r="Z100" s="508">
        <v>0</v>
      </c>
      <c r="AA100" s="508">
        <v>0</v>
      </c>
      <c r="AB100" s="508">
        <v>0</v>
      </c>
      <c r="AC100" s="508">
        <v>0</v>
      </c>
      <c r="AD100" s="508">
        <v>0</v>
      </c>
      <c r="AE100" s="508">
        <v>0</v>
      </c>
      <c r="AF100" s="463"/>
      <c r="AG100" s="769"/>
    </row>
    <row r="101" spans="1:33" ht="21" x14ac:dyDescent="0.35">
      <c r="A101" s="461" t="s">
        <v>33</v>
      </c>
      <c r="B101" s="462">
        <f>SUM(H101,J101,L101,N101,P101,R101,T101,V101,X101,Z101,AB101,AD101)</f>
        <v>700</v>
      </c>
      <c r="C101" s="462">
        <f>H101+J101+L101</f>
        <v>0</v>
      </c>
      <c r="D101" s="462">
        <f>E101</f>
        <v>0</v>
      </c>
      <c r="E101" s="462">
        <f>SUM(I101,K101,M101,O101,Q101,S101,U101,W101,Y101,AA101,AC101,AE101)</f>
        <v>0</v>
      </c>
      <c r="F101" s="462">
        <f t="shared" si="85"/>
        <v>0</v>
      </c>
      <c r="G101" s="462">
        <f t="shared" si="86"/>
        <v>0</v>
      </c>
      <c r="H101" s="508">
        <v>0</v>
      </c>
      <c r="I101" s="508">
        <v>0</v>
      </c>
      <c r="J101" s="508">
        <v>0</v>
      </c>
      <c r="K101" s="508">
        <v>0</v>
      </c>
      <c r="L101" s="508">
        <v>0</v>
      </c>
      <c r="M101" s="508">
        <v>0</v>
      </c>
      <c r="N101" s="508">
        <v>0</v>
      </c>
      <c r="O101" s="508">
        <v>0</v>
      </c>
      <c r="P101" s="508">
        <v>0</v>
      </c>
      <c r="Q101" s="508">
        <v>0</v>
      </c>
      <c r="R101" s="508">
        <v>700</v>
      </c>
      <c r="S101" s="508">
        <v>0</v>
      </c>
      <c r="T101" s="508">
        <v>0</v>
      </c>
      <c r="U101" s="508">
        <v>0</v>
      </c>
      <c r="V101" s="508">
        <v>0</v>
      </c>
      <c r="W101" s="508">
        <v>0</v>
      </c>
      <c r="X101" s="508">
        <v>0</v>
      </c>
      <c r="Y101" s="508">
        <v>0</v>
      </c>
      <c r="Z101" s="508">
        <v>0</v>
      </c>
      <c r="AA101" s="508">
        <v>0</v>
      </c>
      <c r="AB101" s="508">
        <v>0</v>
      </c>
      <c r="AC101" s="508">
        <v>0</v>
      </c>
      <c r="AD101" s="508">
        <v>0</v>
      </c>
      <c r="AE101" s="508">
        <v>0</v>
      </c>
      <c r="AF101" s="463"/>
      <c r="AG101" s="769"/>
    </row>
    <row r="102" spans="1:33" ht="37.5" x14ac:dyDescent="0.35">
      <c r="A102" s="481" t="s">
        <v>174</v>
      </c>
      <c r="B102" s="462">
        <f>SUM(H102,J102,L102,N102,P102,R102,T102,V102,X102,Z102,AB102,AD102)</f>
        <v>0</v>
      </c>
      <c r="C102" s="462">
        <f>H102+J102+L102</f>
        <v>0</v>
      </c>
      <c r="D102" s="462">
        <f>E102</f>
        <v>0</v>
      </c>
      <c r="E102" s="462">
        <f>SUM(I102,K102,M102,O102,Q102,S102,U102,W102,Y102,AA102,AC102,AE102)</f>
        <v>0</v>
      </c>
      <c r="F102" s="462">
        <f t="shared" si="85"/>
        <v>0</v>
      </c>
      <c r="G102" s="462">
        <f t="shared" si="86"/>
        <v>0</v>
      </c>
      <c r="H102" s="508">
        <v>0</v>
      </c>
      <c r="I102" s="508">
        <v>0</v>
      </c>
      <c r="J102" s="508">
        <v>0</v>
      </c>
      <c r="K102" s="508">
        <v>0</v>
      </c>
      <c r="L102" s="508">
        <v>0</v>
      </c>
      <c r="M102" s="508">
        <v>0</v>
      </c>
      <c r="N102" s="508">
        <v>0</v>
      </c>
      <c r="O102" s="508">
        <v>0</v>
      </c>
      <c r="P102" s="508">
        <v>0</v>
      </c>
      <c r="Q102" s="508">
        <v>0</v>
      </c>
      <c r="R102" s="508">
        <v>0</v>
      </c>
      <c r="S102" s="508">
        <v>0</v>
      </c>
      <c r="T102" s="508">
        <v>0</v>
      </c>
      <c r="U102" s="508">
        <v>0</v>
      </c>
      <c r="V102" s="508">
        <v>0</v>
      </c>
      <c r="W102" s="508">
        <v>0</v>
      </c>
      <c r="X102" s="508">
        <v>0</v>
      </c>
      <c r="Y102" s="508">
        <v>0</v>
      </c>
      <c r="Z102" s="508">
        <v>0</v>
      </c>
      <c r="AA102" s="508">
        <v>0</v>
      </c>
      <c r="AB102" s="508">
        <v>0</v>
      </c>
      <c r="AC102" s="508">
        <v>0</v>
      </c>
      <c r="AD102" s="508">
        <v>0</v>
      </c>
      <c r="AE102" s="508">
        <v>0</v>
      </c>
      <c r="AF102" s="463"/>
      <c r="AG102" s="769"/>
    </row>
    <row r="103" spans="1:33" ht="21" x14ac:dyDescent="0.35">
      <c r="A103" s="484" t="s">
        <v>372</v>
      </c>
      <c r="B103" s="487"/>
      <c r="C103" s="487"/>
      <c r="D103" s="487"/>
      <c r="E103" s="487"/>
      <c r="F103" s="487"/>
      <c r="G103" s="487"/>
      <c r="H103" s="487"/>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8"/>
      <c r="AF103" s="482"/>
      <c r="AG103" s="769"/>
    </row>
    <row r="104" spans="1:33" s="460" customFormat="1" ht="21" x14ac:dyDescent="0.35">
      <c r="A104" s="457" t="s">
        <v>31</v>
      </c>
      <c r="B104" s="458">
        <f>B105+B106</f>
        <v>1000</v>
      </c>
      <c r="C104" s="458">
        <f t="shared" ref="C104:E104" si="88">C105+C106</f>
        <v>0</v>
      </c>
      <c r="D104" s="458">
        <f t="shared" si="88"/>
        <v>0</v>
      </c>
      <c r="E104" s="458">
        <f t="shared" si="88"/>
        <v>0</v>
      </c>
      <c r="F104" s="458">
        <f t="shared" ref="F104:F107" si="89">IFERROR(E104/B104*100,0)</f>
        <v>0</v>
      </c>
      <c r="G104" s="458">
        <f t="shared" ref="G104:G107" si="90">IFERROR(E104/C104*100,0)</f>
        <v>0</v>
      </c>
      <c r="H104" s="507">
        <f>H105+H106</f>
        <v>0</v>
      </c>
      <c r="I104" s="507">
        <f t="shared" ref="I104:AE104" si="91">I105+I106</f>
        <v>0</v>
      </c>
      <c r="J104" s="507">
        <f t="shared" si="91"/>
        <v>0</v>
      </c>
      <c r="K104" s="507">
        <f t="shared" si="91"/>
        <v>0</v>
      </c>
      <c r="L104" s="507">
        <f t="shared" si="91"/>
        <v>0</v>
      </c>
      <c r="M104" s="507">
        <f t="shared" si="91"/>
        <v>0</v>
      </c>
      <c r="N104" s="507">
        <f t="shared" si="91"/>
        <v>0</v>
      </c>
      <c r="O104" s="507">
        <f t="shared" si="91"/>
        <v>0</v>
      </c>
      <c r="P104" s="507">
        <f t="shared" si="91"/>
        <v>0</v>
      </c>
      <c r="Q104" s="507">
        <f t="shared" si="91"/>
        <v>0</v>
      </c>
      <c r="R104" s="507">
        <f t="shared" si="91"/>
        <v>1000</v>
      </c>
      <c r="S104" s="507">
        <f t="shared" si="91"/>
        <v>0</v>
      </c>
      <c r="T104" s="507">
        <f t="shared" si="91"/>
        <v>0</v>
      </c>
      <c r="U104" s="507">
        <f t="shared" si="91"/>
        <v>0</v>
      </c>
      <c r="V104" s="507">
        <f t="shared" si="91"/>
        <v>0</v>
      </c>
      <c r="W104" s="507">
        <f t="shared" si="91"/>
        <v>0</v>
      </c>
      <c r="X104" s="507">
        <f t="shared" si="91"/>
        <v>0</v>
      </c>
      <c r="Y104" s="507">
        <f t="shared" si="91"/>
        <v>0</v>
      </c>
      <c r="Z104" s="507">
        <f t="shared" si="91"/>
        <v>0</v>
      </c>
      <c r="AA104" s="507">
        <f t="shared" si="91"/>
        <v>0</v>
      </c>
      <c r="AB104" s="507">
        <f t="shared" si="91"/>
        <v>0</v>
      </c>
      <c r="AC104" s="507">
        <f t="shared" si="91"/>
        <v>0</v>
      </c>
      <c r="AD104" s="507">
        <f t="shared" si="91"/>
        <v>0</v>
      </c>
      <c r="AE104" s="507">
        <f t="shared" si="91"/>
        <v>0</v>
      </c>
      <c r="AF104" s="464"/>
      <c r="AG104" s="769"/>
    </row>
    <row r="105" spans="1:33" ht="21" x14ac:dyDescent="0.35">
      <c r="A105" s="461" t="s">
        <v>32</v>
      </c>
      <c r="B105" s="462">
        <f>SUM(H105,J105,L105,N105,P105,R105,T105,V105,X105,Z105,AB105,AD105)</f>
        <v>0</v>
      </c>
      <c r="C105" s="462">
        <f>H105+J105+L105</f>
        <v>0</v>
      </c>
      <c r="D105" s="462">
        <f>E105</f>
        <v>0</v>
      </c>
      <c r="E105" s="462">
        <f>SUM(I105,K105,M105,O105,Q105,S105,U105,W105,Y105,AA105,AC105,AE105)</f>
        <v>0</v>
      </c>
      <c r="F105" s="462">
        <f t="shared" si="89"/>
        <v>0</v>
      </c>
      <c r="G105" s="462">
        <f t="shared" si="90"/>
        <v>0</v>
      </c>
      <c r="H105" s="508">
        <v>0</v>
      </c>
      <c r="I105" s="508">
        <v>0</v>
      </c>
      <c r="J105" s="508">
        <v>0</v>
      </c>
      <c r="K105" s="508">
        <v>0</v>
      </c>
      <c r="L105" s="508">
        <v>0</v>
      </c>
      <c r="M105" s="508">
        <v>0</v>
      </c>
      <c r="N105" s="508">
        <v>0</v>
      </c>
      <c r="O105" s="508">
        <v>0</v>
      </c>
      <c r="P105" s="508">
        <v>0</v>
      </c>
      <c r="Q105" s="508">
        <v>0</v>
      </c>
      <c r="R105" s="508">
        <v>0</v>
      </c>
      <c r="S105" s="508">
        <v>0</v>
      </c>
      <c r="T105" s="508">
        <v>0</v>
      </c>
      <c r="U105" s="508">
        <v>0</v>
      </c>
      <c r="V105" s="508">
        <v>0</v>
      </c>
      <c r="W105" s="508">
        <v>0</v>
      </c>
      <c r="X105" s="508">
        <v>0</v>
      </c>
      <c r="Y105" s="508">
        <v>0</v>
      </c>
      <c r="Z105" s="508">
        <v>0</v>
      </c>
      <c r="AA105" s="508">
        <v>0</v>
      </c>
      <c r="AB105" s="508">
        <v>0</v>
      </c>
      <c r="AC105" s="508">
        <v>0</v>
      </c>
      <c r="AD105" s="508">
        <v>0</v>
      </c>
      <c r="AE105" s="508">
        <v>0</v>
      </c>
      <c r="AF105" s="463"/>
      <c r="AG105" s="769"/>
    </row>
    <row r="106" spans="1:33" ht="21" x14ac:dyDescent="0.35">
      <c r="A106" s="461" t="s">
        <v>33</v>
      </c>
      <c r="B106" s="462">
        <f>SUM(H106,J106,L106,N106,P106,R106,T106,V106,X106,Z106,AB106,AD106)</f>
        <v>1000</v>
      </c>
      <c r="C106" s="462">
        <f>H106+J106+L106</f>
        <v>0</v>
      </c>
      <c r="D106" s="462">
        <f>E106</f>
        <v>0</v>
      </c>
      <c r="E106" s="462">
        <f>SUM(I106,K106,M106,O106,Q106,S106,U106,W106,Y106,AA106,AC106,AE106)</f>
        <v>0</v>
      </c>
      <c r="F106" s="462">
        <f t="shared" si="89"/>
        <v>0</v>
      </c>
      <c r="G106" s="462">
        <f t="shared" si="90"/>
        <v>0</v>
      </c>
      <c r="H106" s="508">
        <v>0</v>
      </c>
      <c r="I106" s="508">
        <v>0</v>
      </c>
      <c r="J106" s="508">
        <v>0</v>
      </c>
      <c r="K106" s="508">
        <v>0</v>
      </c>
      <c r="L106" s="508">
        <v>0</v>
      </c>
      <c r="M106" s="508">
        <v>0</v>
      </c>
      <c r="N106" s="508">
        <v>0</v>
      </c>
      <c r="O106" s="508">
        <v>0</v>
      </c>
      <c r="P106" s="508">
        <v>0</v>
      </c>
      <c r="Q106" s="508">
        <v>0</v>
      </c>
      <c r="R106" s="508">
        <v>1000</v>
      </c>
      <c r="S106" s="508">
        <v>0</v>
      </c>
      <c r="T106" s="508">
        <v>0</v>
      </c>
      <c r="U106" s="508">
        <v>0</v>
      </c>
      <c r="V106" s="508">
        <v>0</v>
      </c>
      <c r="W106" s="508">
        <v>0</v>
      </c>
      <c r="X106" s="508">
        <v>0</v>
      </c>
      <c r="Y106" s="508">
        <v>0</v>
      </c>
      <c r="Z106" s="508">
        <v>0</v>
      </c>
      <c r="AA106" s="508">
        <v>0</v>
      </c>
      <c r="AB106" s="508">
        <v>0</v>
      </c>
      <c r="AC106" s="508">
        <v>0</v>
      </c>
      <c r="AD106" s="508">
        <v>0</v>
      </c>
      <c r="AE106" s="508">
        <v>0</v>
      </c>
      <c r="AF106" s="463"/>
      <c r="AG106" s="769"/>
    </row>
    <row r="107" spans="1:33" ht="37.5" x14ac:dyDescent="0.35">
      <c r="A107" s="481" t="s">
        <v>174</v>
      </c>
      <c r="B107" s="462">
        <f>SUM(H107,J107,L107,N107,P107,R107,T107,V107,X107,Z107,AB107,AD107)</f>
        <v>0</v>
      </c>
      <c r="C107" s="462">
        <f>H107+J107+L107</f>
        <v>0</v>
      </c>
      <c r="D107" s="462">
        <f>E107</f>
        <v>0</v>
      </c>
      <c r="E107" s="462">
        <f>SUM(I107,K107,M107,O107,Q107,S107,U107,W107,Y107,AA107,AC107,AE107)</f>
        <v>0</v>
      </c>
      <c r="F107" s="462">
        <f t="shared" si="89"/>
        <v>0</v>
      </c>
      <c r="G107" s="462">
        <f t="shared" si="90"/>
        <v>0</v>
      </c>
      <c r="H107" s="508">
        <v>0</v>
      </c>
      <c r="I107" s="508">
        <v>0</v>
      </c>
      <c r="J107" s="508">
        <v>0</v>
      </c>
      <c r="K107" s="508">
        <v>0</v>
      </c>
      <c r="L107" s="508">
        <v>0</v>
      </c>
      <c r="M107" s="508">
        <v>0</v>
      </c>
      <c r="N107" s="508">
        <v>0</v>
      </c>
      <c r="O107" s="508">
        <v>0</v>
      </c>
      <c r="P107" s="508">
        <v>0</v>
      </c>
      <c r="Q107" s="508">
        <v>0</v>
      </c>
      <c r="R107" s="508">
        <v>0</v>
      </c>
      <c r="S107" s="508">
        <v>0</v>
      </c>
      <c r="T107" s="508">
        <v>0</v>
      </c>
      <c r="U107" s="508">
        <v>0</v>
      </c>
      <c r="V107" s="508">
        <v>0</v>
      </c>
      <c r="W107" s="508">
        <v>0</v>
      </c>
      <c r="X107" s="508">
        <v>0</v>
      </c>
      <c r="Y107" s="508">
        <v>0</v>
      </c>
      <c r="Z107" s="508">
        <v>0</v>
      </c>
      <c r="AA107" s="508">
        <v>0</v>
      </c>
      <c r="AB107" s="508">
        <v>0</v>
      </c>
      <c r="AC107" s="508">
        <v>0</v>
      </c>
      <c r="AD107" s="508">
        <v>0</v>
      </c>
      <c r="AE107" s="508">
        <v>0</v>
      </c>
      <c r="AF107" s="463"/>
      <c r="AG107" s="769"/>
    </row>
    <row r="108" spans="1:33" ht="21" x14ac:dyDescent="0.35">
      <c r="A108" s="484" t="s">
        <v>373</v>
      </c>
      <c r="B108" s="487"/>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8"/>
      <c r="AF108" s="482"/>
      <c r="AG108" s="769"/>
    </row>
    <row r="109" spans="1:33" s="460" customFormat="1" ht="21" x14ac:dyDescent="0.35">
      <c r="A109" s="457" t="s">
        <v>31</v>
      </c>
      <c r="B109" s="458">
        <f>B110+B111</f>
        <v>600</v>
      </c>
      <c r="C109" s="458">
        <f t="shared" ref="C109:E109" si="92">C110+C111</f>
        <v>0</v>
      </c>
      <c r="D109" s="458">
        <f t="shared" si="92"/>
        <v>0</v>
      </c>
      <c r="E109" s="458">
        <f t="shared" si="92"/>
        <v>0</v>
      </c>
      <c r="F109" s="458">
        <f t="shared" ref="F109:F112" si="93">IFERROR(E109/B109*100,0)</f>
        <v>0</v>
      </c>
      <c r="G109" s="458">
        <f t="shared" ref="G109:G112" si="94">IFERROR(E109/C109*100,0)</f>
        <v>0</v>
      </c>
      <c r="H109" s="507">
        <f>H110+H111</f>
        <v>0</v>
      </c>
      <c r="I109" s="507">
        <f t="shared" ref="I109:AE109" si="95">I110+I111</f>
        <v>0</v>
      </c>
      <c r="J109" s="507">
        <f t="shared" si="95"/>
        <v>0</v>
      </c>
      <c r="K109" s="507">
        <f t="shared" si="95"/>
        <v>0</v>
      </c>
      <c r="L109" s="507">
        <f t="shared" si="95"/>
        <v>0</v>
      </c>
      <c r="M109" s="507">
        <f t="shared" si="95"/>
        <v>0</v>
      </c>
      <c r="N109" s="507">
        <f t="shared" si="95"/>
        <v>0</v>
      </c>
      <c r="O109" s="507">
        <f t="shared" si="95"/>
        <v>0</v>
      </c>
      <c r="P109" s="507">
        <f t="shared" si="95"/>
        <v>0</v>
      </c>
      <c r="Q109" s="507">
        <f t="shared" si="95"/>
        <v>0</v>
      </c>
      <c r="R109" s="507">
        <f t="shared" si="95"/>
        <v>600</v>
      </c>
      <c r="S109" s="507">
        <f t="shared" si="95"/>
        <v>0</v>
      </c>
      <c r="T109" s="507">
        <f t="shared" si="95"/>
        <v>0</v>
      </c>
      <c r="U109" s="507">
        <f t="shared" si="95"/>
        <v>0</v>
      </c>
      <c r="V109" s="507">
        <f t="shared" si="95"/>
        <v>0</v>
      </c>
      <c r="W109" s="507">
        <f t="shared" si="95"/>
        <v>0</v>
      </c>
      <c r="X109" s="507">
        <f t="shared" si="95"/>
        <v>0</v>
      </c>
      <c r="Y109" s="507">
        <f t="shared" si="95"/>
        <v>0</v>
      </c>
      <c r="Z109" s="507">
        <f t="shared" si="95"/>
        <v>0</v>
      </c>
      <c r="AA109" s="507">
        <f t="shared" si="95"/>
        <v>0</v>
      </c>
      <c r="AB109" s="507">
        <f t="shared" si="95"/>
        <v>0</v>
      </c>
      <c r="AC109" s="507">
        <f t="shared" si="95"/>
        <v>0</v>
      </c>
      <c r="AD109" s="507">
        <f t="shared" si="95"/>
        <v>0</v>
      </c>
      <c r="AE109" s="507">
        <f t="shared" si="95"/>
        <v>0</v>
      </c>
      <c r="AF109" s="464"/>
      <c r="AG109" s="769"/>
    </row>
    <row r="110" spans="1:33" ht="21" x14ac:dyDescent="0.35">
      <c r="A110" s="461" t="s">
        <v>32</v>
      </c>
      <c r="B110" s="462">
        <f>SUM(H110,J110,L110,N110,P110,R110,T110,V110,X110,Z110,AB110,AD110)</f>
        <v>0</v>
      </c>
      <c r="C110" s="462">
        <f>H110+J110+L110</f>
        <v>0</v>
      </c>
      <c r="D110" s="462">
        <f>E110</f>
        <v>0</v>
      </c>
      <c r="E110" s="462">
        <f>SUM(I110,K110,M110,O110,Q110,S110,U110,W110,Y110,AA110,AC110,AE110)</f>
        <v>0</v>
      </c>
      <c r="F110" s="462">
        <f t="shared" si="93"/>
        <v>0</v>
      </c>
      <c r="G110" s="462">
        <f t="shared" si="94"/>
        <v>0</v>
      </c>
      <c r="H110" s="508">
        <v>0</v>
      </c>
      <c r="I110" s="508">
        <v>0</v>
      </c>
      <c r="J110" s="508">
        <v>0</v>
      </c>
      <c r="K110" s="508">
        <v>0</v>
      </c>
      <c r="L110" s="508">
        <v>0</v>
      </c>
      <c r="M110" s="508">
        <v>0</v>
      </c>
      <c r="N110" s="508">
        <v>0</v>
      </c>
      <c r="O110" s="508">
        <v>0</v>
      </c>
      <c r="P110" s="508">
        <v>0</v>
      </c>
      <c r="Q110" s="508">
        <v>0</v>
      </c>
      <c r="R110" s="508">
        <v>0</v>
      </c>
      <c r="S110" s="508">
        <v>0</v>
      </c>
      <c r="T110" s="508">
        <v>0</v>
      </c>
      <c r="U110" s="508">
        <v>0</v>
      </c>
      <c r="V110" s="508">
        <v>0</v>
      </c>
      <c r="W110" s="508">
        <v>0</v>
      </c>
      <c r="X110" s="508">
        <v>0</v>
      </c>
      <c r="Y110" s="508">
        <v>0</v>
      </c>
      <c r="Z110" s="508">
        <v>0</v>
      </c>
      <c r="AA110" s="508">
        <v>0</v>
      </c>
      <c r="AB110" s="508">
        <v>0</v>
      </c>
      <c r="AC110" s="508">
        <v>0</v>
      </c>
      <c r="AD110" s="508">
        <v>0</v>
      </c>
      <c r="AE110" s="508">
        <v>0</v>
      </c>
      <c r="AF110" s="463"/>
      <c r="AG110" s="769"/>
    </row>
    <row r="111" spans="1:33" ht="21" x14ac:dyDescent="0.35">
      <c r="A111" s="461" t="s">
        <v>33</v>
      </c>
      <c r="B111" s="462">
        <f>SUM(H111,J111,L111,N111,P111,R111,T111,V111,X111,Z111,AB111,AD111)</f>
        <v>600</v>
      </c>
      <c r="C111" s="462">
        <f>H111+J111+L111</f>
        <v>0</v>
      </c>
      <c r="D111" s="462">
        <f>E111</f>
        <v>0</v>
      </c>
      <c r="E111" s="462">
        <f>SUM(I111,K111,M111,O111,Q111,S111,U111,W111,Y111,AA111,AC111,AE111)</f>
        <v>0</v>
      </c>
      <c r="F111" s="462">
        <f t="shared" si="93"/>
        <v>0</v>
      </c>
      <c r="G111" s="462">
        <f t="shared" si="94"/>
        <v>0</v>
      </c>
      <c r="H111" s="508">
        <v>0</v>
      </c>
      <c r="I111" s="508">
        <v>0</v>
      </c>
      <c r="J111" s="508">
        <v>0</v>
      </c>
      <c r="K111" s="508">
        <v>0</v>
      </c>
      <c r="L111" s="508">
        <v>0</v>
      </c>
      <c r="M111" s="508">
        <v>0</v>
      </c>
      <c r="N111" s="508">
        <v>0</v>
      </c>
      <c r="O111" s="508">
        <v>0</v>
      </c>
      <c r="P111" s="508">
        <v>0</v>
      </c>
      <c r="Q111" s="508">
        <v>0</v>
      </c>
      <c r="R111" s="508">
        <v>600</v>
      </c>
      <c r="S111" s="508">
        <v>0</v>
      </c>
      <c r="T111" s="508">
        <v>0</v>
      </c>
      <c r="U111" s="508">
        <v>0</v>
      </c>
      <c r="V111" s="508">
        <v>0</v>
      </c>
      <c r="W111" s="508">
        <v>0</v>
      </c>
      <c r="X111" s="508">
        <v>0</v>
      </c>
      <c r="Y111" s="508">
        <v>0</v>
      </c>
      <c r="Z111" s="508">
        <v>0</v>
      </c>
      <c r="AA111" s="508">
        <v>0</v>
      </c>
      <c r="AB111" s="508">
        <v>0</v>
      </c>
      <c r="AC111" s="508">
        <v>0</v>
      </c>
      <c r="AD111" s="508">
        <v>0</v>
      </c>
      <c r="AE111" s="508">
        <v>0</v>
      </c>
      <c r="AF111" s="463"/>
      <c r="AG111" s="769"/>
    </row>
    <row r="112" spans="1:33" ht="37.5" x14ac:dyDescent="0.35">
      <c r="A112" s="481" t="s">
        <v>174</v>
      </c>
      <c r="B112" s="462">
        <f>SUM(H112,J112,L112,N112,P112,R112,T112,V112,X112,Z112,AB112,AD112)</f>
        <v>0</v>
      </c>
      <c r="C112" s="462">
        <f>H112+J112+L112</f>
        <v>0</v>
      </c>
      <c r="D112" s="462">
        <f>E112</f>
        <v>0</v>
      </c>
      <c r="E112" s="462">
        <f>SUM(I112,K112,M112,O112,Q112,S112,U112,W112,Y112,AA112,AC112,AE112)</f>
        <v>0</v>
      </c>
      <c r="F112" s="462">
        <f t="shared" si="93"/>
        <v>0</v>
      </c>
      <c r="G112" s="462">
        <f t="shared" si="94"/>
        <v>0</v>
      </c>
      <c r="H112" s="508">
        <v>0</v>
      </c>
      <c r="I112" s="508">
        <v>0</v>
      </c>
      <c r="J112" s="508">
        <v>0</v>
      </c>
      <c r="K112" s="508">
        <v>0</v>
      </c>
      <c r="L112" s="508">
        <v>0</v>
      </c>
      <c r="M112" s="508">
        <v>0</v>
      </c>
      <c r="N112" s="508">
        <v>0</v>
      </c>
      <c r="O112" s="508">
        <v>0</v>
      </c>
      <c r="P112" s="508">
        <v>0</v>
      </c>
      <c r="Q112" s="508">
        <v>0</v>
      </c>
      <c r="R112" s="508">
        <v>0</v>
      </c>
      <c r="S112" s="508">
        <v>0</v>
      </c>
      <c r="T112" s="508">
        <v>0</v>
      </c>
      <c r="U112" s="508">
        <v>0</v>
      </c>
      <c r="V112" s="508">
        <v>0</v>
      </c>
      <c r="W112" s="508">
        <v>0</v>
      </c>
      <c r="X112" s="508">
        <v>0</v>
      </c>
      <c r="Y112" s="508">
        <v>0</v>
      </c>
      <c r="Z112" s="508">
        <v>0</v>
      </c>
      <c r="AA112" s="508">
        <v>0</v>
      </c>
      <c r="AB112" s="508">
        <v>0</v>
      </c>
      <c r="AC112" s="508">
        <v>0</v>
      </c>
      <c r="AD112" s="508">
        <v>0</v>
      </c>
      <c r="AE112" s="508">
        <v>0</v>
      </c>
      <c r="AF112" s="463"/>
      <c r="AG112" s="769"/>
    </row>
    <row r="113" spans="1:33" ht="21" x14ac:dyDescent="0.35">
      <c r="A113" s="484" t="s">
        <v>374</v>
      </c>
      <c r="B113" s="487"/>
      <c r="C113" s="487"/>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8"/>
      <c r="AF113" s="482"/>
      <c r="AG113" s="769"/>
    </row>
    <row r="114" spans="1:33" s="460" customFormat="1" ht="21" x14ac:dyDescent="0.35">
      <c r="A114" s="457" t="s">
        <v>31</v>
      </c>
      <c r="B114" s="458">
        <f>B115+B116</f>
        <v>600</v>
      </c>
      <c r="C114" s="458">
        <f t="shared" ref="C114:E114" si="96">C115+C116</f>
        <v>0</v>
      </c>
      <c r="D114" s="458">
        <f t="shared" si="96"/>
        <v>0</v>
      </c>
      <c r="E114" s="458">
        <f t="shared" si="96"/>
        <v>0</v>
      </c>
      <c r="F114" s="458">
        <f t="shared" ref="F114:F117" si="97">IFERROR(E114/B114*100,0)</f>
        <v>0</v>
      </c>
      <c r="G114" s="458">
        <f t="shared" ref="G114:G117" si="98">IFERROR(E114/C114*100,0)</f>
        <v>0</v>
      </c>
      <c r="H114" s="507">
        <f>H115+H116</f>
        <v>0</v>
      </c>
      <c r="I114" s="507">
        <f t="shared" ref="I114:AE114" si="99">I115+I116</f>
        <v>0</v>
      </c>
      <c r="J114" s="507">
        <f t="shared" si="99"/>
        <v>0</v>
      </c>
      <c r="K114" s="507">
        <f t="shared" si="99"/>
        <v>0</v>
      </c>
      <c r="L114" s="507">
        <f t="shared" si="99"/>
        <v>0</v>
      </c>
      <c r="M114" s="507">
        <f t="shared" si="99"/>
        <v>0</v>
      </c>
      <c r="N114" s="507">
        <f t="shared" si="99"/>
        <v>0</v>
      </c>
      <c r="O114" s="507">
        <f t="shared" si="99"/>
        <v>0</v>
      </c>
      <c r="P114" s="507">
        <f t="shared" si="99"/>
        <v>0</v>
      </c>
      <c r="Q114" s="507">
        <f t="shared" si="99"/>
        <v>0</v>
      </c>
      <c r="R114" s="507">
        <f t="shared" si="99"/>
        <v>600</v>
      </c>
      <c r="S114" s="507">
        <f t="shared" si="99"/>
        <v>0</v>
      </c>
      <c r="T114" s="507">
        <f t="shared" si="99"/>
        <v>0</v>
      </c>
      <c r="U114" s="507">
        <f t="shared" si="99"/>
        <v>0</v>
      </c>
      <c r="V114" s="507">
        <f t="shared" si="99"/>
        <v>0</v>
      </c>
      <c r="W114" s="507">
        <f t="shared" si="99"/>
        <v>0</v>
      </c>
      <c r="X114" s="507">
        <f t="shared" si="99"/>
        <v>0</v>
      </c>
      <c r="Y114" s="507">
        <f t="shared" si="99"/>
        <v>0</v>
      </c>
      <c r="Z114" s="507">
        <f t="shared" si="99"/>
        <v>0</v>
      </c>
      <c r="AA114" s="507">
        <f t="shared" si="99"/>
        <v>0</v>
      </c>
      <c r="AB114" s="507">
        <f t="shared" si="99"/>
        <v>0</v>
      </c>
      <c r="AC114" s="507">
        <f t="shared" si="99"/>
        <v>0</v>
      </c>
      <c r="AD114" s="507">
        <f t="shared" si="99"/>
        <v>0</v>
      </c>
      <c r="AE114" s="507">
        <f t="shared" si="99"/>
        <v>0</v>
      </c>
      <c r="AF114" s="464"/>
      <c r="AG114" s="769"/>
    </row>
    <row r="115" spans="1:33" ht="21" x14ac:dyDescent="0.35">
      <c r="A115" s="461" t="s">
        <v>32</v>
      </c>
      <c r="B115" s="462">
        <f>SUM(H115,J115,L115,N115,P115,R115,T115,V115,X115,Z115,AB115,AD115)</f>
        <v>0</v>
      </c>
      <c r="C115" s="462">
        <f>H115+J115+L115</f>
        <v>0</v>
      </c>
      <c r="D115" s="462">
        <f>E115</f>
        <v>0</v>
      </c>
      <c r="E115" s="462">
        <f>SUM(I115,K115,M115,O115,Q115,S115,U115,W115,Y115,AA115,AC115,AE115)</f>
        <v>0</v>
      </c>
      <c r="F115" s="462">
        <f t="shared" si="97"/>
        <v>0</v>
      </c>
      <c r="G115" s="462">
        <f t="shared" si="98"/>
        <v>0</v>
      </c>
      <c r="H115" s="508">
        <v>0</v>
      </c>
      <c r="I115" s="508">
        <v>0</v>
      </c>
      <c r="J115" s="508">
        <v>0</v>
      </c>
      <c r="K115" s="508">
        <v>0</v>
      </c>
      <c r="L115" s="508">
        <v>0</v>
      </c>
      <c r="M115" s="508">
        <v>0</v>
      </c>
      <c r="N115" s="508">
        <v>0</v>
      </c>
      <c r="O115" s="508">
        <v>0</v>
      </c>
      <c r="P115" s="508">
        <v>0</v>
      </c>
      <c r="Q115" s="508">
        <v>0</v>
      </c>
      <c r="R115" s="508">
        <v>0</v>
      </c>
      <c r="S115" s="508">
        <v>0</v>
      </c>
      <c r="T115" s="508">
        <v>0</v>
      </c>
      <c r="U115" s="508">
        <v>0</v>
      </c>
      <c r="V115" s="508">
        <v>0</v>
      </c>
      <c r="W115" s="508">
        <v>0</v>
      </c>
      <c r="X115" s="508">
        <v>0</v>
      </c>
      <c r="Y115" s="508">
        <v>0</v>
      </c>
      <c r="Z115" s="508">
        <v>0</v>
      </c>
      <c r="AA115" s="508">
        <v>0</v>
      </c>
      <c r="AB115" s="508">
        <v>0</v>
      </c>
      <c r="AC115" s="508">
        <v>0</v>
      </c>
      <c r="AD115" s="508">
        <v>0</v>
      </c>
      <c r="AE115" s="508">
        <v>0</v>
      </c>
      <c r="AF115" s="463"/>
      <c r="AG115" s="769"/>
    </row>
    <row r="116" spans="1:33" ht="21" x14ac:dyDescent="0.35">
      <c r="A116" s="461" t="s">
        <v>33</v>
      </c>
      <c r="B116" s="462">
        <f>SUM(H116,J116,L116,N116,P116,R116,T116,V116,X116,Z116,AB116,AD116)</f>
        <v>600</v>
      </c>
      <c r="C116" s="462">
        <f>H116+J116+L116</f>
        <v>0</v>
      </c>
      <c r="D116" s="462">
        <f>E116</f>
        <v>0</v>
      </c>
      <c r="E116" s="462">
        <f>SUM(I116,K116,M116,O116,Q116,S116,U116,W116,Y116,AA116,AC116,AE116)</f>
        <v>0</v>
      </c>
      <c r="F116" s="462">
        <f t="shared" si="97"/>
        <v>0</v>
      </c>
      <c r="G116" s="462">
        <f t="shared" si="98"/>
        <v>0</v>
      </c>
      <c r="H116" s="508">
        <v>0</v>
      </c>
      <c r="I116" s="508">
        <v>0</v>
      </c>
      <c r="J116" s="508">
        <v>0</v>
      </c>
      <c r="K116" s="508">
        <v>0</v>
      </c>
      <c r="L116" s="508">
        <v>0</v>
      </c>
      <c r="M116" s="508">
        <v>0</v>
      </c>
      <c r="N116" s="508">
        <v>0</v>
      </c>
      <c r="O116" s="508">
        <v>0</v>
      </c>
      <c r="P116" s="508">
        <v>0</v>
      </c>
      <c r="Q116" s="508">
        <v>0</v>
      </c>
      <c r="R116" s="508">
        <v>600</v>
      </c>
      <c r="S116" s="508">
        <v>0</v>
      </c>
      <c r="T116" s="508">
        <v>0</v>
      </c>
      <c r="U116" s="508">
        <v>0</v>
      </c>
      <c r="V116" s="508">
        <v>0</v>
      </c>
      <c r="W116" s="508">
        <v>0</v>
      </c>
      <c r="X116" s="508">
        <v>0</v>
      </c>
      <c r="Y116" s="508">
        <v>0</v>
      </c>
      <c r="Z116" s="508">
        <v>0</v>
      </c>
      <c r="AA116" s="508">
        <v>0</v>
      </c>
      <c r="AB116" s="508">
        <v>0</v>
      </c>
      <c r="AC116" s="508">
        <v>0</v>
      </c>
      <c r="AD116" s="508">
        <v>0</v>
      </c>
      <c r="AE116" s="508">
        <v>0</v>
      </c>
      <c r="AF116" s="463"/>
      <c r="AG116" s="769"/>
    </row>
    <row r="117" spans="1:33" ht="37.5" x14ac:dyDescent="0.35">
      <c r="A117" s="461" t="s">
        <v>174</v>
      </c>
      <c r="B117" s="462">
        <f>SUM(H117,J117,L117,N117,P117,R117,T117,V117,X117,Z117,AB117,AD117)</f>
        <v>0</v>
      </c>
      <c r="C117" s="462">
        <f>H117+J117+L117</f>
        <v>0</v>
      </c>
      <c r="D117" s="462">
        <f>E117</f>
        <v>0</v>
      </c>
      <c r="E117" s="462">
        <f>SUM(I117,K117,M117,O117,Q117,S117,U117,W117,Y117,AA117,AC117,AE117)</f>
        <v>0</v>
      </c>
      <c r="F117" s="462">
        <f t="shared" si="97"/>
        <v>0</v>
      </c>
      <c r="G117" s="462">
        <f t="shared" si="98"/>
        <v>0</v>
      </c>
      <c r="H117" s="508">
        <v>0</v>
      </c>
      <c r="I117" s="508">
        <v>0</v>
      </c>
      <c r="J117" s="508">
        <v>0</v>
      </c>
      <c r="K117" s="508">
        <v>0</v>
      </c>
      <c r="L117" s="508">
        <v>0</v>
      </c>
      <c r="M117" s="508">
        <v>0</v>
      </c>
      <c r="N117" s="508">
        <v>0</v>
      </c>
      <c r="O117" s="508">
        <v>0</v>
      </c>
      <c r="P117" s="508">
        <v>0</v>
      </c>
      <c r="Q117" s="508">
        <v>0</v>
      </c>
      <c r="R117" s="508">
        <v>0</v>
      </c>
      <c r="S117" s="508">
        <v>0</v>
      </c>
      <c r="T117" s="508">
        <v>0</v>
      </c>
      <c r="U117" s="508">
        <v>0</v>
      </c>
      <c r="V117" s="508">
        <v>0</v>
      </c>
      <c r="W117" s="508">
        <v>0</v>
      </c>
      <c r="X117" s="508">
        <v>0</v>
      </c>
      <c r="Y117" s="508">
        <v>0</v>
      </c>
      <c r="Z117" s="508">
        <v>0</v>
      </c>
      <c r="AA117" s="508">
        <v>0</v>
      </c>
      <c r="AB117" s="508">
        <v>0</v>
      </c>
      <c r="AC117" s="508">
        <v>0</v>
      </c>
      <c r="AD117" s="508">
        <v>0</v>
      </c>
      <c r="AE117" s="508">
        <v>0</v>
      </c>
      <c r="AF117" s="463"/>
      <c r="AG117" s="769"/>
    </row>
    <row r="118" spans="1:33" ht="21" x14ac:dyDescent="0.35">
      <c r="A118" s="484" t="s">
        <v>375</v>
      </c>
      <c r="B118" s="487"/>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8"/>
      <c r="AF118" s="463"/>
      <c r="AG118" s="769"/>
    </row>
    <row r="119" spans="1:33" s="460" customFormat="1" ht="21" x14ac:dyDescent="0.35">
      <c r="A119" s="457" t="s">
        <v>31</v>
      </c>
      <c r="B119" s="458">
        <f>B120+B121</f>
        <v>100</v>
      </c>
      <c r="C119" s="458">
        <f t="shared" ref="C119:E119" si="100">C120+C121</f>
        <v>0</v>
      </c>
      <c r="D119" s="458">
        <f t="shared" si="100"/>
        <v>0</v>
      </c>
      <c r="E119" s="458">
        <f t="shared" si="100"/>
        <v>0</v>
      </c>
      <c r="F119" s="458">
        <f t="shared" ref="F119:F122" si="101">IFERROR(E119/B119*100,0)</f>
        <v>0</v>
      </c>
      <c r="G119" s="458">
        <f t="shared" ref="G119:G122" si="102">IFERROR(E119/C119*100,0)</f>
        <v>0</v>
      </c>
      <c r="H119" s="507">
        <f>H120+H121</f>
        <v>0</v>
      </c>
      <c r="I119" s="507">
        <f t="shared" ref="I119:AE119" si="103">I120+I121</f>
        <v>0</v>
      </c>
      <c r="J119" s="507">
        <f t="shared" si="103"/>
        <v>0</v>
      </c>
      <c r="K119" s="507">
        <f t="shared" si="103"/>
        <v>0</v>
      </c>
      <c r="L119" s="507">
        <f t="shared" si="103"/>
        <v>0</v>
      </c>
      <c r="M119" s="507">
        <f t="shared" si="103"/>
        <v>0</v>
      </c>
      <c r="N119" s="507">
        <f t="shared" si="103"/>
        <v>0</v>
      </c>
      <c r="O119" s="507">
        <f t="shared" si="103"/>
        <v>0</v>
      </c>
      <c r="P119" s="507">
        <f t="shared" si="103"/>
        <v>0</v>
      </c>
      <c r="Q119" s="507">
        <f t="shared" si="103"/>
        <v>0</v>
      </c>
      <c r="R119" s="507">
        <f t="shared" si="103"/>
        <v>100</v>
      </c>
      <c r="S119" s="507">
        <f t="shared" si="103"/>
        <v>0</v>
      </c>
      <c r="T119" s="507">
        <f t="shared" si="103"/>
        <v>0</v>
      </c>
      <c r="U119" s="507">
        <f t="shared" si="103"/>
        <v>0</v>
      </c>
      <c r="V119" s="507">
        <f t="shared" si="103"/>
        <v>0</v>
      </c>
      <c r="W119" s="507">
        <f t="shared" si="103"/>
        <v>0</v>
      </c>
      <c r="X119" s="507">
        <f t="shared" si="103"/>
        <v>0</v>
      </c>
      <c r="Y119" s="507">
        <f t="shared" si="103"/>
        <v>0</v>
      </c>
      <c r="Z119" s="507">
        <f t="shared" si="103"/>
        <v>0</v>
      </c>
      <c r="AA119" s="507">
        <f t="shared" si="103"/>
        <v>0</v>
      </c>
      <c r="AB119" s="507">
        <f t="shared" si="103"/>
        <v>0</v>
      </c>
      <c r="AC119" s="507">
        <f t="shared" si="103"/>
        <v>0</v>
      </c>
      <c r="AD119" s="507">
        <f t="shared" si="103"/>
        <v>0</v>
      </c>
      <c r="AE119" s="507">
        <f t="shared" si="103"/>
        <v>0</v>
      </c>
      <c r="AF119" s="464"/>
      <c r="AG119" s="769"/>
    </row>
    <row r="120" spans="1:33" ht="21" x14ac:dyDescent="0.35">
      <c r="A120" s="461" t="s">
        <v>32</v>
      </c>
      <c r="B120" s="462">
        <f>SUM(H120,J120,L120,N120,P120,R120,T120,V120,X120,Z120,AB120,AD120)</f>
        <v>95</v>
      </c>
      <c r="C120" s="462">
        <f>H120+J120+L120</f>
        <v>0</v>
      </c>
      <c r="D120" s="462">
        <f>E120</f>
        <v>0</v>
      </c>
      <c r="E120" s="462">
        <f>SUM(I120,K120,M120,O120,Q120,S120,U120,W120,Y120,AA120,AC120,AE120)</f>
        <v>0</v>
      </c>
      <c r="F120" s="462">
        <f t="shared" si="101"/>
        <v>0</v>
      </c>
      <c r="G120" s="462">
        <f t="shared" si="102"/>
        <v>0</v>
      </c>
      <c r="H120" s="508">
        <v>0</v>
      </c>
      <c r="I120" s="508">
        <v>0</v>
      </c>
      <c r="J120" s="508">
        <v>0</v>
      </c>
      <c r="K120" s="508">
        <v>0</v>
      </c>
      <c r="L120" s="508">
        <v>0</v>
      </c>
      <c r="M120" s="508">
        <v>0</v>
      </c>
      <c r="N120" s="508">
        <v>0</v>
      </c>
      <c r="O120" s="508">
        <v>0</v>
      </c>
      <c r="P120" s="508">
        <v>0</v>
      </c>
      <c r="Q120" s="508">
        <v>0</v>
      </c>
      <c r="R120" s="508">
        <v>95</v>
      </c>
      <c r="S120" s="508">
        <v>0</v>
      </c>
      <c r="T120" s="508">
        <v>0</v>
      </c>
      <c r="U120" s="508">
        <v>0</v>
      </c>
      <c r="V120" s="508">
        <v>0</v>
      </c>
      <c r="W120" s="508">
        <v>0</v>
      </c>
      <c r="X120" s="508">
        <v>0</v>
      </c>
      <c r="Y120" s="508">
        <v>0</v>
      </c>
      <c r="Z120" s="508">
        <v>0</v>
      </c>
      <c r="AA120" s="508">
        <v>0</v>
      </c>
      <c r="AB120" s="508">
        <v>0</v>
      </c>
      <c r="AC120" s="508">
        <v>0</v>
      </c>
      <c r="AD120" s="508">
        <v>0</v>
      </c>
      <c r="AE120" s="508">
        <v>0</v>
      </c>
      <c r="AF120" s="463"/>
      <c r="AG120" s="769"/>
    </row>
    <row r="121" spans="1:33" ht="21" x14ac:dyDescent="0.35">
      <c r="A121" s="461" t="s">
        <v>33</v>
      </c>
      <c r="B121" s="462">
        <f>SUM(H121,J121,L121,N121,P121,R121,T121,V121,X121,Z121,AB121,AD121)</f>
        <v>5</v>
      </c>
      <c r="C121" s="462">
        <f>H121+J121+L121</f>
        <v>0</v>
      </c>
      <c r="D121" s="462">
        <f>E121</f>
        <v>0</v>
      </c>
      <c r="E121" s="462">
        <f>SUM(I121,K121,M121,O121,Q121,S121,U121,W121,Y121,AA121,AC121,AE121)</f>
        <v>0</v>
      </c>
      <c r="F121" s="462">
        <f t="shared" si="101"/>
        <v>0</v>
      </c>
      <c r="G121" s="462">
        <f t="shared" si="102"/>
        <v>0</v>
      </c>
      <c r="H121" s="508">
        <v>0</v>
      </c>
      <c r="I121" s="508">
        <v>0</v>
      </c>
      <c r="J121" s="508">
        <v>0</v>
      </c>
      <c r="K121" s="508">
        <v>0</v>
      </c>
      <c r="L121" s="508">
        <v>0</v>
      </c>
      <c r="M121" s="508">
        <v>0</v>
      </c>
      <c r="N121" s="508">
        <v>0</v>
      </c>
      <c r="O121" s="508">
        <v>0</v>
      </c>
      <c r="P121" s="508">
        <v>0</v>
      </c>
      <c r="Q121" s="508">
        <v>0</v>
      </c>
      <c r="R121" s="508">
        <v>5</v>
      </c>
      <c r="S121" s="508">
        <v>0</v>
      </c>
      <c r="T121" s="508">
        <v>0</v>
      </c>
      <c r="U121" s="508">
        <v>0</v>
      </c>
      <c r="V121" s="508">
        <v>0</v>
      </c>
      <c r="W121" s="508">
        <v>0</v>
      </c>
      <c r="X121" s="508">
        <v>0</v>
      </c>
      <c r="Y121" s="508">
        <v>0</v>
      </c>
      <c r="Z121" s="508">
        <v>0</v>
      </c>
      <c r="AA121" s="508">
        <v>0</v>
      </c>
      <c r="AB121" s="508">
        <v>0</v>
      </c>
      <c r="AC121" s="508">
        <v>0</v>
      </c>
      <c r="AD121" s="508">
        <v>0</v>
      </c>
      <c r="AE121" s="508">
        <v>0</v>
      </c>
      <c r="AF121" s="463"/>
      <c r="AG121" s="769"/>
    </row>
    <row r="122" spans="1:33" ht="37.5" x14ac:dyDescent="0.35">
      <c r="A122" s="461" t="s">
        <v>174</v>
      </c>
      <c r="B122" s="462">
        <f>SUM(H122,J122,L122,N122,P122,R122,T122,V122,X122,Z122,AB122,AD122)</f>
        <v>5</v>
      </c>
      <c r="C122" s="462">
        <f>H122+J122+L122</f>
        <v>0</v>
      </c>
      <c r="D122" s="462">
        <f>E122</f>
        <v>0</v>
      </c>
      <c r="E122" s="462">
        <f>SUM(I122,K122,M122,O122,Q122,S122,U122,W122,Y122,AA122,AC122,AE122)</f>
        <v>0</v>
      </c>
      <c r="F122" s="462">
        <f t="shared" si="101"/>
        <v>0</v>
      </c>
      <c r="G122" s="462">
        <f t="shared" si="102"/>
        <v>0</v>
      </c>
      <c r="H122" s="508">
        <v>0</v>
      </c>
      <c r="I122" s="508">
        <v>0</v>
      </c>
      <c r="J122" s="508">
        <v>0</v>
      </c>
      <c r="K122" s="508">
        <v>0</v>
      </c>
      <c r="L122" s="508">
        <v>0</v>
      </c>
      <c r="M122" s="508">
        <v>0</v>
      </c>
      <c r="N122" s="508">
        <v>0</v>
      </c>
      <c r="O122" s="508">
        <v>0</v>
      </c>
      <c r="P122" s="508">
        <v>0</v>
      </c>
      <c r="Q122" s="508">
        <v>0</v>
      </c>
      <c r="R122" s="508">
        <v>5</v>
      </c>
      <c r="S122" s="508">
        <v>0</v>
      </c>
      <c r="T122" s="508">
        <v>0</v>
      </c>
      <c r="U122" s="508">
        <v>0</v>
      </c>
      <c r="V122" s="508">
        <v>0</v>
      </c>
      <c r="W122" s="508">
        <v>0</v>
      </c>
      <c r="X122" s="508">
        <v>0</v>
      </c>
      <c r="Y122" s="508">
        <v>0</v>
      </c>
      <c r="Z122" s="508">
        <v>0</v>
      </c>
      <c r="AA122" s="508">
        <v>0</v>
      </c>
      <c r="AB122" s="508">
        <v>0</v>
      </c>
      <c r="AC122" s="508">
        <v>0</v>
      </c>
      <c r="AD122" s="508">
        <v>0</v>
      </c>
      <c r="AE122" s="508">
        <v>0</v>
      </c>
      <c r="AF122" s="463"/>
      <c r="AG122" s="769"/>
    </row>
    <row r="123" spans="1:33" ht="21" x14ac:dyDescent="0.35">
      <c r="A123" s="475" t="s">
        <v>54</v>
      </c>
      <c r="B123" s="232"/>
      <c r="C123" s="489"/>
      <c r="D123" s="489"/>
      <c r="E123" s="232"/>
      <c r="F123" s="233"/>
      <c r="G123" s="233"/>
      <c r="H123" s="490"/>
      <c r="I123" s="490"/>
      <c r="J123" s="490"/>
      <c r="K123" s="490"/>
      <c r="L123" s="490"/>
      <c r="M123" s="490"/>
      <c r="N123" s="490"/>
      <c r="O123" s="490"/>
      <c r="P123" s="490"/>
      <c r="Q123" s="490"/>
      <c r="R123" s="490"/>
      <c r="S123" s="490"/>
      <c r="T123" s="490"/>
      <c r="U123" s="490"/>
      <c r="V123" s="490"/>
      <c r="W123" s="490"/>
      <c r="X123" s="490"/>
      <c r="Y123" s="490"/>
      <c r="Z123" s="490"/>
      <c r="AA123" s="490"/>
      <c r="AB123" s="490"/>
      <c r="AC123" s="490"/>
      <c r="AD123" s="490"/>
      <c r="AE123" s="491"/>
      <c r="AF123" s="492"/>
      <c r="AG123" s="769"/>
    </row>
    <row r="124" spans="1:33" ht="21" x14ac:dyDescent="0.35">
      <c r="A124" s="936" t="s">
        <v>376</v>
      </c>
      <c r="B124" s="936"/>
      <c r="C124" s="936"/>
      <c r="D124" s="936"/>
      <c r="E124" s="936"/>
      <c r="F124" s="936"/>
      <c r="G124" s="936"/>
      <c r="H124" s="936"/>
      <c r="I124" s="936"/>
      <c r="J124" s="936"/>
      <c r="K124" s="936"/>
      <c r="L124" s="936"/>
      <c r="M124" s="936"/>
      <c r="N124" s="936"/>
      <c r="O124" s="936"/>
      <c r="P124" s="936"/>
      <c r="Q124" s="936"/>
      <c r="R124" s="936"/>
      <c r="S124" s="936"/>
      <c r="T124" s="936"/>
      <c r="U124" s="936"/>
      <c r="V124" s="936"/>
      <c r="W124" s="936"/>
      <c r="X124" s="936"/>
      <c r="Y124" s="936"/>
      <c r="Z124" s="936"/>
      <c r="AA124" s="936"/>
      <c r="AB124" s="936"/>
      <c r="AC124" s="936"/>
      <c r="AD124" s="936"/>
      <c r="AE124" s="937"/>
      <c r="AF124" s="463"/>
      <c r="AG124" s="769"/>
    </row>
    <row r="125" spans="1:33" s="460" customFormat="1" ht="21" x14ac:dyDescent="0.35">
      <c r="A125" s="493" t="s">
        <v>31</v>
      </c>
      <c r="B125" s="494">
        <f>B126</f>
        <v>93.1</v>
      </c>
      <c r="C125" s="494">
        <f t="shared" ref="C125:E125" si="104">C126</f>
        <v>0</v>
      </c>
      <c r="D125" s="494">
        <f t="shared" si="104"/>
        <v>0</v>
      </c>
      <c r="E125" s="494">
        <f t="shared" si="104"/>
        <v>0</v>
      </c>
      <c r="F125" s="494">
        <f t="shared" ref="F125:F126" si="105">IFERROR(E125/B125*100,0)</f>
        <v>0</v>
      </c>
      <c r="G125" s="494">
        <f t="shared" ref="G125:G126" si="106">IFERROR(E125/C125*100,0)</f>
        <v>0</v>
      </c>
      <c r="H125" s="511">
        <f>H126</f>
        <v>0</v>
      </c>
      <c r="I125" s="511">
        <f t="shared" ref="I125:AE125" si="107">I126</f>
        <v>0</v>
      </c>
      <c r="J125" s="511">
        <f t="shared" si="107"/>
        <v>0</v>
      </c>
      <c r="K125" s="511">
        <f t="shared" si="107"/>
        <v>0</v>
      </c>
      <c r="L125" s="511">
        <f t="shared" si="107"/>
        <v>0</v>
      </c>
      <c r="M125" s="511">
        <f t="shared" si="107"/>
        <v>0</v>
      </c>
      <c r="N125" s="511">
        <f t="shared" si="107"/>
        <v>0</v>
      </c>
      <c r="O125" s="511">
        <f t="shared" si="107"/>
        <v>0</v>
      </c>
      <c r="P125" s="511">
        <f t="shared" si="107"/>
        <v>0</v>
      </c>
      <c r="Q125" s="511">
        <f t="shared" si="107"/>
        <v>0</v>
      </c>
      <c r="R125" s="511">
        <f t="shared" si="107"/>
        <v>0</v>
      </c>
      <c r="S125" s="511">
        <f t="shared" si="107"/>
        <v>0</v>
      </c>
      <c r="T125" s="511">
        <f t="shared" si="107"/>
        <v>0</v>
      </c>
      <c r="U125" s="511">
        <f t="shared" si="107"/>
        <v>0</v>
      </c>
      <c r="V125" s="511">
        <f t="shared" si="107"/>
        <v>0</v>
      </c>
      <c r="W125" s="511">
        <f t="shared" si="107"/>
        <v>0</v>
      </c>
      <c r="X125" s="511">
        <f t="shared" si="107"/>
        <v>0</v>
      </c>
      <c r="Y125" s="511">
        <f t="shared" si="107"/>
        <v>0</v>
      </c>
      <c r="Z125" s="511">
        <f t="shared" si="107"/>
        <v>0</v>
      </c>
      <c r="AA125" s="511">
        <f t="shared" si="107"/>
        <v>0</v>
      </c>
      <c r="AB125" s="511">
        <f t="shared" si="107"/>
        <v>93.1</v>
      </c>
      <c r="AC125" s="511">
        <f t="shared" si="107"/>
        <v>0</v>
      </c>
      <c r="AD125" s="511">
        <f t="shared" si="107"/>
        <v>0</v>
      </c>
      <c r="AE125" s="511">
        <f t="shared" si="107"/>
        <v>0</v>
      </c>
      <c r="AF125" s="494"/>
      <c r="AG125" s="769"/>
    </row>
    <row r="126" spans="1:33" ht="21" x14ac:dyDescent="0.35">
      <c r="A126" s="461" t="s">
        <v>33</v>
      </c>
      <c r="B126" s="473">
        <f>B129</f>
        <v>93.1</v>
      </c>
      <c r="C126" s="473">
        <f>C129</f>
        <v>0</v>
      </c>
      <c r="D126" s="473">
        <f>D129</f>
        <v>0</v>
      </c>
      <c r="E126" s="473">
        <f>E129</f>
        <v>0</v>
      </c>
      <c r="F126" s="473">
        <f t="shared" si="105"/>
        <v>0</v>
      </c>
      <c r="G126" s="473">
        <f t="shared" si="106"/>
        <v>0</v>
      </c>
      <c r="H126" s="510">
        <f t="shared" ref="H126:AE126" si="108">H129</f>
        <v>0</v>
      </c>
      <c r="I126" s="510">
        <f t="shared" si="108"/>
        <v>0</v>
      </c>
      <c r="J126" s="510">
        <f t="shared" si="108"/>
        <v>0</v>
      </c>
      <c r="K126" s="510">
        <f t="shared" si="108"/>
        <v>0</v>
      </c>
      <c r="L126" s="510">
        <f t="shared" si="108"/>
        <v>0</v>
      </c>
      <c r="M126" s="510">
        <f t="shared" si="108"/>
        <v>0</v>
      </c>
      <c r="N126" s="510">
        <f t="shared" si="108"/>
        <v>0</v>
      </c>
      <c r="O126" s="510">
        <f t="shared" si="108"/>
        <v>0</v>
      </c>
      <c r="P126" s="510">
        <f t="shared" si="108"/>
        <v>0</v>
      </c>
      <c r="Q126" s="510">
        <f t="shared" si="108"/>
        <v>0</v>
      </c>
      <c r="R126" s="510">
        <f t="shared" si="108"/>
        <v>0</v>
      </c>
      <c r="S126" s="510">
        <f t="shared" si="108"/>
        <v>0</v>
      </c>
      <c r="T126" s="510">
        <f t="shared" si="108"/>
        <v>0</v>
      </c>
      <c r="U126" s="510">
        <f t="shared" si="108"/>
        <v>0</v>
      </c>
      <c r="V126" s="510">
        <f t="shared" si="108"/>
        <v>0</v>
      </c>
      <c r="W126" s="510">
        <f t="shared" si="108"/>
        <v>0</v>
      </c>
      <c r="X126" s="510">
        <f t="shared" si="108"/>
        <v>0</v>
      </c>
      <c r="Y126" s="510">
        <f t="shared" si="108"/>
        <v>0</v>
      </c>
      <c r="Z126" s="510">
        <f t="shared" si="108"/>
        <v>0</v>
      </c>
      <c r="AA126" s="510">
        <f t="shared" si="108"/>
        <v>0</v>
      </c>
      <c r="AB126" s="510">
        <f t="shared" si="108"/>
        <v>93.1</v>
      </c>
      <c r="AC126" s="510">
        <f t="shared" si="108"/>
        <v>0</v>
      </c>
      <c r="AD126" s="510">
        <f t="shared" si="108"/>
        <v>0</v>
      </c>
      <c r="AE126" s="510">
        <f t="shared" si="108"/>
        <v>0</v>
      </c>
      <c r="AF126" s="473"/>
      <c r="AG126" s="769"/>
    </row>
    <row r="127" spans="1:33" ht="21" x14ac:dyDescent="0.35">
      <c r="A127" s="938" t="s">
        <v>377</v>
      </c>
      <c r="B127" s="936"/>
      <c r="C127" s="936"/>
      <c r="D127" s="936"/>
      <c r="E127" s="936"/>
      <c r="F127" s="936"/>
      <c r="G127" s="936"/>
      <c r="H127" s="936"/>
      <c r="I127" s="936"/>
      <c r="J127" s="936"/>
      <c r="K127" s="936"/>
      <c r="L127" s="936"/>
      <c r="M127" s="936"/>
      <c r="N127" s="936"/>
      <c r="O127" s="936"/>
      <c r="P127" s="936"/>
      <c r="Q127" s="936"/>
      <c r="R127" s="936"/>
      <c r="S127" s="936"/>
      <c r="T127" s="936"/>
      <c r="U127" s="936"/>
      <c r="V127" s="936"/>
      <c r="W127" s="936"/>
      <c r="X127" s="936"/>
      <c r="Y127" s="936"/>
      <c r="Z127" s="936"/>
      <c r="AA127" s="936"/>
      <c r="AB127" s="936"/>
      <c r="AC127" s="936"/>
      <c r="AD127" s="936"/>
      <c r="AE127" s="937"/>
      <c r="AF127" s="463"/>
      <c r="AG127" s="769"/>
    </row>
    <row r="128" spans="1:33" s="460" customFormat="1" ht="21" x14ac:dyDescent="0.35">
      <c r="A128" s="457" t="s">
        <v>31</v>
      </c>
      <c r="B128" s="458">
        <f>B129</f>
        <v>93.1</v>
      </c>
      <c r="C128" s="458">
        <f t="shared" ref="C128:E128" si="109">C129</f>
        <v>0</v>
      </c>
      <c r="D128" s="458">
        <f t="shared" si="109"/>
        <v>0</v>
      </c>
      <c r="E128" s="458">
        <f t="shared" si="109"/>
        <v>0</v>
      </c>
      <c r="F128" s="458">
        <f t="shared" ref="F128:F141" si="110">IFERROR(E128/B128*100,0)</f>
        <v>0</v>
      </c>
      <c r="G128" s="458">
        <f t="shared" ref="G128:G141" si="111">IFERROR(E128/C128*100,0)</f>
        <v>0</v>
      </c>
      <c r="H128" s="507">
        <f>H129</f>
        <v>0</v>
      </c>
      <c r="I128" s="507">
        <f t="shared" ref="I128:AE128" si="112">I129</f>
        <v>0</v>
      </c>
      <c r="J128" s="507">
        <f t="shared" si="112"/>
        <v>0</v>
      </c>
      <c r="K128" s="507">
        <f t="shared" si="112"/>
        <v>0</v>
      </c>
      <c r="L128" s="507">
        <f t="shared" si="112"/>
        <v>0</v>
      </c>
      <c r="M128" s="507">
        <f t="shared" si="112"/>
        <v>0</v>
      </c>
      <c r="N128" s="507">
        <f t="shared" si="112"/>
        <v>0</v>
      </c>
      <c r="O128" s="507">
        <f t="shared" si="112"/>
        <v>0</v>
      </c>
      <c r="P128" s="507">
        <f t="shared" si="112"/>
        <v>0</v>
      </c>
      <c r="Q128" s="507">
        <f t="shared" si="112"/>
        <v>0</v>
      </c>
      <c r="R128" s="507">
        <f t="shared" si="112"/>
        <v>0</v>
      </c>
      <c r="S128" s="507">
        <f t="shared" si="112"/>
        <v>0</v>
      </c>
      <c r="T128" s="507">
        <f t="shared" si="112"/>
        <v>0</v>
      </c>
      <c r="U128" s="507">
        <f t="shared" si="112"/>
        <v>0</v>
      </c>
      <c r="V128" s="507">
        <f t="shared" si="112"/>
        <v>0</v>
      </c>
      <c r="W128" s="507">
        <f t="shared" si="112"/>
        <v>0</v>
      </c>
      <c r="X128" s="507">
        <f t="shared" si="112"/>
        <v>0</v>
      </c>
      <c r="Y128" s="507">
        <f t="shared" si="112"/>
        <v>0</v>
      </c>
      <c r="Z128" s="507">
        <f t="shared" si="112"/>
        <v>0</v>
      </c>
      <c r="AA128" s="507">
        <f t="shared" si="112"/>
        <v>0</v>
      </c>
      <c r="AB128" s="507">
        <f t="shared" si="112"/>
        <v>93.1</v>
      </c>
      <c r="AC128" s="507">
        <f t="shared" si="112"/>
        <v>0</v>
      </c>
      <c r="AD128" s="507">
        <f t="shared" si="112"/>
        <v>0</v>
      </c>
      <c r="AE128" s="507">
        <f t="shared" si="112"/>
        <v>0</v>
      </c>
      <c r="AF128" s="464"/>
      <c r="AG128" s="769"/>
    </row>
    <row r="129" spans="1:33" ht="21" x14ac:dyDescent="0.35">
      <c r="A129" s="461" t="s">
        <v>33</v>
      </c>
      <c r="B129" s="462">
        <f>SUM(H129,J129,L129,N129,P129,R129,T129,V129,X129,Z129,AB129,AD129)</f>
        <v>93.1</v>
      </c>
      <c r="C129" s="462">
        <f>H129+J129+L129</f>
        <v>0</v>
      </c>
      <c r="D129" s="462">
        <f>E129</f>
        <v>0</v>
      </c>
      <c r="E129" s="462">
        <f>SUM(I129,K129,M129,O129,Q129,S129,U129,W129,Y129,AA129,AC129,AE129)</f>
        <v>0</v>
      </c>
      <c r="F129" s="462">
        <f t="shared" si="110"/>
        <v>0</v>
      </c>
      <c r="G129" s="462">
        <f t="shared" si="111"/>
        <v>0</v>
      </c>
      <c r="H129" s="508">
        <v>0</v>
      </c>
      <c r="I129" s="508">
        <v>0</v>
      </c>
      <c r="J129" s="508">
        <v>0</v>
      </c>
      <c r="K129" s="508">
        <v>0</v>
      </c>
      <c r="L129" s="508">
        <v>0</v>
      </c>
      <c r="M129" s="508">
        <v>0</v>
      </c>
      <c r="N129" s="508">
        <v>0</v>
      </c>
      <c r="O129" s="508">
        <v>0</v>
      </c>
      <c r="P129" s="508">
        <v>0</v>
      </c>
      <c r="Q129" s="508">
        <v>0</v>
      </c>
      <c r="R129" s="508">
        <v>0</v>
      </c>
      <c r="S129" s="508">
        <v>0</v>
      </c>
      <c r="T129" s="508">
        <v>0</v>
      </c>
      <c r="U129" s="508">
        <v>0</v>
      </c>
      <c r="V129" s="508">
        <v>0</v>
      </c>
      <c r="W129" s="508">
        <v>0</v>
      </c>
      <c r="X129" s="508">
        <v>0</v>
      </c>
      <c r="Y129" s="508">
        <v>0</v>
      </c>
      <c r="Z129" s="508">
        <v>0</v>
      </c>
      <c r="AA129" s="508">
        <v>0</v>
      </c>
      <c r="AB129" s="508">
        <v>93.1</v>
      </c>
      <c r="AC129" s="508">
        <v>0</v>
      </c>
      <c r="AD129" s="508">
        <v>0</v>
      </c>
      <c r="AE129" s="508">
        <v>0</v>
      </c>
      <c r="AF129" s="463"/>
      <c r="AG129" s="769"/>
    </row>
    <row r="130" spans="1:33" ht="21" x14ac:dyDescent="0.35">
      <c r="A130" s="466" t="s">
        <v>378</v>
      </c>
      <c r="B130" s="234"/>
      <c r="C130" s="495"/>
      <c r="D130" s="495"/>
      <c r="E130" s="495"/>
      <c r="F130" s="235"/>
      <c r="G130" s="235"/>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496"/>
      <c r="AG130" s="769"/>
    </row>
    <row r="131" spans="1:33" s="460" customFormat="1" ht="21" x14ac:dyDescent="0.35">
      <c r="A131" s="469" t="s">
        <v>31</v>
      </c>
      <c r="B131" s="470">
        <f>B132+B133</f>
        <v>9173.3100000000013</v>
      </c>
      <c r="C131" s="470">
        <f t="shared" ref="C131:E131" si="113">C132+C133</f>
        <v>0</v>
      </c>
      <c r="D131" s="470">
        <f t="shared" si="113"/>
        <v>0</v>
      </c>
      <c r="E131" s="470">
        <f t="shared" si="113"/>
        <v>0</v>
      </c>
      <c r="F131" s="470">
        <f t="shared" si="110"/>
        <v>0</v>
      </c>
      <c r="G131" s="470">
        <f t="shared" si="111"/>
        <v>0</v>
      </c>
      <c r="H131" s="509">
        <f>H132+H133</f>
        <v>0</v>
      </c>
      <c r="I131" s="509">
        <f t="shared" ref="I131:AE131" si="114">I132+I133</f>
        <v>0</v>
      </c>
      <c r="J131" s="509">
        <f t="shared" si="114"/>
        <v>0</v>
      </c>
      <c r="K131" s="509">
        <f t="shared" si="114"/>
        <v>0</v>
      </c>
      <c r="L131" s="509">
        <f t="shared" si="114"/>
        <v>0</v>
      </c>
      <c r="M131" s="509">
        <f t="shared" si="114"/>
        <v>0</v>
      </c>
      <c r="N131" s="509">
        <f t="shared" si="114"/>
        <v>0</v>
      </c>
      <c r="O131" s="509">
        <f t="shared" si="114"/>
        <v>0</v>
      </c>
      <c r="P131" s="509">
        <f t="shared" si="114"/>
        <v>0</v>
      </c>
      <c r="Q131" s="509">
        <f t="shared" si="114"/>
        <v>0</v>
      </c>
      <c r="R131" s="509">
        <f t="shared" si="114"/>
        <v>4656.3999999999996</v>
      </c>
      <c r="S131" s="509">
        <f t="shared" si="114"/>
        <v>0</v>
      </c>
      <c r="T131" s="509">
        <f t="shared" si="114"/>
        <v>4373.8100000000004</v>
      </c>
      <c r="U131" s="509">
        <f t="shared" si="114"/>
        <v>0</v>
      </c>
      <c r="V131" s="509">
        <f t="shared" si="114"/>
        <v>0</v>
      </c>
      <c r="W131" s="509">
        <f t="shared" si="114"/>
        <v>0</v>
      </c>
      <c r="X131" s="509">
        <f t="shared" si="114"/>
        <v>0</v>
      </c>
      <c r="Y131" s="509">
        <f t="shared" si="114"/>
        <v>0</v>
      </c>
      <c r="Z131" s="509">
        <f t="shared" si="114"/>
        <v>0</v>
      </c>
      <c r="AA131" s="509">
        <f t="shared" si="114"/>
        <v>0</v>
      </c>
      <c r="AB131" s="509">
        <f t="shared" si="114"/>
        <v>143.1</v>
      </c>
      <c r="AC131" s="509">
        <f t="shared" si="114"/>
        <v>0</v>
      </c>
      <c r="AD131" s="509">
        <f t="shared" si="114"/>
        <v>0</v>
      </c>
      <c r="AE131" s="509">
        <f t="shared" si="114"/>
        <v>0</v>
      </c>
      <c r="AF131" s="470"/>
      <c r="AG131" s="769"/>
    </row>
    <row r="132" spans="1:33" ht="21" x14ac:dyDescent="0.35">
      <c r="A132" s="472" t="s">
        <v>32</v>
      </c>
      <c r="B132" s="462">
        <f>B137</f>
        <v>4297.6000000000004</v>
      </c>
      <c r="C132" s="462">
        <f t="shared" ref="C132:E132" si="115">C137</f>
        <v>0</v>
      </c>
      <c r="D132" s="462">
        <f t="shared" si="115"/>
        <v>0</v>
      </c>
      <c r="E132" s="462">
        <f t="shared" si="115"/>
        <v>0</v>
      </c>
      <c r="F132" s="473">
        <f t="shared" si="110"/>
        <v>0</v>
      </c>
      <c r="G132" s="473">
        <f t="shared" si="111"/>
        <v>0</v>
      </c>
      <c r="H132" s="508">
        <f>H137</f>
        <v>0</v>
      </c>
      <c r="I132" s="508">
        <f t="shared" ref="I132:AE132" si="116">I137</f>
        <v>0</v>
      </c>
      <c r="J132" s="508">
        <f t="shared" si="116"/>
        <v>0</v>
      </c>
      <c r="K132" s="508">
        <f t="shared" si="116"/>
        <v>0</v>
      </c>
      <c r="L132" s="508">
        <f t="shared" si="116"/>
        <v>0</v>
      </c>
      <c r="M132" s="508">
        <f t="shared" si="116"/>
        <v>0</v>
      </c>
      <c r="N132" s="508">
        <f t="shared" si="116"/>
        <v>0</v>
      </c>
      <c r="O132" s="508">
        <f t="shared" si="116"/>
        <v>0</v>
      </c>
      <c r="P132" s="508">
        <f t="shared" si="116"/>
        <v>0</v>
      </c>
      <c r="Q132" s="508">
        <f t="shared" si="116"/>
        <v>0</v>
      </c>
      <c r="R132" s="508">
        <f t="shared" si="116"/>
        <v>95</v>
      </c>
      <c r="S132" s="508">
        <f t="shared" si="116"/>
        <v>0</v>
      </c>
      <c r="T132" s="508">
        <f t="shared" si="116"/>
        <v>4155.1000000000004</v>
      </c>
      <c r="U132" s="508">
        <f t="shared" si="116"/>
        <v>0</v>
      </c>
      <c r="V132" s="508">
        <f t="shared" si="116"/>
        <v>0</v>
      </c>
      <c r="W132" s="508">
        <f t="shared" si="116"/>
        <v>0</v>
      </c>
      <c r="X132" s="508">
        <f t="shared" si="116"/>
        <v>0</v>
      </c>
      <c r="Y132" s="508">
        <f t="shared" si="116"/>
        <v>0</v>
      </c>
      <c r="Z132" s="508">
        <f t="shared" si="116"/>
        <v>0</v>
      </c>
      <c r="AA132" s="508">
        <f t="shared" si="116"/>
        <v>0</v>
      </c>
      <c r="AB132" s="508">
        <f t="shared" si="116"/>
        <v>47.5</v>
      </c>
      <c r="AC132" s="508">
        <f t="shared" si="116"/>
        <v>0</v>
      </c>
      <c r="AD132" s="508">
        <f t="shared" si="116"/>
        <v>0</v>
      </c>
      <c r="AE132" s="508">
        <f t="shared" si="116"/>
        <v>0</v>
      </c>
      <c r="AF132" s="463"/>
      <c r="AG132" s="769"/>
    </row>
    <row r="133" spans="1:33" ht="21" x14ac:dyDescent="0.35">
      <c r="A133" s="472" t="s">
        <v>33</v>
      </c>
      <c r="B133" s="462">
        <f>B138+B142</f>
        <v>4875.71</v>
      </c>
      <c r="C133" s="462">
        <f>C36+C61+C126</f>
        <v>0</v>
      </c>
      <c r="D133" s="462">
        <f>D36+D61+D126</f>
        <v>0</v>
      </c>
      <c r="E133" s="462">
        <f>E36+E61+E126</f>
        <v>0</v>
      </c>
      <c r="F133" s="473">
        <f t="shared" si="110"/>
        <v>0</v>
      </c>
      <c r="G133" s="473">
        <f t="shared" si="111"/>
        <v>0</v>
      </c>
      <c r="H133" s="508">
        <f t="shared" ref="H133:AE133" si="117">H36+H61+H126</f>
        <v>0</v>
      </c>
      <c r="I133" s="508">
        <f t="shared" si="117"/>
        <v>0</v>
      </c>
      <c r="J133" s="508">
        <f t="shared" si="117"/>
        <v>0</v>
      </c>
      <c r="K133" s="508">
        <f t="shared" si="117"/>
        <v>0</v>
      </c>
      <c r="L133" s="508">
        <f t="shared" si="117"/>
        <v>0</v>
      </c>
      <c r="M133" s="508">
        <f t="shared" si="117"/>
        <v>0</v>
      </c>
      <c r="N133" s="508">
        <f t="shared" si="117"/>
        <v>0</v>
      </c>
      <c r="O133" s="508">
        <f t="shared" si="117"/>
        <v>0</v>
      </c>
      <c r="P133" s="508">
        <f t="shared" si="117"/>
        <v>0</v>
      </c>
      <c r="Q133" s="508">
        <f t="shared" si="117"/>
        <v>0</v>
      </c>
      <c r="R133" s="508">
        <f t="shared" si="117"/>
        <v>4561.3999999999996</v>
      </c>
      <c r="S133" s="508">
        <f t="shared" si="117"/>
        <v>0</v>
      </c>
      <c r="T133" s="508">
        <f t="shared" si="117"/>
        <v>218.70999999999998</v>
      </c>
      <c r="U133" s="508">
        <f t="shared" si="117"/>
        <v>0</v>
      </c>
      <c r="V133" s="508">
        <f t="shared" si="117"/>
        <v>0</v>
      </c>
      <c r="W133" s="508">
        <f t="shared" si="117"/>
        <v>0</v>
      </c>
      <c r="X133" s="508">
        <f t="shared" si="117"/>
        <v>0</v>
      </c>
      <c r="Y133" s="508">
        <f t="shared" si="117"/>
        <v>0</v>
      </c>
      <c r="Z133" s="508">
        <f t="shared" si="117"/>
        <v>0</v>
      </c>
      <c r="AA133" s="508">
        <f t="shared" si="117"/>
        <v>0</v>
      </c>
      <c r="AB133" s="508">
        <f t="shared" si="117"/>
        <v>95.6</v>
      </c>
      <c r="AC133" s="508">
        <f t="shared" si="117"/>
        <v>0</v>
      </c>
      <c r="AD133" s="508">
        <f t="shared" si="117"/>
        <v>0</v>
      </c>
      <c r="AE133" s="508">
        <f t="shared" si="117"/>
        <v>0</v>
      </c>
      <c r="AF133" s="463"/>
      <c r="AG133" s="769"/>
    </row>
    <row r="134" spans="1:33" ht="37.5" x14ac:dyDescent="0.35">
      <c r="A134" s="497" t="s">
        <v>174</v>
      </c>
      <c r="B134" s="462">
        <f>B139</f>
        <v>226.20999999999998</v>
      </c>
      <c r="C134" s="462">
        <f t="shared" ref="C134:AE134" si="118">C139</f>
        <v>0</v>
      </c>
      <c r="D134" s="462">
        <f t="shared" si="118"/>
        <v>0</v>
      </c>
      <c r="E134" s="462">
        <f t="shared" si="118"/>
        <v>0</v>
      </c>
      <c r="F134" s="473">
        <f t="shared" si="110"/>
        <v>0</v>
      </c>
      <c r="G134" s="473">
        <f t="shared" si="111"/>
        <v>0</v>
      </c>
      <c r="H134" s="508">
        <f t="shared" si="118"/>
        <v>0</v>
      </c>
      <c r="I134" s="508">
        <f t="shared" si="118"/>
        <v>0</v>
      </c>
      <c r="J134" s="508">
        <f t="shared" si="118"/>
        <v>0</v>
      </c>
      <c r="K134" s="508">
        <f t="shared" si="118"/>
        <v>0</v>
      </c>
      <c r="L134" s="508">
        <f t="shared" si="118"/>
        <v>0</v>
      </c>
      <c r="M134" s="508">
        <f t="shared" si="118"/>
        <v>0</v>
      </c>
      <c r="N134" s="508">
        <f t="shared" si="118"/>
        <v>0</v>
      </c>
      <c r="O134" s="508">
        <f t="shared" si="118"/>
        <v>0</v>
      </c>
      <c r="P134" s="508">
        <f t="shared" si="118"/>
        <v>0</v>
      </c>
      <c r="Q134" s="508">
        <f t="shared" si="118"/>
        <v>0</v>
      </c>
      <c r="R134" s="508">
        <f t="shared" si="118"/>
        <v>5</v>
      </c>
      <c r="S134" s="508">
        <f t="shared" si="118"/>
        <v>0</v>
      </c>
      <c r="T134" s="508">
        <f t="shared" si="118"/>
        <v>218.70999999999998</v>
      </c>
      <c r="U134" s="508">
        <f t="shared" si="118"/>
        <v>0</v>
      </c>
      <c r="V134" s="508">
        <f t="shared" si="118"/>
        <v>0</v>
      </c>
      <c r="W134" s="508">
        <f t="shared" si="118"/>
        <v>0</v>
      </c>
      <c r="X134" s="508">
        <f t="shared" si="118"/>
        <v>0</v>
      </c>
      <c r="Y134" s="508">
        <f t="shared" si="118"/>
        <v>0</v>
      </c>
      <c r="Z134" s="508">
        <f t="shared" si="118"/>
        <v>0</v>
      </c>
      <c r="AA134" s="508">
        <f t="shared" si="118"/>
        <v>0</v>
      </c>
      <c r="AB134" s="508">
        <f t="shared" si="118"/>
        <v>2.5</v>
      </c>
      <c r="AC134" s="508">
        <f t="shared" si="118"/>
        <v>0</v>
      </c>
      <c r="AD134" s="508">
        <f t="shared" si="118"/>
        <v>0</v>
      </c>
      <c r="AE134" s="508">
        <f t="shared" si="118"/>
        <v>0</v>
      </c>
      <c r="AF134" s="463"/>
      <c r="AG134" s="769"/>
    </row>
    <row r="135" spans="1:33" ht="21" x14ac:dyDescent="0.35">
      <c r="A135" s="498" t="s">
        <v>379</v>
      </c>
      <c r="B135" s="499"/>
      <c r="C135" s="499"/>
      <c r="D135" s="499"/>
      <c r="E135" s="499"/>
      <c r="F135" s="236"/>
      <c r="G135" s="236"/>
      <c r="H135" s="499"/>
      <c r="I135" s="499"/>
      <c r="J135" s="499"/>
      <c r="K135" s="499"/>
      <c r="L135" s="499"/>
      <c r="M135" s="499"/>
      <c r="N135" s="499"/>
      <c r="O135" s="499"/>
      <c r="P135" s="499"/>
      <c r="Q135" s="499"/>
      <c r="R135" s="499"/>
      <c r="S135" s="499"/>
      <c r="T135" s="499"/>
      <c r="U135" s="499"/>
      <c r="V135" s="499"/>
      <c r="W135" s="499"/>
      <c r="X135" s="499"/>
      <c r="Y135" s="499"/>
      <c r="Z135" s="499"/>
      <c r="AA135" s="499"/>
      <c r="AB135" s="499"/>
      <c r="AC135" s="499"/>
      <c r="AD135" s="500"/>
      <c r="AE135" s="501"/>
      <c r="AF135" s="502"/>
      <c r="AG135" s="769"/>
    </row>
    <row r="136" spans="1:33" s="460" customFormat="1" ht="21" x14ac:dyDescent="0.35">
      <c r="A136" s="457" t="s">
        <v>31</v>
      </c>
      <c r="B136" s="470">
        <f>B137+B138</f>
        <v>9080.2099999999991</v>
      </c>
      <c r="C136" s="470">
        <f t="shared" ref="C136:E136" si="119">C137+C138</f>
        <v>0</v>
      </c>
      <c r="D136" s="470">
        <f t="shared" si="119"/>
        <v>0</v>
      </c>
      <c r="E136" s="470">
        <f t="shared" si="119"/>
        <v>0</v>
      </c>
      <c r="F136" s="470">
        <f t="shared" si="110"/>
        <v>0</v>
      </c>
      <c r="G136" s="470">
        <f t="shared" si="111"/>
        <v>0</v>
      </c>
      <c r="H136" s="509">
        <f>H137+H138</f>
        <v>0</v>
      </c>
      <c r="I136" s="509">
        <f t="shared" ref="I136:AE136" si="120">I137+I138</f>
        <v>0</v>
      </c>
      <c r="J136" s="509">
        <f t="shared" si="120"/>
        <v>0</v>
      </c>
      <c r="K136" s="509">
        <f t="shared" si="120"/>
        <v>0</v>
      </c>
      <c r="L136" s="509">
        <f t="shared" si="120"/>
        <v>0</v>
      </c>
      <c r="M136" s="509">
        <f t="shared" si="120"/>
        <v>0</v>
      </c>
      <c r="N136" s="509">
        <f t="shared" si="120"/>
        <v>0</v>
      </c>
      <c r="O136" s="509">
        <f t="shared" si="120"/>
        <v>0</v>
      </c>
      <c r="P136" s="509">
        <f t="shared" si="120"/>
        <v>0</v>
      </c>
      <c r="Q136" s="509">
        <f t="shared" si="120"/>
        <v>0</v>
      </c>
      <c r="R136" s="509">
        <f t="shared" si="120"/>
        <v>4656.3999999999996</v>
      </c>
      <c r="S136" s="509">
        <f t="shared" si="120"/>
        <v>0</v>
      </c>
      <c r="T136" s="509">
        <f t="shared" si="120"/>
        <v>4373.8100000000004</v>
      </c>
      <c r="U136" s="509">
        <f t="shared" si="120"/>
        <v>0</v>
      </c>
      <c r="V136" s="509">
        <f t="shared" si="120"/>
        <v>0</v>
      </c>
      <c r="W136" s="509">
        <f t="shared" si="120"/>
        <v>0</v>
      </c>
      <c r="X136" s="509">
        <f t="shared" si="120"/>
        <v>0</v>
      </c>
      <c r="Y136" s="509">
        <f t="shared" si="120"/>
        <v>0</v>
      </c>
      <c r="Z136" s="509">
        <f t="shared" si="120"/>
        <v>0</v>
      </c>
      <c r="AA136" s="509">
        <f t="shared" si="120"/>
        <v>0</v>
      </c>
      <c r="AB136" s="509">
        <f t="shared" si="120"/>
        <v>50</v>
      </c>
      <c r="AC136" s="509">
        <f t="shared" si="120"/>
        <v>0</v>
      </c>
      <c r="AD136" s="509">
        <f t="shared" si="120"/>
        <v>0</v>
      </c>
      <c r="AE136" s="509">
        <f t="shared" si="120"/>
        <v>0</v>
      </c>
      <c r="AF136" s="470"/>
      <c r="AG136" s="769"/>
    </row>
    <row r="137" spans="1:33" ht="21" x14ac:dyDescent="0.35">
      <c r="A137" s="461" t="s">
        <v>32</v>
      </c>
      <c r="B137" s="462">
        <f t="shared" ref="B137:E139" si="121">B35+B60</f>
        <v>4297.6000000000004</v>
      </c>
      <c r="C137" s="462">
        <f t="shared" si="121"/>
        <v>0</v>
      </c>
      <c r="D137" s="462">
        <f t="shared" si="121"/>
        <v>0</v>
      </c>
      <c r="E137" s="462">
        <f t="shared" si="121"/>
        <v>0</v>
      </c>
      <c r="F137" s="473">
        <f t="shared" si="110"/>
        <v>0</v>
      </c>
      <c r="G137" s="473">
        <f t="shared" si="111"/>
        <v>0</v>
      </c>
      <c r="H137" s="508">
        <f>H35+H60</f>
        <v>0</v>
      </c>
      <c r="I137" s="508">
        <f t="shared" ref="I137:AE139" si="122">I35+I60</f>
        <v>0</v>
      </c>
      <c r="J137" s="508">
        <f t="shared" si="122"/>
        <v>0</v>
      </c>
      <c r="K137" s="508">
        <f t="shared" si="122"/>
        <v>0</v>
      </c>
      <c r="L137" s="508">
        <f t="shared" si="122"/>
        <v>0</v>
      </c>
      <c r="M137" s="508">
        <f t="shared" si="122"/>
        <v>0</v>
      </c>
      <c r="N137" s="508">
        <f t="shared" si="122"/>
        <v>0</v>
      </c>
      <c r="O137" s="508">
        <f t="shared" si="122"/>
        <v>0</v>
      </c>
      <c r="P137" s="508">
        <f t="shared" si="122"/>
        <v>0</v>
      </c>
      <c r="Q137" s="508">
        <f t="shared" si="122"/>
        <v>0</v>
      </c>
      <c r="R137" s="508">
        <f t="shared" si="122"/>
        <v>95</v>
      </c>
      <c r="S137" s="508">
        <f t="shared" si="122"/>
        <v>0</v>
      </c>
      <c r="T137" s="508">
        <f t="shared" si="122"/>
        <v>4155.1000000000004</v>
      </c>
      <c r="U137" s="508">
        <f t="shared" si="122"/>
        <v>0</v>
      </c>
      <c r="V137" s="508">
        <f t="shared" si="122"/>
        <v>0</v>
      </c>
      <c r="W137" s="508">
        <f t="shared" si="122"/>
        <v>0</v>
      </c>
      <c r="X137" s="508">
        <f t="shared" si="122"/>
        <v>0</v>
      </c>
      <c r="Y137" s="508">
        <f t="shared" si="122"/>
        <v>0</v>
      </c>
      <c r="Z137" s="508">
        <f t="shared" si="122"/>
        <v>0</v>
      </c>
      <c r="AA137" s="508">
        <f t="shared" si="122"/>
        <v>0</v>
      </c>
      <c r="AB137" s="508">
        <f t="shared" si="122"/>
        <v>47.5</v>
      </c>
      <c r="AC137" s="508">
        <f t="shared" si="122"/>
        <v>0</v>
      </c>
      <c r="AD137" s="508">
        <f t="shared" si="122"/>
        <v>0</v>
      </c>
      <c r="AE137" s="508">
        <f t="shared" si="122"/>
        <v>0</v>
      </c>
      <c r="AF137" s="463"/>
      <c r="AG137" s="769"/>
    </row>
    <row r="138" spans="1:33" ht="21" x14ac:dyDescent="0.35">
      <c r="A138" s="461" t="s">
        <v>33</v>
      </c>
      <c r="B138" s="462">
        <f t="shared" si="121"/>
        <v>4782.6099999999997</v>
      </c>
      <c r="C138" s="462">
        <f t="shared" si="121"/>
        <v>0</v>
      </c>
      <c r="D138" s="462">
        <f t="shared" si="121"/>
        <v>0</v>
      </c>
      <c r="E138" s="462">
        <f t="shared" si="121"/>
        <v>0</v>
      </c>
      <c r="F138" s="473">
        <f t="shared" si="110"/>
        <v>0</v>
      </c>
      <c r="G138" s="473">
        <f t="shared" si="111"/>
        <v>0</v>
      </c>
      <c r="H138" s="508">
        <f t="shared" ref="H138:W139" si="123">H36+H61</f>
        <v>0</v>
      </c>
      <c r="I138" s="508">
        <f t="shared" si="123"/>
        <v>0</v>
      </c>
      <c r="J138" s="508">
        <f t="shared" si="123"/>
        <v>0</v>
      </c>
      <c r="K138" s="508">
        <f t="shared" si="123"/>
        <v>0</v>
      </c>
      <c r="L138" s="508">
        <f t="shared" si="123"/>
        <v>0</v>
      </c>
      <c r="M138" s="508">
        <f t="shared" si="123"/>
        <v>0</v>
      </c>
      <c r="N138" s="508">
        <f t="shared" si="123"/>
        <v>0</v>
      </c>
      <c r="O138" s="508">
        <f t="shared" si="123"/>
        <v>0</v>
      </c>
      <c r="P138" s="508">
        <f t="shared" si="123"/>
        <v>0</v>
      </c>
      <c r="Q138" s="508">
        <f t="shared" si="123"/>
        <v>0</v>
      </c>
      <c r="R138" s="508">
        <f t="shared" si="123"/>
        <v>4561.3999999999996</v>
      </c>
      <c r="S138" s="508">
        <f t="shared" si="123"/>
        <v>0</v>
      </c>
      <c r="T138" s="508">
        <f t="shared" si="123"/>
        <v>218.70999999999998</v>
      </c>
      <c r="U138" s="508">
        <f t="shared" si="123"/>
        <v>0</v>
      </c>
      <c r="V138" s="508">
        <f t="shared" si="123"/>
        <v>0</v>
      </c>
      <c r="W138" s="508">
        <f t="shared" si="123"/>
        <v>0</v>
      </c>
      <c r="X138" s="508">
        <f t="shared" si="122"/>
        <v>0</v>
      </c>
      <c r="Y138" s="508">
        <f t="shared" si="122"/>
        <v>0</v>
      </c>
      <c r="Z138" s="508">
        <f t="shared" si="122"/>
        <v>0</v>
      </c>
      <c r="AA138" s="508">
        <f t="shared" si="122"/>
        <v>0</v>
      </c>
      <c r="AB138" s="508">
        <f t="shared" si="122"/>
        <v>2.5</v>
      </c>
      <c r="AC138" s="508">
        <f t="shared" si="122"/>
        <v>0</v>
      </c>
      <c r="AD138" s="508">
        <f t="shared" si="122"/>
        <v>0</v>
      </c>
      <c r="AE138" s="508">
        <f t="shared" si="122"/>
        <v>0</v>
      </c>
      <c r="AF138" s="463"/>
      <c r="AG138" s="769"/>
    </row>
    <row r="139" spans="1:33" ht="37.5" x14ac:dyDescent="0.35">
      <c r="A139" s="481" t="s">
        <v>174</v>
      </c>
      <c r="B139" s="462">
        <f t="shared" si="121"/>
        <v>226.20999999999998</v>
      </c>
      <c r="C139" s="462">
        <f t="shared" si="121"/>
        <v>0</v>
      </c>
      <c r="D139" s="462">
        <f t="shared" si="121"/>
        <v>0</v>
      </c>
      <c r="E139" s="462">
        <f t="shared" si="121"/>
        <v>0</v>
      </c>
      <c r="F139" s="473">
        <f t="shared" si="110"/>
        <v>0</v>
      </c>
      <c r="G139" s="473">
        <f t="shared" si="111"/>
        <v>0</v>
      </c>
      <c r="H139" s="508">
        <f t="shared" si="123"/>
        <v>0</v>
      </c>
      <c r="I139" s="508">
        <f t="shared" si="123"/>
        <v>0</v>
      </c>
      <c r="J139" s="508">
        <f t="shared" si="123"/>
        <v>0</v>
      </c>
      <c r="K139" s="508">
        <f t="shared" si="123"/>
        <v>0</v>
      </c>
      <c r="L139" s="508">
        <f t="shared" si="123"/>
        <v>0</v>
      </c>
      <c r="M139" s="508">
        <f t="shared" si="123"/>
        <v>0</v>
      </c>
      <c r="N139" s="508">
        <f t="shared" si="123"/>
        <v>0</v>
      </c>
      <c r="O139" s="508">
        <f t="shared" si="123"/>
        <v>0</v>
      </c>
      <c r="P139" s="508">
        <f t="shared" si="123"/>
        <v>0</v>
      </c>
      <c r="Q139" s="508">
        <f t="shared" si="123"/>
        <v>0</v>
      </c>
      <c r="R139" s="508">
        <f t="shared" si="123"/>
        <v>5</v>
      </c>
      <c r="S139" s="508">
        <f t="shared" si="123"/>
        <v>0</v>
      </c>
      <c r="T139" s="508">
        <f t="shared" si="123"/>
        <v>218.70999999999998</v>
      </c>
      <c r="U139" s="508">
        <f t="shared" si="123"/>
        <v>0</v>
      </c>
      <c r="V139" s="508">
        <f t="shared" si="123"/>
        <v>0</v>
      </c>
      <c r="W139" s="508">
        <f t="shared" si="123"/>
        <v>0</v>
      </c>
      <c r="X139" s="508">
        <f t="shared" si="122"/>
        <v>0</v>
      </c>
      <c r="Y139" s="508">
        <f t="shared" si="122"/>
        <v>0</v>
      </c>
      <c r="Z139" s="508">
        <f t="shared" si="122"/>
        <v>0</v>
      </c>
      <c r="AA139" s="508">
        <f t="shared" si="122"/>
        <v>0</v>
      </c>
      <c r="AB139" s="508">
        <f t="shared" si="122"/>
        <v>2.5</v>
      </c>
      <c r="AC139" s="508">
        <f t="shared" si="122"/>
        <v>0</v>
      </c>
      <c r="AD139" s="508">
        <f t="shared" si="122"/>
        <v>0</v>
      </c>
      <c r="AE139" s="508">
        <f t="shared" si="122"/>
        <v>0</v>
      </c>
      <c r="AF139" s="463"/>
      <c r="AG139" s="769"/>
    </row>
    <row r="140" spans="1:33" ht="21" x14ac:dyDescent="0.35">
      <c r="A140" s="498" t="s">
        <v>380</v>
      </c>
      <c r="B140" s="499"/>
      <c r="C140" s="499"/>
      <c r="D140" s="499"/>
      <c r="E140" s="499"/>
      <c r="F140" s="236"/>
      <c r="G140" s="236"/>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500"/>
      <c r="AE140" s="501"/>
      <c r="AF140" s="502"/>
      <c r="AG140" s="769"/>
    </row>
    <row r="141" spans="1:33" s="460" customFormat="1" ht="21" x14ac:dyDescent="0.35">
      <c r="A141" s="457" t="s">
        <v>31</v>
      </c>
      <c r="B141" s="470">
        <f>B142</f>
        <v>93.1</v>
      </c>
      <c r="C141" s="470">
        <f t="shared" ref="C141:E141" si="124">C142</f>
        <v>0</v>
      </c>
      <c r="D141" s="470">
        <f t="shared" si="124"/>
        <v>0</v>
      </c>
      <c r="E141" s="470">
        <f t="shared" si="124"/>
        <v>0</v>
      </c>
      <c r="F141" s="470">
        <f t="shared" si="110"/>
        <v>0</v>
      </c>
      <c r="G141" s="470">
        <f t="shared" si="111"/>
        <v>0</v>
      </c>
      <c r="H141" s="509">
        <f>H142</f>
        <v>0</v>
      </c>
      <c r="I141" s="509">
        <f t="shared" ref="I141:AE141" si="125">I142</f>
        <v>0</v>
      </c>
      <c r="J141" s="509">
        <f t="shared" si="125"/>
        <v>0</v>
      </c>
      <c r="K141" s="509">
        <f t="shared" si="125"/>
        <v>0</v>
      </c>
      <c r="L141" s="509">
        <f t="shared" si="125"/>
        <v>0</v>
      </c>
      <c r="M141" s="509">
        <f t="shared" si="125"/>
        <v>0</v>
      </c>
      <c r="N141" s="509">
        <f t="shared" si="125"/>
        <v>0</v>
      </c>
      <c r="O141" s="509">
        <f t="shared" si="125"/>
        <v>0</v>
      </c>
      <c r="P141" s="509">
        <f t="shared" si="125"/>
        <v>0</v>
      </c>
      <c r="Q141" s="509">
        <f t="shared" si="125"/>
        <v>0</v>
      </c>
      <c r="R141" s="509">
        <f t="shared" si="125"/>
        <v>0</v>
      </c>
      <c r="S141" s="509">
        <f t="shared" si="125"/>
        <v>0</v>
      </c>
      <c r="T141" s="509">
        <f t="shared" si="125"/>
        <v>0</v>
      </c>
      <c r="U141" s="509">
        <f t="shared" si="125"/>
        <v>0</v>
      </c>
      <c r="V141" s="509">
        <f t="shared" si="125"/>
        <v>0</v>
      </c>
      <c r="W141" s="509">
        <f t="shared" si="125"/>
        <v>0</v>
      </c>
      <c r="X141" s="509">
        <f t="shared" si="125"/>
        <v>0</v>
      </c>
      <c r="Y141" s="509">
        <f t="shared" si="125"/>
        <v>0</v>
      </c>
      <c r="Z141" s="509">
        <f t="shared" si="125"/>
        <v>0</v>
      </c>
      <c r="AA141" s="509">
        <f t="shared" si="125"/>
        <v>0</v>
      </c>
      <c r="AB141" s="509">
        <f t="shared" si="125"/>
        <v>93.1</v>
      </c>
      <c r="AC141" s="509">
        <f t="shared" si="125"/>
        <v>0</v>
      </c>
      <c r="AD141" s="509">
        <f t="shared" si="125"/>
        <v>0</v>
      </c>
      <c r="AE141" s="509">
        <f t="shared" si="125"/>
        <v>0</v>
      </c>
      <c r="AF141" s="470"/>
      <c r="AG141" s="769"/>
    </row>
    <row r="142" spans="1:33" ht="21" x14ac:dyDescent="0.35">
      <c r="A142" s="461" t="s">
        <v>33</v>
      </c>
      <c r="B142" s="462">
        <f>B126</f>
        <v>93.1</v>
      </c>
      <c r="C142" s="462">
        <f>C126</f>
        <v>0</v>
      </c>
      <c r="D142" s="462">
        <f>D126</f>
        <v>0</v>
      </c>
      <c r="E142" s="462">
        <f>E126</f>
        <v>0</v>
      </c>
      <c r="F142" s="473">
        <f t="shared" ref="F142:G142" si="126">F248</f>
        <v>0</v>
      </c>
      <c r="G142" s="473">
        <f t="shared" si="126"/>
        <v>0</v>
      </c>
      <c r="H142" s="508">
        <f t="shared" ref="H142:AE142" si="127">H126</f>
        <v>0</v>
      </c>
      <c r="I142" s="508">
        <f t="shared" si="127"/>
        <v>0</v>
      </c>
      <c r="J142" s="508">
        <f t="shared" si="127"/>
        <v>0</v>
      </c>
      <c r="K142" s="508">
        <f t="shared" si="127"/>
        <v>0</v>
      </c>
      <c r="L142" s="508">
        <f t="shared" si="127"/>
        <v>0</v>
      </c>
      <c r="M142" s="508">
        <f t="shared" si="127"/>
        <v>0</v>
      </c>
      <c r="N142" s="508">
        <f t="shared" si="127"/>
        <v>0</v>
      </c>
      <c r="O142" s="508">
        <f t="shared" si="127"/>
        <v>0</v>
      </c>
      <c r="P142" s="508">
        <f t="shared" si="127"/>
        <v>0</v>
      </c>
      <c r="Q142" s="508">
        <f t="shared" si="127"/>
        <v>0</v>
      </c>
      <c r="R142" s="508">
        <f t="shared" si="127"/>
        <v>0</v>
      </c>
      <c r="S142" s="508">
        <f t="shared" si="127"/>
        <v>0</v>
      </c>
      <c r="T142" s="508">
        <f t="shared" si="127"/>
        <v>0</v>
      </c>
      <c r="U142" s="508">
        <f t="shared" si="127"/>
        <v>0</v>
      </c>
      <c r="V142" s="508">
        <f t="shared" si="127"/>
        <v>0</v>
      </c>
      <c r="W142" s="508">
        <f t="shared" si="127"/>
        <v>0</v>
      </c>
      <c r="X142" s="508">
        <f t="shared" si="127"/>
        <v>0</v>
      </c>
      <c r="Y142" s="508">
        <f t="shared" si="127"/>
        <v>0</v>
      </c>
      <c r="Z142" s="508">
        <f t="shared" si="127"/>
        <v>0</v>
      </c>
      <c r="AA142" s="508">
        <f t="shared" si="127"/>
        <v>0</v>
      </c>
      <c r="AB142" s="508">
        <f t="shared" si="127"/>
        <v>93.1</v>
      </c>
      <c r="AC142" s="508">
        <f t="shared" si="127"/>
        <v>0</v>
      </c>
      <c r="AD142" s="508">
        <f t="shared" si="127"/>
        <v>0</v>
      </c>
      <c r="AE142" s="508">
        <f t="shared" si="127"/>
        <v>0</v>
      </c>
      <c r="AF142" s="463"/>
      <c r="AG142" s="769"/>
    </row>
    <row r="143" spans="1:33" ht="36.75" customHeight="1" x14ac:dyDescent="0.35">
      <c r="A143" s="503" t="s">
        <v>66</v>
      </c>
      <c r="B143" s="462">
        <f>B144+B145</f>
        <v>64603.616000000002</v>
      </c>
      <c r="C143" s="462">
        <f t="shared" ref="C143:E143" si="128">C144+C145</f>
        <v>15701.811</v>
      </c>
      <c r="D143" s="462">
        <f t="shared" si="128"/>
        <v>13236.460999999999</v>
      </c>
      <c r="E143" s="462">
        <f t="shared" si="128"/>
        <v>13236.460999999999</v>
      </c>
      <c r="F143" s="462">
        <f>IFERROR(E143/B143*100,0)</f>
        <v>20.48873084751169</v>
      </c>
      <c r="G143" s="462">
        <f>IFERROR(E143/C143*100,0)</f>
        <v>84.298944879670245</v>
      </c>
      <c r="H143" s="508">
        <f>H144+H145</f>
        <v>7237.6039999999994</v>
      </c>
      <c r="I143" s="508">
        <f t="shared" ref="I143:AE143" si="129">I144+I145</f>
        <v>4175.2790000000005</v>
      </c>
      <c r="J143" s="508">
        <f t="shared" si="129"/>
        <v>4703.8770000000004</v>
      </c>
      <c r="K143" s="508">
        <f t="shared" si="129"/>
        <v>5381.9040000000005</v>
      </c>
      <c r="L143" s="508">
        <f t="shared" si="129"/>
        <v>3760.3300000000004</v>
      </c>
      <c r="M143" s="508">
        <f t="shared" si="129"/>
        <v>3679.2779999999998</v>
      </c>
      <c r="N143" s="508">
        <f t="shared" si="129"/>
        <v>5461.0169999999998</v>
      </c>
      <c r="O143" s="508">
        <f t="shared" si="129"/>
        <v>0</v>
      </c>
      <c r="P143" s="508">
        <f t="shared" si="129"/>
        <v>4261.335</v>
      </c>
      <c r="Q143" s="508">
        <f t="shared" si="129"/>
        <v>0</v>
      </c>
      <c r="R143" s="508">
        <f t="shared" si="129"/>
        <v>8396.2889999999989</v>
      </c>
      <c r="S143" s="508">
        <f t="shared" si="129"/>
        <v>0</v>
      </c>
      <c r="T143" s="508">
        <f t="shared" si="129"/>
        <v>9834.2180000000008</v>
      </c>
      <c r="U143" s="508">
        <f t="shared" si="129"/>
        <v>0</v>
      </c>
      <c r="V143" s="508">
        <f t="shared" si="129"/>
        <v>4302.0550000000003</v>
      </c>
      <c r="W143" s="508">
        <f t="shared" si="129"/>
        <v>0</v>
      </c>
      <c r="X143" s="508">
        <f t="shared" si="129"/>
        <v>3741.759</v>
      </c>
      <c r="Y143" s="508">
        <f t="shared" si="129"/>
        <v>0</v>
      </c>
      <c r="Z143" s="508">
        <f t="shared" si="129"/>
        <v>5458.6390000000001</v>
      </c>
      <c r="AA143" s="508">
        <f t="shared" si="129"/>
        <v>0</v>
      </c>
      <c r="AB143" s="508">
        <f t="shared" si="129"/>
        <v>4405.8450000000003</v>
      </c>
      <c r="AC143" s="508">
        <f t="shared" si="129"/>
        <v>0</v>
      </c>
      <c r="AD143" s="508">
        <f t="shared" si="129"/>
        <v>3040.6480000000001</v>
      </c>
      <c r="AE143" s="508">
        <f t="shared" si="129"/>
        <v>0</v>
      </c>
      <c r="AF143" s="462"/>
      <c r="AG143" s="769"/>
    </row>
    <row r="144" spans="1:33" ht="21" x14ac:dyDescent="0.35">
      <c r="A144" s="461" t="s">
        <v>32</v>
      </c>
      <c r="B144" s="473">
        <f>B148</f>
        <v>4297.6000000000004</v>
      </c>
      <c r="C144" s="473">
        <f t="shared" ref="C144:AE144" si="130">C148</f>
        <v>0</v>
      </c>
      <c r="D144" s="473">
        <f t="shared" si="130"/>
        <v>0</v>
      </c>
      <c r="E144" s="473">
        <f t="shared" si="130"/>
        <v>0</v>
      </c>
      <c r="F144" s="473">
        <f>IFERROR(E144/B144*100,0)</f>
        <v>0</v>
      </c>
      <c r="G144" s="462">
        <f t="shared" ref="G144:G146" si="131">IFERROR(E144/C144*100,0)</f>
        <v>0</v>
      </c>
      <c r="H144" s="510">
        <f t="shared" si="130"/>
        <v>0</v>
      </c>
      <c r="I144" s="510">
        <f t="shared" si="130"/>
        <v>0</v>
      </c>
      <c r="J144" s="510">
        <f t="shared" si="130"/>
        <v>0</v>
      </c>
      <c r="K144" s="510">
        <f t="shared" si="130"/>
        <v>0</v>
      </c>
      <c r="L144" s="510">
        <f t="shared" si="130"/>
        <v>0</v>
      </c>
      <c r="M144" s="510">
        <f t="shared" si="130"/>
        <v>0</v>
      </c>
      <c r="N144" s="510">
        <f t="shared" si="130"/>
        <v>0</v>
      </c>
      <c r="O144" s="510">
        <f t="shared" si="130"/>
        <v>0</v>
      </c>
      <c r="P144" s="510">
        <f t="shared" si="130"/>
        <v>0</v>
      </c>
      <c r="Q144" s="510">
        <f t="shared" si="130"/>
        <v>0</v>
      </c>
      <c r="R144" s="510">
        <f t="shared" si="130"/>
        <v>95</v>
      </c>
      <c r="S144" s="510">
        <f t="shared" si="130"/>
        <v>0</v>
      </c>
      <c r="T144" s="510">
        <f t="shared" si="130"/>
        <v>4155.1000000000004</v>
      </c>
      <c r="U144" s="510">
        <f t="shared" si="130"/>
        <v>0</v>
      </c>
      <c r="V144" s="510">
        <f t="shared" si="130"/>
        <v>0</v>
      </c>
      <c r="W144" s="510">
        <f t="shared" si="130"/>
        <v>0</v>
      </c>
      <c r="X144" s="510">
        <f t="shared" si="130"/>
        <v>0</v>
      </c>
      <c r="Y144" s="510">
        <f t="shared" si="130"/>
        <v>0</v>
      </c>
      <c r="Z144" s="510">
        <f t="shared" si="130"/>
        <v>0</v>
      </c>
      <c r="AA144" s="510">
        <f t="shared" si="130"/>
        <v>0</v>
      </c>
      <c r="AB144" s="510">
        <f t="shared" si="130"/>
        <v>47.5</v>
      </c>
      <c r="AC144" s="510">
        <f t="shared" si="130"/>
        <v>0</v>
      </c>
      <c r="AD144" s="510">
        <f t="shared" si="130"/>
        <v>0</v>
      </c>
      <c r="AE144" s="510">
        <f t="shared" si="130"/>
        <v>0</v>
      </c>
      <c r="AF144" s="462"/>
      <c r="AG144" s="769"/>
    </row>
    <row r="145" spans="1:33" ht="21" x14ac:dyDescent="0.35">
      <c r="A145" s="461" t="s">
        <v>33</v>
      </c>
      <c r="B145" s="473">
        <f>B149+B152</f>
        <v>60306.016000000003</v>
      </c>
      <c r="C145" s="473">
        <f t="shared" ref="C145:E145" si="132">C149+C152</f>
        <v>15701.811</v>
      </c>
      <c r="D145" s="473">
        <f t="shared" si="132"/>
        <v>13236.460999999999</v>
      </c>
      <c r="E145" s="473">
        <f t="shared" si="132"/>
        <v>13236.460999999999</v>
      </c>
      <c r="F145" s="462">
        <f>IFERROR(E145/B145*100,0)</f>
        <v>21.948823480562865</v>
      </c>
      <c r="G145" s="462">
        <f t="shared" si="131"/>
        <v>84.298944879670245</v>
      </c>
      <c r="H145" s="510">
        <f t="shared" ref="H145:AE145" si="133">H30+H133</f>
        <v>7237.6039999999994</v>
      </c>
      <c r="I145" s="510">
        <f t="shared" si="133"/>
        <v>4175.2790000000005</v>
      </c>
      <c r="J145" s="510">
        <f t="shared" si="133"/>
        <v>4703.8770000000004</v>
      </c>
      <c r="K145" s="510">
        <f t="shared" si="133"/>
        <v>5381.9040000000005</v>
      </c>
      <c r="L145" s="510">
        <f t="shared" si="133"/>
        <v>3760.3300000000004</v>
      </c>
      <c r="M145" s="510">
        <f t="shared" si="133"/>
        <v>3679.2779999999998</v>
      </c>
      <c r="N145" s="510">
        <f t="shared" si="133"/>
        <v>5461.0169999999998</v>
      </c>
      <c r="O145" s="510">
        <f t="shared" si="133"/>
        <v>0</v>
      </c>
      <c r="P145" s="510">
        <f t="shared" si="133"/>
        <v>4261.335</v>
      </c>
      <c r="Q145" s="510">
        <f t="shared" si="133"/>
        <v>0</v>
      </c>
      <c r="R145" s="510">
        <f t="shared" si="133"/>
        <v>8301.2889999999989</v>
      </c>
      <c r="S145" s="510">
        <f t="shared" si="133"/>
        <v>0</v>
      </c>
      <c r="T145" s="510">
        <f t="shared" si="133"/>
        <v>5679.1180000000004</v>
      </c>
      <c r="U145" s="510">
        <f t="shared" si="133"/>
        <v>0</v>
      </c>
      <c r="V145" s="510">
        <f t="shared" si="133"/>
        <v>4302.0550000000003</v>
      </c>
      <c r="W145" s="510">
        <f t="shared" si="133"/>
        <v>0</v>
      </c>
      <c r="X145" s="510">
        <f t="shared" si="133"/>
        <v>3741.759</v>
      </c>
      <c r="Y145" s="510">
        <f t="shared" si="133"/>
        <v>0</v>
      </c>
      <c r="Z145" s="510">
        <f t="shared" si="133"/>
        <v>5458.6390000000001</v>
      </c>
      <c r="AA145" s="510">
        <f t="shared" si="133"/>
        <v>0</v>
      </c>
      <c r="AB145" s="510">
        <f t="shared" si="133"/>
        <v>4358.3450000000003</v>
      </c>
      <c r="AC145" s="510">
        <f t="shared" si="133"/>
        <v>0</v>
      </c>
      <c r="AD145" s="510">
        <f t="shared" si="133"/>
        <v>3040.6480000000001</v>
      </c>
      <c r="AE145" s="510">
        <f t="shared" si="133"/>
        <v>0</v>
      </c>
      <c r="AF145" s="462"/>
      <c r="AG145" s="769"/>
    </row>
    <row r="146" spans="1:33" ht="37.5" x14ac:dyDescent="0.35">
      <c r="A146" s="481" t="s">
        <v>174</v>
      </c>
      <c r="B146" s="473">
        <f>B150</f>
        <v>226.20999999999998</v>
      </c>
      <c r="C146" s="473">
        <f t="shared" ref="C146:AE146" si="134">C150</f>
        <v>0</v>
      </c>
      <c r="D146" s="473">
        <f t="shared" si="134"/>
        <v>0</v>
      </c>
      <c r="E146" s="473">
        <f t="shared" si="134"/>
        <v>0</v>
      </c>
      <c r="F146" s="462">
        <f t="shared" ref="F146" si="135">IFERROR(E146/B146*100,0)</f>
        <v>0</v>
      </c>
      <c r="G146" s="462">
        <f t="shared" si="131"/>
        <v>0</v>
      </c>
      <c r="H146" s="510">
        <f t="shared" si="134"/>
        <v>0</v>
      </c>
      <c r="I146" s="510">
        <f t="shared" si="134"/>
        <v>0</v>
      </c>
      <c r="J146" s="510">
        <f t="shared" si="134"/>
        <v>0</v>
      </c>
      <c r="K146" s="510">
        <f t="shared" si="134"/>
        <v>0</v>
      </c>
      <c r="L146" s="510">
        <f t="shared" si="134"/>
        <v>0</v>
      </c>
      <c r="M146" s="510">
        <f t="shared" si="134"/>
        <v>0</v>
      </c>
      <c r="N146" s="510">
        <f t="shared" si="134"/>
        <v>0</v>
      </c>
      <c r="O146" s="510">
        <f t="shared" si="134"/>
        <v>0</v>
      </c>
      <c r="P146" s="510">
        <f t="shared" si="134"/>
        <v>0</v>
      </c>
      <c r="Q146" s="510">
        <f t="shared" si="134"/>
        <v>0</v>
      </c>
      <c r="R146" s="510">
        <f t="shared" si="134"/>
        <v>5</v>
      </c>
      <c r="S146" s="510">
        <f t="shared" si="134"/>
        <v>0</v>
      </c>
      <c r="T146" s="510">
        <f t="shared" si="134"/>
        <v>218.70999999999998</v>
      </c>
      <c r="U146" s="510">
        <f t="shared" si="134"/>
        <v>0</v>
      </c>
      <c r="V146" s="510">
        <f t="shared" si="134"/>
        <v>0</v>
      </c>
      <c r="W146" s="510">
        <f t="shared" si="134"/>
        <v>0</v>
      </c>
      <c r="X146" s="510">
        <f t="shared" si="134"/>
        <v>0</v>
      </c>
      <c r="Y146" s="510">
        <f t="shared" si="134"/>
        <v>0</v>
      </c>
      <c r="Z146" s="510">
        <f t="shared" si="134"/>
        <v>0</v>
      </c>
      <c r="AA146" s="510">
        <f t="shared" si="134"/>
        <v>0</v>
      </c>
      <c r="AB146" s="510">
        <f t="shared" si="134"/>
        <v>2.5</v>
      </c>
      <c r="AC146" s="510">
        <f t="shared" si="134"/>
        <v>0</v>
      </c>
      <c r="AD146" s="510">
        <f t="shared" si="134"/>
        <v>0</v>
      </c>
      <c r="AE146" s="510">
        <f t="shared" si="134"/>
        <v>0</v>
      </c>
      <c r="AF146" s="462"/>
      <c r="AG146" s="769"/>
    </row>
    <row r="147" spans="1:33" ht="37.5" x14ac:dyDescent="0.35">
      <c r="A147" s="504" t="s">
        <v>381</v>
      </c>
      <c r="B147" s="462">
        <f>B148+B149</f>
        <v>9080.2099999999991</v>
      </c>
      <c r="C147" s="462">
        <f t="shared" ref="C147:E147" si="136">C148+C149</f>
        <v>0</v>
      </c>
      <c r="D147" s="462">
        <f t="shared" si="136"/>
        <v>0</v>
      </c>
      <c r="E147" s="462">
        <f t="shared" si="136"/>
        <v>0</v>
      </c>
      <c r="F147" s="462">
        <f>IFERROR(E147/B147*100,0)</f>
        <v>0</v>
      </c>
      <c r="G147" s="462">
        <f>IFERROR(E147/C147*100,0)</f>
        <v>0</v>
      </c>
      <c r="H147" s="508">
        <f>H148+H149</f>
        <v>0</v>
      </c>
      <c r="I147" s="508">
        <f t="shared" ref="I147:AE147" si="137">I148+I149</f>
        <v>0</v>
      </c>
      <c r="J147" s="508">
        <f t="shared" si="137"/>
        <v>0</v>
      </c>
      <c r="K147" s="508">
        <f t="shared" si="137"/>
        <v>0</v>
      </c>
      <c r="L147" s="508">
        <f t="shared" si="137"/>
        <v>0</v>
      </c>
      <c r="M147" s="508">
        <f t="shared" si="137"/>
        <v>0</v>
      </c>
      <c r="N147" s="508">
        <f t="shared" si="137"/>
        <v>0</v>
      </c>
      <c r="O147" s="508">
        <f t="shared" si="137"/>
        <v>0</v>
      </c>
      <c r="P147" s="508">
        <f t="shared" si="137"/>
        <v>0</v>
      </c>
      <c r="Q147" s="508">
        <f t="shared" si="137"/>
        <v>0</v>
      </c>
      <c r="R147" s="508">
        <f t="shared" si="137"/>
        <v>4656.3999999999996</v>
      </c>
      <c r="S147" s="508">
        <f t="shared" si="137"/>
        <v>0</v>
      </c>
      <c r="T147" s="508">
        <f t="shared" si="137"/>
        <v>4373.8100000000004</v>
      </c>
      <c r="U147" s="508">
        <f t="shared" si="137"/>
        <v>0</v>
      </c>
      <c r="V147" s="508">
        <f t="shared" si="137"/>
        <v>0</v>
      </c>
      <c r="W147" s="508">
        <f t="shared" si="137"/>
        <v>0</v>
      </c>
      <c r="X147" s="508">
        <f t="shared" si="137"/>
        <v>0</v>
      </c>
      <c r="Y147" s="508">
        <f t="shared" si="137"/>
        <v>0</v>
      </c>
      <c r="Z147" s="508">
        <f t="shared" si="137"/>
        <v>0</v>
      </c>
      <c r="AA147" s="508">
        <f t="shared" si="137"/>
        <v>0</v>
      </c>
      <c r="AB147" s="508">
        <f t="shared" si="137"/>
        <v>50</v>
      </c>
      <c r="AC147" s="508">
        <f t="shared" si="137"/>
        <v>0</v>
      </c>
      <c r="AD147" s="508">
        <f t="shared" si="137"/>
        <v>0</v>
      </c>
      <c r="AE147" s="508">
        <f t="shared" si="137"/>
        <v>0</v>
      </c>
      <c r="AF147" s="462"/>
      <c r="AG147" s="769"/>
    </row>
    <row r="148" spans="1:33" ht="21" x14ac:dyDescent="0.35">
      <c r="A148" s="461" t="s">
        <v>32</v>
      </c>
      <c r="B148" s="473">
        <f t="shared" ref="B148:E150" si="138">B137</f>
        <v>4297.6000000000004</v>
      </c>
      <c r="C148" s="473">
        <f t="shared" si="138"/>
        <v>0</v>
      </c>
      <c r="D148" s="473">
        <f t="shared" si="138"/>
        <v>0</v>
      </c>
      <c r="E148" s="473">
        <f t="shared" si="138"/>
        <v>0</v>
      </c>
      <c r="F148" s="462">
        <f t="shared" ref="F148:F152" si="139">IFERROR(E148/B148*100,0)</f>
        <v>0</v>
      </c>
      <c r="G148" s="462">
        <f t="shared" ref="G148:G152" si="140">IFERROR(E148/C148*100,0)</f>
        <v>0</v>
      </c>
      <c r="H148" s="510">
        <f t="shared" ref="H148:AE150" si="141">H137</f>
        <v>0</v>
      </c>
      <c r="I148" s="510">
        <f t="shared" si="141"/>
        <v>0</v>
      </c>
      <c r="J148" s="510">
        <f t="shared" si="141"/>
        <v>0</v>
      </c>
      <c r="K148" s="510">
        <f t="shared" si="141"/>
        <v>0</v>
      </c>
      <c r="L148" s="510">
        <f t="shared" si="141"/>
        <v>0</v>
      </c>
      <c r="M148" s="510">
        <f t="shared" si="141"/>
        <v>0</v>
      </c>
      <c r="N148" s="510">
        <f t="shared" si="141"/>
        <v>0</v>
      </c>
      <c r="O148" s="510">
        <f t="shared" si="141"/>
        <v>0</v>
      </c>
      <c r="P148" s="510">
        <f t="shared" si="141"/>
        <v>0</v>
      </c>
      <c r="Q148" s="510">
        <f t="shared" si="141"/>
        <v>0</v>
      </c>
      <c r="R148" s="510">
        <f t="shared" si="141"/>
        <v>95</v>
      </c>
      <c r="S148" s="510">
        <f t="shared" si="141"/>
        <v>0</v>
      </c>
      <c r="T148" s="510">
        <f t="shared" si="141"/>
        <v>4155.1000000000004</v>
      </c>
      <c r="U148" s="510">
        <f t="shared" si="141"/>
        <v>0</v>
      </c>
      <c r="V148" s="510">
        <f t="shared" si="141"/>
        <v>0</v>
      </c>
      <c r="W148" s="510">
        <f t="shared" si="141"/>
        <v>0</v>
      </c>
      <c r="X148" s="510">
        <f t="shared" si="141"/>
        <v>0</v>
      </c>
      <c r="Y148" s="510">
        <f t="shared" si="141"/>
        <v>0</v>
      </c>
      <c r="Z148" s="510">
        <f t="shared" si="141"/>
        <v>0</v>
      </c>
      <c r="AA148" s="510">
        <f t="shared" si="141"/>
        <v>0</v>
      </c>
      <c r="AB148" s="510">
        <f t="shared" si="141"/>
        <v>47.5</v>
      </c>
      <c r="AC148" s="510">
        <f t="shared" si="141"/>
        <v>0</v>
      </c>
      <c r="AD148" s="510">
        <f t="shared" si="141"/>
        <v>0</v>
      </c>
      <c r="AE148" s="510">
        <f t="shared" si="141"/>
        <v>0</v>
      </c>
      <c r="AF148" s="462"/>
      <c r="AG148" s="769"/>
    </row>
    <row r="149" spans="1:33" ht="21" x14ac:dyDescent="0.35">
      <c r="A149" s="461" t="s">
        <v>33</v>
      </c>
      <c r="B149" s="473">
        <f t="shared" si="138"/>
        <v>4782.6099999999997</v>
      </c>
      <c r="C149" s="473">
        <f t="shared" si="138"/>
        <v>0</v>
      </c>
      <c r="D149" s="473">
        <f t="shared" si="138"/>
        <v>0</v>
      </c>
      <c r="E149" s="473">
        <f t="shared" si="138"/>
        <v>0</v>
      </c>
      <c r="F149" s="462">
        <f t="shared" si="139"/>
        <v>0</v>
      </c>
      <c r="G149" s="462">
        <f t="shared" si="140"/>
        <v>0</v>
      </c>
      <c r="H149" s="510">
        <f t="shared" si="141"/>
        <v>0</v>
      </c>
      <c r="I149" s="510">
        <f t="shared" si="141"/>
        <v>0</v>
      </c>
      <c r="J149" s="510">
        <f t="shared" si="141"/>
        <v>0</v>
      </c>
      <c r="K149" s="510">
        <f t="shared" si="141"/>
        <v>0</v>
      </c>
      <c r="L149" s="510">
        <f t="shared" si="141"/>
        <v>0</v>
      </c>
      <c r="M149" s="510">
        <f t="shared" si="141"/>
        <v>0</v>
      </c>
      <c r="N149" s="510">
        <f t="shared" si="141"/>
        <v>0</v>
      </c>
      <c r="O149" s="510">
        <f t="shared" si="141"/>
        <v>0</v>
      </c>
      <c r="P149" s="510">
        <f t="shared" si="141"/>
        <v>0</v>
      </c>
      <c r="Q149" s="510">
        <f t="shared" si="141"/>
        <v>0</v>
      </c>
      <c r="R149" s="510">
        <f t="shared" si="141"/>
        <v>4561.3999999999996</v>
      </c>
      <c r="S149" s="510">
        <f t="shared" si="141"/>
        <v>0</v>
      </c>
      <c r="T149" s="510">
        <f t="shared" si="141"/>
        <v>218.70999999999998</v>
      </c>
      <c r="U149" s="510">
        <f t="shared" si="141"/>
        <v>0</v>
      </c>
      <c r="V149" s="510">
        <f t="shared" si="141"/>
        <v>0</v>
      </c>
      <c r="W149" s="510">
        <f t="shared" si="141"/>
        <v>0</v>
      </c>
      <c r="X149" s="510">
        <f t="shared" si="141"/>
        <v>0</v>
      </c>
      <c r="Y149" s="510">
        <f t="shared" si="141"/>
        <v>0</v>
      </c>
      <c r="Z149" s="510">
        <f t="shared" si="141"/>
        <v>0</v>
      </c>
      <c r="AA149" s="510">
        <f t="shared" si="141"/>
        <v>0</v>
      </c>
      <c r="AB149" s="510">
        <f t="shared" si="141"/>
        <v>2.5</v>
      </c>
      <c r="AC149" s="510">
        <f t="shared" si="141"/>
        <v>0</v>
      </c>
      <c r="AD149" s="510">
        <f t="shared" si="141"/>
        <v>0</v>
      </c>
      <c r="AE149" s="510">
        <f t="shared" si="141"/>
        <v>0</v>
      </c>
      <c r="AF149" s="462"/>
      <c r="AG149" s="769"/>
    </row>
    <row r="150" spans="1:33" ht="37.5" x14ac:dyDescent="0.35">
      <c r="A150" s="481" t="s">
        <v>174</v>
      </c>
      <c r="B150" s="473">
        <f t="shared" si="138"/>
        <v>226.20999999999998</v>
      </c>
      <c r="C150" s="473">
        <f t="shared" si="138"/>
        <v>0</v>
      </c>
      <c r="D150" s="473">
        <f t="shared" si="138"/>
        <v>0</v>
      </c>
      <c r="E150" s="473">
        <f t="shared" si="138"/>
        <v>0</v>
      </c>
      <c r="F150" s="462">
        <f t="shared" si="139"/>
        <v>0</v>
      </c>
      <c r="G150" s="462">
        <f t="shared" si="140"/>
        <v>0</v>
      </c>
      <c r="H150" s="510">
        <f t="shared" si="141"/>
        <v>0</v>
      </c>
      <c r="I150" s="510">
        <f t="shared" si="141"/>
        <v>0</v>
      </c>
      <c r="J150" s="510">
        <f t="shared" si="141"/>
        <v>0</v>
      </c>
      <c r="K150" s="510">
        <f t="shared" si="141"/>
        <v>0</v>
      </c>
      <c r="L150" s="510">
        <f t="shared" si="141"/>
        <v>0</v>
      </c>
      <c r="M150" s="510">
        <f t="shared" si="141"/>
        <v>0</v>
      </c>
      <c r="N150" s="510">
        <f t="shared" si="141"/>
        <v>0</v>
      </c>
      <c r="O150" s="510">
        <f t="shared" si="141"/>
        <v>0</v>
      </c>
      <c r="P150" s="510">
        <f t="shared" si="141"/>
        <v>0</v>
      </c>
      <c r="Q150" s="510">
        <f t="shared" si="141"/>
        <v>0</v>
      </c>
      <c r="R150" s="510">
        <f t="shared" si="141"/>
        <v>5</v>
      </c>
      <c r="S150" s="510">
        <f t="shared" si="141"/>
        <v>0</v>
      </c>
      <c r="T150" s="510">
        <f t="shared" si="141"/>
        <v>218.70999999999998</v>
      </c>
      <c r="U150" s="510">
        <f t="shared" si="141"/>
        <v>0</v>
      </c>
      <c r="V150" s="510">
        <f t="shared" si="141"/>
        <v>0</v>
      </c>
      <c r="W150" s="510">
        <f t="shared" si="141"/>
        <v>0</v>
      </c>
      <c r="X150" s="510">
        <f t="shared" si="141"/>
        <v>0</v>
      </c>
      <c r="Y150" s="510">
        <f t="shared" si="141"/>
        <v>0</v>
      </c>
      <c r="Z150" s="510">
        <f t="shared" si="141"/>
        <v>0</v>
      </c>
      <c r="AA150" s="510">
        <f t="shared" si="141"/>
        <v>0</v>
      </c>
      <c r="AB150" s="510">
        <f t="shared" si="141"/>
        <v>2.5</v>
      </c>
      <c r="AC150" s="510">
        <f t="shared" si="141"/>
        <v>0</v>
      </c>
      <c r="AD150" s="510">
        <f t="shared" si="141"/>
        <v>0</v>
      </c>
      <c r="AE150" s="510">
        <f t="shared" si="141"/>
        <v>0</v>
      </c>
      <c r="AF150" s="462"/>
      <c r="AG150" s="769"/>
    </row>
    <row r="151" spans="1:33" ht="37.5" x14ac:dyDescent="0.35">
      <c r="A151" s="504" t="s">
        <v>100</v>
      </c>
      <c r="B151" s="462">
        <f>B152</f>
        <v>55523.406000000003</v>
      </c>
      <c r="C151" s="462">
        <f t="shared" ref="C151:AE151" si="142">C152</f>
        <v>15701.811</v>
      </c>
      <c r="D151" s="462">
        <f t="shared" si="142"/>
        <v>13236.460999999999</v>
      </c>
      <c r="E151" s="462">
        <f t="shared" si="142"/>
        <v>13236.460999999999</v>
      </c>
      <c r="F151" s="462">
        <f t="shared" si="139"/>
        <v>23.839425484812654</v>
      </c>
      <c r="G151" s="462">
        <f t="shared" si="140"/>
        <v>84.298944879670245</v>
      </c>
      <c r="H151" s="508">
        <f t="shared" si="142"/>
        <v>7237.6039999999994</v>
      </c>
      <c r="I151" s="508">
        <f t="shared" si="142"/>
        <v>4175.2790000000005</v>
      </c>
      <c r="J151" s="508">
        <f t="shared" si="142"/>
        <v>4703.8770000000004</v>
      </c>
      <c r="K151" s="508">
        <f t="shared" si="142"/>
        <v>5381.9040000000005</v>
      </c>
      <c r="L151" s="508">
        <f t="shared" si="142"/>
        <v>3760.3300000000004</v>
      </c>
      <c r="M151" s="508">
        <f t="shared" si="142"/>
        <v>3679.2779999999998</v>
      </c>
      <c r="N151" s="508">
        <f t="shared" si="142"/>
        <v>5461.0169999999998</v>
      </c>
      <c r="O151" s="508">
        <f t="shared" si="142"/>
        <v>0</v>
      </c>
      <c r="P151" s="508">
        <f t="shared" si="142"/>
        <v>4261.335</v>
      </c>
      <c r="Q151" s="508">
        <f t="shared" si="142"/>
        <v>0</v>
      </c>
      <c r="R151" s="508">
        <f t="shared" si="142"/>
        <v>3739.8889999999997</v>
      </c>
      <c r="S151" s="508">
        <f t="shared" si="142"/>
        <v>0</v>
      </c>
      <c r="T151" s="508">
        <f t="shared" si="142"/>
        <v>5460.4080000000004</v>
      </c>
      <c r="U151" s="508">
        <f t="shared" si="142"/>
        <v>0</v>
      </c>
      <c r="V151" s="508">
        <f t="shared" si="142"/>
        <v>4302.0550000000003</v>
      </c>
      <c r="W151" s="508">
        <f t="shared" si="142"/>
        <v>0</v>
      </c>
      <c r="X151" s="508">
        <f t="shared" si="142"/>
        <v>3741.759</v>
      </c>
      <c r="Y151" s="508">
        <f t="shared" si="142"/>
        <v>0</v>
      </c>
      <c r="Z151" s="508">
        <f t="shared" si="142"/>
        <v>5458.6390000000001</v>
      </c>
      <c r="AA151" s="508">
        <f t="shared" si="142"/>
        <v>0</v>
      </c>
      <c r="AB151" s="508">
        <f t="shared" si="142"/>
        <v>4355.8450000000003</v>
      </c>
      <c r="AC151" s="508">
        <f t="shared" si="142"/>
        <v>0</v>
      </c>
      <c r="AD151" s="508">
        <f t="shared" si="142"/>
        <v>3040.6480000000001</v>
      </c>
      <c r="AE151" s="508">
        <f t="shared" si="142"/>
        <v>0</v>
      </c>
      <c r="AF151" s="462"/>
      <c r="AG151" s="769"/>
    </row>
    <row r="152" spans="1:33" ht="21" x14ac:dyDescent="0.35">
      <c r="A152" s="461" t="s">
        <v>33</v>
      </c>
      <c r="B152" s="473">
        <f>B12+B126</f>
        <v>55523.406000000003</v>
      </c>
      <c r="C152" s="473">
        <f>C12+C126</f>
        <v>15701.811</v>
      </c>
      <c r="D152" s="473">
        <f>D12+D126</f>
        <v>13236.460999999999</v>
      </c>
      <c r="E152" s="473">
        <f>E12+E126</f>
        <v>13236.460999999999</v>
      </c>
      <c r="F152" s="462">
        <f t="shared" si="139"/>
        <v>23.839425484812654</v>
      </c>
      <c r="G152" s="462">
        <f t="shared" si="140"/>
        <v>84.298944879670245</v>
      </c>
      <c r="H152" s="510">
        <f t="shared" ref="H152:AE152" si="143">H12+H126</f>
        <v>7237.6039999999994</v>
      </c>
      <c r="I152" s="510">
        <f t="shared" si="143"/>
        <v>4175.2790000000005</v>
      </c>
      <c r="J152" s="510">
        <f t="shared" si="143"/>
        <v>4703.8770000000004</v>
      </c>
      <c r="K152" s="510">
        <f t="shared" si="143"/>
        <v>5381.9040000000005</v>
      </c>
      <c r="L152" s="510">
        <f t="shared" si="143"/>
        <v>3760.3300000000004</v>
      </c>
      <c r="M152" s="510">
        <f t="shared" si="143"/>
        <v>3679.2779999999998</v>
      </c>
      <c r="N152" s="510">
        <f t="shared" si="143"/>
        <v>5461.0169999999998</v>
      </c>
      <c r="O152" s="510">
        <f t="shared" si="143"/>
        <v>0</v>
      </c>
      <c r="P152" s="510">
        <f t="shared" si="143"/>
        <v>4261.335</v>
      </c>
      <c r="Q152" s="510">
        <f t="shared" si="143"/>
        <v>0</v>
      </c>
      <c r="R152" s="510">
        <f t="shared" si="143"/>
        <v>3739.8889999999997</v>
      </c>
      <c r="S152" s="510">
        <f t="shared" si="143"/>
        <v>0</v>
      </c>
      <c r="T152" s="510">
        <f t="shared" si="143"/>
        <v>5460.4080000000004</v>
      </c>
      <c r="U152" s="510">
        <f t="shared" si="143"/>
        <v>0</v>
      </c>
      <c r="V152" s="510">
        <f t="shared" si="143"/>
        <v>4302.0550000000003</v>
      </c>
      <c r="W152" s="510">
        <f t="shared" si="143"/>
        <v>0</v>
      </c>
      <c r="X152" s="510">
        <f t="shared" si="143"/>
        <v>3741.759</v>
      </c>
      <c r="Y152" s="510">
        <f t="shared" si="143"/>
        <v>0</v>
      </c>
      <c r="Z152" s="510">
        <f t="shared" si="143"/>
        <v>5458.6390000000001</v>
      </c>
      <c r="AA152" s="510">
        <f t="shared" si="143"/>
        <v>0</v>
      </c>
      <c r="AB152" s="510">
        <f t="shared" si="143"/>
        <v>4355.8450000000003</v>
      </c>
      <c r="AC152" s="510">
        <f t="shared" si="143"/>
        <v>0</v>
      </c>
      <c r="AD152" s="510">
        <f t="shared" si="143"/>
        <v>3040.6480000000001</v>
      </c>
      <c r="AE152" s="510">
        <f t="shared" si="143"/>
        <v>0</v>
      </c>
      <c r="AF152" s="462"/>
      <c r="AG152" s="769"/>
    </row>
  </sheetData>
  <customSheetViews>
    <customSheetView guid="{533DC55B-6AD4-4674-9488-685EF2039F3E}" scale="70">
      <pane xSplit="1" ySplit="10" topLeftCell="J11" activePane="bottomRight" state="frozen"/>
      <selection pane="bottomRight" activeCell="R120" sqref="R120:R121"/>
      <pageMargins left="0.7" right="0.7" top="0.75" bottom="0.75" header="0.3" footer="0.3"/>
    </customSheetView>
    <customSheetView guid="{85F4575B-DBC5-482A-9916-255D8F0BC94E}" scale="70">
      <pane xSplit="1" ySplit="10" topLeftCell="J11" activePane="bottomRight" state="frozen"/>
      <selection pane="bottomRight" activeCell="R120" sqref="R120:R121"/>
      <pageMargins left="0.7" right="0.7" top="0.75" bottom="0.75" header="0.3" footer="0.3"/>
    </customSheetView>
    <customSheetView guid="{B1BF08D1-D416-4B47-ADD0-4F59132DC9E8}" scale="70">
      <pane xSplit="1" ySplit="10" topLeftCell="J11" activePane="bottomRight" state="frozen"/>
      <selection pane="bottomRight" activeCell="R120" sqref="R120:R121"/>
      <pageMargins left="0.7" right="0.7" top="0.75" bottom="0.75" header="0.3" footer="0.3"/>
    </customSheetView>
    <customSheetView guid="{4F41B9CC-959D-442C-80B0-1F0DB2C76D27}" scale="70">
      <pane xSplit="1" ySplit="10" topLeftCell="J11" activePane="bottomRight" state="frozen"/>
      <selection pane="bottomRight" activeCell="R120" sqref="R120:R121"/>
      <pageMargins left="0.7" right="0.7" top="0.75" bottom="0.75" header="0.3" footer="0.3"/>
    </customSheetView>
    <customSheetView guid="{602C8EDB-B9EF-4C85-B0D5-0558C3A0ABAB}" scale="70">
      <pane xSplit="1" ySplit="10" topLeftCell="B11" activePane="bottomRight" state="frozen"/>
      <selection pane="bottomRight" activeCell="D6" sqref="D6"/>
      <pageMargins left="0.7" right="0.7" top="0.75" bottom="0.75" header="0.3" footer="0.3"/>
    </customSheetView>
    <customSheetView guid="{D01FA037-9AEC-4167-ADB8-2F327C01ECE6}" scale="70">
      <pane xSplit="1" ySplit="10" topLeftCell="J11" activePane="bottomRight" state="frozen"/>
      <selection pane="bottomRight" activeCell="R120" sqref="R120:R121"/>
      <pageMargins left="0.7" right="0.7" top="0.75" bottom="0.75" header="0.3" footer="0.3"/>
    </customSheetView>
    <customSheetView guid="{84867370-1F3E-4368-AF79-FBCE46FFFE92}" scale="70">
      <pane xSplit="1" ySplit="10" topLeftCell="B11" activePane="bottomRight" state="frozen"/>
      <selection pane="bottomRight" activeCell="R120" sqref="R120:R121"/>
      <pageMargins left="0.7" right="0.7" top="0.75" bottom="0.75" header="0.3" footer="0.3"/>
    </customSheetView>
    <customSheetView guid="{0C2B9C2A-7B94-41EF-A2E6-F8AC9A67DE25}" scale="70">
      <pane xSplit="1" ySplit="10" topLeftCell="B26" activePane="bottomRight" state="frozen"/>
      <selection pane="bottomRight" activeCell="A37" sqref="A37"/>
      <pageMargins left="0.7" right="0.7" top="0.75" bottom="0.75" header="0.3" footer="0.3"/>
    </customSheetView>
    <customSheetView guid="{47B983AB-FE5F-4725-860C-A2F29420596D}" scale="70">
      <pane xSplit="1" ySplit="10" topLeftCell="B26" activePane="bottomRight" state="frozen"/>
      <selection pane="bottomRight" activeCell="A37" sqref="A37"/>
      <pageMargins left="0.7" right="0.7" top="0.75" bottom="0.75" header="0.3" footer="0.3"/>
    </customSheetView>
    <customSheetView guid="{DAA8A688-7558-4B5B-8DBD-E2629BD9E9A8}" scale="70">
      <pane xSplit="1" ySplit="10" topLeftCell="B146" activePane="bottomRight" state="frozen"/>
      <selection pane="bottomRight" activeCell="A3" sqref="A3:Q3"/>
      <pageMargins left="0.7" right="0.7" top="0.75" bottom="0.75" header="0.3" footer="0.3"/>
    </customSheetView>
    <customSheetView guid="{BCD82A82-B724-4763-8580-D765356E09BA}" scale="70">
      <pane xSplit="1" ySplit="10" topLeftCell="B11" activePane="bottomRight" state="frozen"/>
      <selection pane="bottomRight" activeCell="A3" sqref="A3:Q3"/>
      <pageMargins left="0.7" right="0.7" top="0.75" bottom="0.75" header="0.3" footer="0.3"/>
    </customSheetView>
    <customSheetView guid="{C236B307-BD63-48C4-A75F-B3F3717BF55C}" scale="70">
      <pane xSplit="1" ySplit="10" topLeftCell="B146" activePane="bottomRight" state="frozen"/>
      <selection pane="bottomRight" activeCell="A3" sqref="A3:Q3"/>
      <pageMargins left="0.7" right="0.7" top="0.75" bottom="0.75" header="0.3" footer="0.3"/>
    </customSheetView>
    <customSheetView guid="{87218168-6C8E-4D5B-A5E5-DCCC26803AA3}" scale="70">
      <pane xSplit="1" ySplit="10" topLeftCell="B146" activePane="bottomRight" state="frozen"/>
      <selection pane="bottomRight" activeCell="A3" sqref="A3:Q3"/>
      <pageMargins left="0.7" right="0.7" top="0.75" bottom="0.75" header="0.3" footer="0.3"/>
    </customSheetView>
    <customSheetView guid="{874882D1-E741-4CCA-BF0D-E72FA60B771D}" scale="70">
      <pane xSplit="1" ySplit="10" topLeftCell="B146" activePane="bottomRight" state="frozen"/>
      <selection pane="bottomRight" activeCell="A3" sqref="A3:Q3"/>
      <pageMargins left="0.7" right="0.7" top="0.75" bottom="0.75" header="0.3" footer="0.3"/>
    </customSheetView>
    <customSheetView guid="{B82BA08A-1A30-4F4D-A478-74A6BD09EA97}" scale="70">
      <pane xSplit="1" ySplit="10" topLeftCell="B146" activePane="bottomRight" state="frozen"/>
      <selection pane="bottomRight" activeCell="A3" sqref="A3:Q3"/>
      <pageMargins left="0.7" right="0.7" top="0.75" bottom="0.75" header="0.3" footer="0.3"/>
    </customSheetView>
    <customSheetView guid="{4D0DFB57-2CBA-42F2-9A97-C453A6851FBA}" scale="70">
      <pane xSplit="1" ySplit="10" topLeftCell="B26" activePane="bottomRight" state="frozen"/>
      <selection pane="bottomRight" activeCell="A37" sqref="A37"/>
      <pageMargins left="0.7" right="0.7" top="0.75" bottom="0.75" header="0.3" footer="0.3"/>
    </customSheetView>
    <customSheetView guid="{770624BF-07F3-44B6-94C3-4CC447CDD45C}" scale="70">
      <pane xSplit="1" ySplit="10" topLeftCell="B26" activePane="bottomRight" state="frozen"/>
      <selection pane="bottomRight" activeCell="A37" sqref="A37"/>
      <pageMargins left="0.7" right="0.7" top="0.75" bottom="0.75" header="0.3" footer="0.3"/>
    </customSheetView>
    <customSheetView guid="{E508E171-4ED9-4B07-84DF-DA28C60E1969}" scale="70">
      <pane xSplit="1" ySplit="10" topLeftCell="B26" activePane="bottomRight" state="frozen"/>
      <selection pane="bottomRight" activeCell="A37" sqref="A37"/>
      <pageMargins left="0.7" right="0.7" top="0.75" bottom="0.75" header="0.3" footer="0.3"/>
    </customSheetView>
    <customSheetView guid="{74870EE6-26B9-40F7-9DC9-260EF16D8959}" scale="70">
      <pane xSplit="1" ySplit="10" topLeftCell="J11" activePane="bottomRight" state="frozen"/>
      <selection pane="bottomRight" activeCell="R120" sqref="R120:R121"/>
      <pageMargins left="0.7" right="0.7" top="0.75" bottom="0.75" header="0.3" footer="0.3"/>
    </customSheetView>
    <customSheetView guid="{009B3074-D8EC-4952-BF50-43CD64449612}" scale="70">
      <pane xSplit="1" ySplit="10" topLeftCell="J11" activePane="bottomRight" state="frozen"/>
      <selection pane="bottomRight" activeCell="R120" sqref="R120:R121"/>
      <pageMargins left="0.7" right="0.7" top="0.75" bottom="0.75" header="0.3" footer="0.3"/>
    </customSheetView>
    <customSheetView guid="{F679EF4A-C5FD-4B86-B87B-D85968E0F2CA}" scale="70">
      <pane xSplit="1" ySplit="10" topLeftCell="J11" activePane="bottomRight" state="frozen"/>
      <selection pane="bottomRight" activeCell="R120" sqref="R120:R121"/>
      <pageMargins left="0.7" right="0.7" top="0.75" bottom="0.75" header="0.3" footer="0.3"/>
    </customSheetView>
    <customSheetView guid="{959E901C-5DDE-42EE-AE94-AB8976B5E00B}" scale="70">
      <pane xSplit="1" ySplit="10" topLeftCell="J11" activePane="bottomRight" state="frozen"/>
      <selection pane="bottomRight" activeCell="R120" sqref="R120:R121"/>
      <pageMargins left="0.7" right="0.7" top="0.75" bottom="0.75" header="0.3" footer="0.3"/>
    </customSheetView>
    <customSheetView guid="{69DABE6F-6182-4403-A4A2-969F10F1C13A}" scale="70">
      <pane xSplit="1" ySplit="10" topLeftCell="J11" activePane="bottomRight" state="frozen"/>
      <selection pane="bottomRight" activeCell="R120" sqref="R120:R121"/>
      <pageMargins left="0.7" right="0.7" top="0.75" bottom="0.75" header="0.3" footer="0.3"/>
    </customSheetView>
    <customSheetView guid="{09C3E205-981E-4A4E-BE89-8B7044192060}" scale="70">
      <pane xSplit="1" ySplit="10" topLeftCell="J11" activePane="bottomRight" state="frozen"/>
      <selection pane="bottomRight" activeCell="R120" sqref="R120:R121"/>
      <pageMargins left="0.7" right="0.7" top="0.75" bottom="0.75" header="0.3" footer="0.3"/>
    </customSheetView>
    <customSheetView guid="{6A602CB8-B24C-4ED4-B378-B27354BE0A1A}" scale="70">
      <pane xSplit="1" ySplit="10" topLeftCell="J11" activePane="bottomRight" state="frozen"/>
      <selection pane="bottomRight" activeCell="R120" sqref="R120:R121"/>
      <pageMargins left="0.7" right="0.7" top="0.75" bottom="0.75" header="0.3" footer="0.3"/>
    </customSheetView>
    <customSheetView guid="{7C130984-112A-4861-AA43-E2940708E3DC}" scale="70" state="hidden">
      <pane xSplit="1" ySplit="10" topLeftCell="J11" activePane="bottomRight" state="frozen"/>
      <selection pane="bottomRight" activeCell="A54" activeCellId="2" sqref="A17 A48 A54"/>
      <pageMargins left="0.7" right="0.7" top="0.75" bottom="0.75" header="0.3" footer="0.3"/>
    </customSheetView>
  </customSheetViews>
  <mergeCells count="42">
    <mergeCell ref="A2:Q2"/>
    <mergeCell ref="A3:Q3"/>
    <mergeCell ref="A4:A6"/>
    <mergeCell ref="B4:B5"/>
    <mergeCell ref="C4:C5"/>
    <mergeCell ref="D4:D5"/>
    <mergeCell ref="E4:E5"/>
    <mergeCell ref="F4:G5"/>
    <mergeCell ref="H4:I5"/>
    <mergeCell ref="J4:K5"/>
    <mergeCell ref="P4:Q5"/>
    <mergeCell ref="L4:M5"/>
    <mergeCell ref="N4:O5"/>
    <mergeCell ref="AF4:AF6"/>
    <mergeCell ref="A53:AE53"/>
    <mergeCell ref="A10:AE10"/>
    <mergeCell ref="A13:AE13"/>
    <mergeCell ref="A16:AE16"/>
    <mergeCell ref="A19:AE19"/>
    <mergeCell ref="A22:AE22"/>
    <mergeCell ref="A25:AE25"/>
    <mergeCell ref="A31:AE31"/>
    <mergeCell ref="A33:AE33"/>
    <mergeCell ref="A38:AE38"/>
    <mergeCell ref="A43:AE43"/>
    <mergeCell ref="A48:AE48"/>
    <mergeCell ref="A8:AE8"/>
    <mergeCell ref="Z4:AA5"/>
    <mergeCell ref="AB4:AC5"/>
    <mergeCell ref="A124:AE124"/>
    <mergeCell ref="A127:AE127"/>
    <mergeCell ref="A58:AE58"/>
    <mergeCell ref="A63:AE63"/>
    <mergeCell ref="A68:AE68"/>
    <mergeCell ref="A73:AE73"/>
    <mergeCell ref="A78:AE78"/>
    <mergeCell ref="A83:AE83"/>
    <mergeCell ref="V4:W5"/>
    <mergeCell ref="X4:Y5"/>
    <mergeCell ref="AD4:AE5"/>
    <mergeCell ref="R4:S5"/>
    <mergeCell ref="T4:U5"/>
  </mergeCells>
  <hyperlinks>
    <hyperlink ref="A3:Q3" location="Оглавление!A1" display=" &quot;Социально - экономическое развитие и инвестиции муниципального образования город Когалым&quot; "/>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zoomScale="50" zoomScaleNormal="50" workbookViewId="0">
      <pane xSplit="1" ySplit="6" topLeftCell="B34" activePane="bottomRight" state="frozen"/>
      <selection activeCell="AF39" sqref="AF39"/>
      <selection pane="topRight" activeCell="AF39" sqref="AF39"/>
      <selection pane="bottomLeft" activeCell="AF39" sqref="AF39"/>
      <selection pane="bottomRight" activeCell="AF39" sqref="AF39"/>
    </sheetView>
  </sheetViews>
  <sheetFormatPr defaultColWidth="9.140625" defaultRowHeight="21" x14ac:dyDescent="0.35"/>
  <cols>
    <col min="1" max="1" width="46.140625" style="402" customWidth="1"/>
    <col min="2" max="2" width="17.42578125" style="402" customWidth="1"/>
    <col min="3" max="3" width="14.85546875" style="402" bestFit="1" customWidth="1"/>
    <col min="4" max="4" width="17" style="402" customWidth="1"/>
    <col min="5" max="5" width="19.42578125" style="402" customWidth="1"/>
    <col min="6" max="6" width="16.5703125" style="402" bestFit="1" customWidth="1"/>
    <col min="7" max="8" width="13.42578125" style="402" bestFit="1" customWidth="1"/>
    <col min="9" max="9" width="13.5703125" style="402" bestFit="1" customWidth="1"/>
    <col min="10" max="10" width="17.28515625" style="402" bestFit="1" customWidth="1"/>
    <col min="11" max="11" width="13.5703125" style="402" bestFit="1" customWidth="1"/>
    <col min="12" max="12" width="14.85546875" style="402" bestFit="1" customWidth="1"/>
    <col min="13" max="13" width="13.5703125" style="402" bestFit="1" customWidth="1"/>
    <col min="14" max="14" width="17.28515625" style="402" bestFit="1" customWidth="1"/>
    <col min="15" max="15" width="13.5703125" style="402" bestFit="1" customWidth="1"/>
    <col min="16" max="16" width="17.28515625" style="402" bestFit="1" customWidth="1"/>
    <col min="17" max="17" width="13.5703125" style="402" bestFit="1" customWidth="1"/>
    <col min="18" max="18" width="17.28515625" style="402" bestFit="1" customWidth="1"/>
    <col min="19" max="19" width="13.5703125" style="402" bestFit="1" customWidth="1"/>
    <col min="20" max="20" width="17.28515625" style="402" bestFit="1" customWidth="1"/>
    <col min="21" max="21" width="13.5703125" style="402" bestFit="1" customWidth="1"/>
    <col min="22" max="22" width="17.28515625" style="402" bestFit="1" customWidth="1"/>
    <col min="23" max="23" width="13.5703125" style="402" bestFit="1" customWidth="1"/>
    <col min="24" max="24" width="13.28515625" style="402" customWidth="1"/>
    <col min="25" max="25" width="13.5703125" style="402" bestFit="1" customWidth="1"/>
    <col min="26" max="26" width="15.5703125" style="402" bestFit="1" customWidth="1"/>
    <col min="27" max="27" width="13.5703125" style="402" bestFit="1" customWidth="1"/>
    <col min="28" max="28" width="15.5703125" style="402" bestFit="1" customWidth="1"/>
    <col min="29" max="29" width="13.5703125" style="402" bestFit="1" customWidth="1"/>
    <col min="30" max="30" width="13.42578125" style="402" bestFit="1" customWidth="1"/>
    <col min="31" max="31" width="13.5703125" style="402" bestFit="1" customWidth="1"/>
    <col min="32" max="32" width="36.140625" style="402" customWidth="1"/>
    <col min="33" max="33" width="15.28515625" style="573" customWidth="1"/>
    <col min="34" max="16384" width="9.140625" style="402"/>
  </cols>
  <sheetData>
    <row r="1" spans="1:33" x14ac:dyDescent="0.35">
      <c r="A1" s="888" t="s">
        <v>0</v>
      </c>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row>
    <row r="2" spans="1:33" ht="27.75" customHeight="1" x14ac:dyDescent="0.35">
      <c r="A2" s="889" t="s">
        <v>40</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403" t="s">
        <v>1</v>
      </c>
    </row>
    <row r="3" spans="1:33" ht="75" customHeight="1" x14ac:dyDescent="0.35">
      <c r="A3" s="890" t="s">
        <v>2</v>
      </c>
      <c r="B3" s="882" t="s">
        <v>3</v>
      </c>
      <c r="C3" s="882" t="s">
        <v>3</v>
      </c>
      <c r="D3" s="882" t="s">
        <v>4</v>
      </c>
      <c r="E3" s="882" t="s">
        <v>5</v>
      </c>
      <c r="F3" s="884" t="s">
        <v>6</v>
      </c>
      <c r="G3" s="885"/>
      <c r="H3" s="884" t="s">
        <v>7</v>
      </c>
      <c r="I3" s="885"/>
      <c r="J3" s="884" t="s">
        <v>8</v>
      </c>
      <c r="K3" s="885"/>
      <c r="L3" s="884" t="s">
        <v>9</v>
      </c>
      <c r="M3" s="885"/>
      <c r="N3" s="884" t="s">
        <v>10</v>
      </c>
      <c r="O3" s="885"/>
      <c r="P3" s="884" t="s">
        <v>11</v>
      </c>
      <c r="Q3" s="885"/>
      <c r="R3" s="884" t="s">
        <v>12</v>
      </c>
      <c r="S3" s="885"/>
      <c r="T3" s="884" t="s">
        <v>13</v>
      </c>
      <c r="U3" s="885"/>
      <c r="V3" s="884" t="s">
        <v>14</v>
      </c>
      <c r="W3" s="885"/>
      <c r="X3" s="884" t="s">
        <v>15</v>
      </c>
      <c r="Y3" s="885"/>
      <c r="Z3" s="884" t="s">
        <v>16</v>
      </c>
      <c r="AA3" s="885"/>
      <c r="AB3" s="884" t="s">
        <v>17</v>
      </c>
      <c r="AC3" s="885"/>
      <c r="AD3" s="884" t="s">
        <v>18</v>
      </c>
      <c r="AE3" s="885"/>
      <c r="AF3" s="890" t="s">
        <v>19</v>
      </c>
    </row>
    <row r="4" spans="1:33" ht="18.75" customHeight="1" x14ac:dyDescent="0.35">
      <c r="A4" s="891"/>
      <c r="B4" s="883"/>
      <c r="C4" s="883"/>
      <c r="D4" s="883"/>
      <c r="E4" s="883"/>
      <c r="F4" s="886"/>
      <c r="G4" s="887"/>
      <c r="H4" s="886"/>
      <c r="I4" s="887"/>
      <c r="J4" s="886"/>
      <c r="K4" s="887"/>
      <c r="L4" s="886"/>
      <c r="M4" s="887"/>
      <c r="N4" s="886"/>
      <c r="O4" s="887"/>
      <c r="P4" s="886"/>
      <c r="Q4" s="887"/>
      <c r="R4" s="886"/>
      <c r="S4" s="887"/>
      <c r="T4" s="886"/>
      <c r="U4" s="887"/>
      <c r="V4" s="886"/>
      <c r="W4" s="887"/>
      <c r="X4" s="886"/>
      <c r="Y4" s="887"/>
      <c r="Z4" s="886"/>
      <c r="AA4" s="887"/>
      <c r="AB4" s="886"/>
      <c r="AC4" s="887"/>
      <c r="AD4" s="886"/>
      <c r="AE4" s="887"/>
      <c r="AF4" s="891"/>
    </row>
    <row r="5" spans="1:33" ht="56.25" x14ac:dyDescent="0.35">
      <c r="A5" s="404"/>
      <c r="B5" s="405">
        <v>2024</v>
      </c>
      <c r="C5" s="433">
        <v>45383</v>
      </c>
      <c r="D5" s="406">
        <f>C5</f>
        <v>45383</v>
      </c>
      <c r="E5" s="406">
        <f>C5</f>
        <v>45383</v>
      </c>
      <c r="F5" s="407" t="s">
        <v>20</v>
      </c>
      <c r="G5" s="407" t="s">
        <v>21</v>
      </c>
      <c r="H5" s="407" t="s">
        <v>22</v>
      </c>
      <c r="I5" s="407" t="s">
        <v>23</v>
      </c>
      <c r="J5" s="407" t="s">
        <v>22</v>
      </c>
      <c r="K5" s="407" t="s">
        <v>23</v>
      </c>
      <c r="L5" s="407" t="s">
        <v>22</v>
      </c>
      <c r="M5" s="407" t="s">
        <v>23</v>
      </c>
      <c r="N5" s="407" t="s">
        <v>22</v>
      </c>
      <c r="O5" s="407" t="s">
        <v>23</v>
      </c>
      <c r="P5" s="407" t="s">
        <v>22</v>
      </c>
      <c r="Q5" s="407" t="s">
        <v>23</v>
      </c>
      <c r="R5" s="407" t="s">
        <v>22</v>
      </c>
      <c r="S5" s="407" t="s">
        <v>23</v>
      </c>
      <c r="T5" s="407" t="s">
        <v>22</v>
      </c>
      <c r="U5" s="407" t="s">
        <v>23</v>
      </c>
      <c r="V5" s="407" t="s">
        <v>22</v>
      </c>
      <c r="W5" s="407" t="s">
        <v>23</v>
      </c>
      <c r="X5" s="407" t="s">
        <v>22</v>
      </c>
      <c r="Y5" s="407" t="s">
        <v>23</v>
      </c>
      <c r="Z5" s="407" t="s">
        <v>22</v>
      </c>
      <c r="AA5" s="407" t="s">
        <v>23</v>
      </c>
      <c r="AB5" s="407" t="s">
        <v>22</v>
      </c>
      <c r="AC5" s="407" t="s">
        <v>23</v>
      </c>
      <c r="AD5" s="407" t="s">
        <v>22</v>
      </c>
      <c r="AE5" s="407" t="s">
        <v>23</v>
      </c>
      <c r="AF5" s="892"/>
    </row>
    <row r="6" spans="1:33" x14ac:dyDescent="0.35">
      <c r="A6" s="408">
        <v>1</v>
      </c>
      <c r="B6" s="408">
        <v>2</v>
      </c>
      <c r="C6" s="408">
        <v>3</v>
      </c>
      <c r="D6" s="408">
        <v>4</v>
      </c>
      <c r="E6" s="408">
        <v>5</v>
      </c>
      <c r="F6" s="408">
        <v>6</v>
      </c>
      <c r="G6" s="408">
        <v>7</v>
      </c>
      <c r="H6" s="408">
        <v>8</v>
      </c>
      <c r="I6" s="408">
        <v>9</v>
      </c>
      <c r="J6" s="408">
        <v>10</v>
      </c>
      <c r="K6" s="408">
        <v>11</v>
      </c>
      <c r="L6" s="408">
        <v>12</v>
      </c>
      <c r="M6" s="408">
        <v>13</v>
      </c>
      <c r="N6" s="408">
        <v>14</v>
      </c>
      <c r="O6" s="408">
        <v>15</v>
      </c>
      <c r="P6" s="408">
        <v>16</v>
      </c>
      <c r="Q6" s="408">
        <v>17</v>
      </c>
      <c r="R6" s="408">
        <v>18</v>
      </c>
      <c r="S6" s="408">
        <v>19</v>
      </c>
      <c r="T6" s="408">
        <v>20</v>
      </c>
      <c r="U6" s="408">
        <v>21</v>
      </c>
      <c r="V6" s="408">
        <v>22</v>
      </c>
      <c r="W6" s="408">
        <v>23</v>
      </c>
      <c r="X6" s="408">
        <v>24</v>
      </c>
      <c r="Y6" s="408">
        <v>25</v>
      </c>
      <c r="Z6" s="408">
        <v>26</v>
      </c>
      <c r="AA6" s="408">
        <v>27</v>
      </c>
      <c r="AB6" s="408">
        <v>28</v>
      </c>
      <c r="AC6" s="408">
        <v>29</v>
      </c>
      <c r="AD6" s="408">
        <v>30</v>
      </c>
      <c r="AE6" s="408">
        <v>31</v>
      </c>
      <c r="AF6" s="409">
        <v>32</v>
      </c>
    </row>
    <row r="7" spans="1:33" ht="56.25" customHeight="1" x14ac:dyDescent="0.35">
      <c r="A7" s="548" t="s">
        <v>36</v>
      </c>
      <c r="B7" s="549"/>
      <c r="C7" s="549"/>
      <c r="D7" s="549"/>
      <c r="E7" s="549"/>
      <c r="F7" s="549"/>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430"/>
    </row>
    <row r="8" spans="1:33" x14ac:dyDescent="0.35">
      <c r="A8" s="411" t="s">
        <v>54</v>
      </c>
      <c r="B8" s="410"/>
      <c r="C8" s="410"/>
      <c r="D8" s="410"/>
      <c r="E8" s="410"/>
      <c r="F8" s="410"/>
      <c r="G8" s="410"/>
      <c r="H8" s="426"/>
      <c r="I8" s="426"/>
      <c r="J8" s="426"/>
      <c r="K8" s="426"/>
      <c r="L8" s="426"/>
      <c r="M8" s="426"/>
      <c r="N8" s="426"/>
      <c r="O8" s="426"/>
      <c r="P8" s="426"/>
      <c r="Q8" s="426"/>
      <c r="R8" s="426"/>
      <c r="S8" s="426"/>
      <c r="T8" s="426"/>
      <c r="U8" s="426"/>
      <c r="V8" s="426"/>
      <c r="W8" s="426"/>
      <c r="X8" s="426"/>
      <c r="Y8" s="426"/>
      <c r="Z8" s="426"/>
      <c r="AA8" s="426"/>
      <c r="AB8" s="426"/>
      <c r="AC8" s="426"/>
      <c r="AD8" s="426"/>
      <c r="AE8" s="426"/>
      <c r="AF8" s="430"/>
    </row>
    <row r="9" spans="1:33" ht="57" x14ac:dyDescent="0.35">
      <c r="A9" s="417" t="s">
        <v>24</v>
      </c>
      <c r="B9" s="539"/>
      <c r="C9" s="539"/>
      <c r="D9" s="539"/>
      <c r="E9" s="539"/>
      <c r="F9" s="540"/>
      <c r="G9" s="540"/>
      <c r="H9" s="537"/>
      <c r="I9" s="537"/>
      <c r="J9" s="537"/>
      <c r="K9" s="537"/>
      <c r="L9" s="537"/>
      <c r="M9" s="537"/>
      <c r="N9" s="537"/>
      <c r="O9" s="537"/>
      <c r="P9" s="537"/>
      <c r="Q9" s="537"/>
      <c r="R9" s="537"/>
      <c r="S9" s="537"/>
      <c r="T9" s="537"/>
      <c r="U9" s="537"/>
      <c r="V9" s="537"/>
      <c r="W9" s="537"/>
      <c r="X9" s="537"/>
      <c r="Y9" s="537"/>
      <c r="Z9" s="537"/>
      <c r="AA9" s="537"/>
      <c r="AB9" s="537"/>
      <c r="AC9" s="537"/>
      <c r="AD9" s="537"/>
      <c r="AE9" s="537"/>
      <c r="AF9" s="431"/>
    </row>
    <row r="10" spans="1:33" x14ac:dyDescent="0.35">
      <c r="A10" s="554" t="s">
        <v>65</v>
      </c>
      <c r="B10" s="560">
        <f>B11+B12</f>
        <v>29300.500000000004</v>
      </c>
      <c r="C10" s="560">
        <f>C11+C12</f>
        <v>1992.15915</v>
      </c>
      <c r="D10" s="560">
        <f t="shared" ref="D10:E10" si="0">D11+D12</f>
        <v>1896.2952799999998</v>
      </c>
      <c r="E10" s="560">
        <f t="shared" si="0"/>
        <v>1569.60113</v>
      </c>
      <c r="F10" s="571">
        <f>E10/B10</f>
        <v>5.3569090288561626E-2</v>
      </c>
      <c r="G10" s="571">
        <f>E10/C10</f>
        <v>0.78788942640451198</v>
      </c>
      <c r="H10" s="561">
        <f t="shared" ref="H10" si="1">H11+H12</f>
        <v>46.614999999999995</v>
      </c>
      <c r="I10" s="561">
        <f t="shared" ref="I10" si="2">I11+I12</f>
        <v>13</v>
      </c>
      <c r="J10" s="561">
        <f t="shared" ref="J10" si="3">J11+J12</f>
        <v>1205.80486</v>
      </c>
      <c r="K10" s="561">
        <f t="shared" ref="K10" si="4">K11+K12</f>
        <v>814.41613000000007</v>
      </c>
      <c r="L10" s="561">
        <f t="shared" ref="L10" si="5">L11+L12</f>
        <v>739.73928999999998</v>
      </c>
      <c r="M10" s="561">
        <f t="shared" ref="M10" si="6">M11+M12</f>
        <v>742.18499999999995</v>
      </c>
      <c r="N10" s="561">
        <f t="shared" ref="N10" si="7">N11+N12</f>
        <v>1290.4108099999999</v>
      </c>
      <c r="O10" s="561">
        <f t="shared" ref="O10" si="8">O11+O12</f>
        <v>0</v>
      </c>
      <c r="P10" s="561">
        <f t="shared" ref="P10" si="9">P11+P12</f>
        <v>763.61928999999998</v>
      </c>
      <c r="Q10" s="561">
        <f t="shared" ref="Q10" si="10">Q11+Q12</f>
        <v>0</v>
      </c>
      <c r="R10" s="561">
        <f t="shared" ref="R10" si="11">R11+R12</f>
        <v>10585.35167</v>
      </c>
      <c r="S10" s="561">
        <f t="shared" ref="S10" si="12">S11+S12</f>
        <v>0</v>
      </c>
      <c r="T10" s="561">
        <f t="shared" ref="T10" si="13">T11+T12</f>
        <v>7398.2526699999999</v>
      </c>
      <c r="U10" s="561">
        <f t="shared" ref="U10" si="14">U11+U12</f>
        <v>0</v>
      </c>
      <c r="V10" s="561">
        <f t="shared" ref="V10" si="15">V11+V12</f>
        <v>4833.71857</v>
      </c>
      <c r="W10" s="561">
        <f t="shared" ref="W10" si="16">W11+W12</f>
        <v>0</v>
      </c>
      <c r="X10" s="561">
        <f t="shared" ref="X10" si="17">X11+X12</f>
        <v>646.53928999999994</v>
      </c>
      <c r="Y10" s="561">
        <f t="shared" ref="Y10" si="18">Y11+Y12</f>
        <v>0</v>
      </c>
      <c r="Z10" s="561">
        <f t="shared" ref="Z10" si="19">Z11+Z12</f>
        <v>707.11428999999998</v>
      </c>
      <c r="AA10" s="561">
        <f t="shared" ref="AA10" si="20">AA11+AA12</f>
        <v>0</v>
      </c>
      <c r="AB10" s="561">
        <f t="shared" ref="AB10" si="21">AB11+AB12</f>
        <v>726.61426000000006</v>
      </c>
      <c r="AC10" s="561">
        <f t="shared" ref="AC10" si="22">AC11+AC12</f>
        <v>0</v>
      </c>
      <c r="AD10" s="561">
        <f t="shared" ref="AD10" si="23">AD11+AD12</f>
        <v>356.72</v>
      </c>
      <c r="AE10" s="561">
        <f t="shared" ref="AE10" si="24">AE11+AE12</f>
        <v>0</v>
      </c>
      <c r="AF10" s="431"/>
    </row>
    <row r="11" spans="1:33" x14ac:dyDescent="0.35">
      <c r="A11" s="414" t="s">
        <v>32</v>
      </c>
      <c r="B11" s="534">
        <f>B15+B19+B34</f>
        <v>8697.2000000000007</v>
      </c>
      <c r="C11" s="534">
        <f>C15+C19+C34</f>
        <v>556.5</v>
      </c>
      <c r="D11" s="534">
        <f>D15+D19+D34</f>
        <v>529.87612999999999</v>
      </c>
      <c r="E11" s="534">
        <f t="shared" ref="E11" si="25">E15+E19+E34</f>
        <v>529.88312999999994</v>
      </c>
      <c r="F11" s="572">
        <f>E11/B11</f>
        <v>6.0925715172699249E-2</v>
      </c>
      <c r="G11" s="572">
        <f>E11/C11</f>
        <v>0.95217094339622632</v>
      </c>
      <c r="H11" s="428">
        <f>H15+H19+H34</f>
        <v>15</v>
      </c>
      <c r="I11" s="428">
        <f t="shared" ref="I11:AE11" si="26">I15+I19+I34</f>
        <v>0</v>
      </c>
      <c r="J11" s="428">
        <f t="shared" si="26"/>
        <v>276.39999999999998</v>
      </c>
      <c r="K11" s="428">
        <f t="shared" si="26"/>
        <v>270.55313000000001</v>
      </c>
      <c r="L11" s="428">
        <f t="shared" si="26"/>
        <v>265.10000000000002</v>
      </c>
      <c r="M11" s="428">
        <f t="shared" si="26"/>
        <v>259.33</v>
      </c>
      <c r="N11" s="428">
        <f t="shared" si="26"/>
        <v>265.10000000000002</v>
      </c>
      <c r="O11" s="428">
        <f t="shared" si="26"/>
        <v>0</v>
      </c>
      <c r="P11" s="428">
        <f t="shared" si="26"/>
        <v>265.10000000000002</v>
      </c>
      <c r="Q11" s="428">
        <f t="shared" si="26"/>
        <v>0</v>
      </c>
      <c r="R11" s="428">
        <f t="shared" si="26"/>
        <v>2515.1</v>
      </c>
      <c r="S11" s="428">
        <f t="shared" si="26"/>
        <v>0</v>
      </c>
      <c r="T11" s="428">
        <f t="shared" si="26"/>
        <v>2115.1</v>
      </c>
      <c r="U11" s="428">
        <f t="shared" si="26"/>
        <v>0</v>
      </c>
      <c r="V11" s="428">
        <f t="shared" si="26"/>
        <v>2057</v>
      </c>
      <c r="W11" s="428">
        <f t="shared" si="26"/>
        <v>0</v>
      </c>
      <c r="X11" s="428">
        <f t="shared" si="26"/>
        <v>223.7</v>
      </c>
      <c r="Y11" s="428">
        <f t="shared" si="26"/>
        <v>0</v>
      </c>
      <c r="Z11" s="428">
        <f t="shared" si="26"/>
        <v>266.10000000000002</v>
      </c>
      <c r="AA11" s="428">
        <f t="shared" si="26"/>
        <v>0</v>
      </c>
      <c r="AB11" s="428">
        <f t="shared" si="26"/>
        <v>265.39999999999998</v>
      </c>
      <c r="AC11" s="428">
        <f t="shared" si="26"/>
        <v>0</v>
      </c>
      <c r="AD11" s="428">
        <f t="shared" si="26"/>
        <v>168.1</v>
      </c>
      <c r="AE11" s="428">
        <f t="shared" si="26"/>
        <v>0</v>
      </c>
      <c r="AF11" s="431"/>
    </row>
    <row r="12" spans="1:33" x14ac:dyDescent="0.35">
      <c r="A12" s="414" t="s">
        <v>33</v>
      </c>
      <c r="B12" s="534">
        <f>B16+B20</f>
        <v>20603.300000000003</v>
      </c>
      <c r="C12" s="534">
        <f>C16+C20</f>
        <v>1435.65915</v>
      </c>
      <c r="D12" s="534">
        <f t="shared" ref="D12:E12" si="27">D16+D20</f>
        <v>1366.4191499999999</v>
      </c>
      <c r="E12" s="534">
        <f t="shared" si="27"/>
        <v>1039.7180000000001</v>
      </c>
      <c r="F12" s="572">
        <f>E12/B12</f>
        <v>5.046366358787184E-2</v>
      </c>
      <c r="G12" s="572">
        <f>E12/C12</f>
        <v>0.72420950334903667</v>
      </c>
      <c r="H12" s="428">
        <f>H16+H20</f>
        <v>31.614999999999998</v>
      </c>
      <c r="I12" s="428">
        <f t="shared" ref="I12:AE12" si="28">I16+I20</f>
        <v>13</v>
      </c>
      <c r="J12" s="428">
        <f t="shared" si="28"/>
        <v>929.40485999999999</v>
      </c>
      <c r="K12" s="428">
        <f t="shared" si="28"/>
        <v>543.86300000000006</v>
      </c>
      <c r="L12" s="428">
        <f t="shared" si="28"/>
        <v>474.63929000000002</v>
      </c>
      <c r="M12" s="428">
        <f t="shared" si="28"/>
        <v>482.85500000000002</v>
      </c>
      <c r="N12" s="428">
        <f t="shared" si="28"/>
        <v>1025.3108099999999</v>
      </c>
      <c r="O12" s="428">
        <f t="shared" si="28"/>
        <v>0</v>
      </c>
      <c r="P12" s="428">
        <f t="shared" si="28"/>
        <v>498.51928999999996</v>
      </c>
      <c r="Q12" s="428">
        <f t="shared" si="28"/>
        <v>0</v>
      </c>
      <c r="R12" s="428">
        <f t="shared" si="28"/>
        <v>8070.2516700000006</v>
      </c>
      <c r="S12" s="428">
        <f t="shared" si="28"/>
        <v>0</v>
      </c>
      <c r="T12" s="428">
        <f t="shared" si="28"/>
        <v>5283.1526700000004</v>
      </c>
      <c r="U12" s="428">
        <f t="shared" si="28"/>
        <v>0</v>
      </c>
      <c r="V12" s="428">
        <f t="shared" si="28"/>
        <v>2776.71857</v>
      </c>
      <c r="W12" s="428">
        <f t="shared" si="28"/>
        <v>0</v>
      </c>
      <c r="X12" s="428">
        <f t="shared" si="28"/>
        <v>422.83929000000001</v>
      </c>
      <c r="Y12" s="428">
        <f t="shared" si="28"/>
        <v>0</v>
      </c>
      <c r="Z12" s="428">
        <f t="shared" si="28"/>
        <v>441.01429000000002</v>
      </c>
      <c r="AA12" s="428">
        <f t="shared" si="28"/>
        <v>0</v>
      </c>
      <c r="AB12" s="428">
        <f t="shared" si="28"/>
        <v>461.21426000000002</v>
      </c>
      <c r="AC12" s="428">
        <f t="shared" si="28"/>
        <v>0</v>
      </c>
      <c r="AD12" s="428">
        <f t="shared" si="28"/>
        <v>188.62</v>
      </c>
      <c r="AE12" s="428">
        <f t="shared" si="28"/>
        <v>0</v>
      </c>
      <c r="AF12" s="431"/>
    </row>
    <row r="13" spans="1:33" ht="409.5" x14ac:dyDescent="0.35">
      <c r="A13" s="579" t="s">
        <v>25</v>
      </c>
      <c r="B13" s="564"/>
      <c r="C13" s="564"/>
      <c r="D13" s="564"/>
      <c r="E13" s="564"/>
      <c r="F13" s="565"/>
      <c r="G13" s="565"/>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78" t="s">
        <v>561</v>
      </c>
    </row>
    <row r="14" spans="1:33" x14ac:dyDescent="0.35">
      <c r="A14" s="554" t="s">
        <v>65</v>
      </c>
      <c r="B14" s="560">
        <f>B15+B16</f>
        <v>1945.6</v>
      </c>
      <c r="C14" s="560">
        <f t="shared" ref="C14:E14" si="29">C15+C16</f>
        <v>476.43</v>
      </c>
      <c r="D14" s="560">
        <f t="shared" si="29"/>
        <v>380.56612999999999</v>
      </c>
      <c r="E14" s="560">
        <f t="shared" si="29"/>
        <v>380.57312999999999</v>
      </c>
      <c r="F14" s="571">
        <f>E14/B14</f>
        <v>0.19560707750822368</v>
      </c>
      <c r="G14" s="571">
        <f>E14/C14</f>
        <v>0.79880177570681943</v>
      </c>
      <c r="H14" s="561">
        <f>H15+H16</f>
        <v>46.614999999999995</v>
      </c>
      <c r="I14" s="561">
        <f t="shared" ref="I14:AE14" si="30">I15+I16</f>
        <v>13</v>
      </c>
      <c r="J14" s="561">
        <f t="shared" si="30"/>
        <v>249.8</v>
      </c>
      <c r="K14" s="561">
        <f t="shared" si="30"/>
        <v>217.31313</v>
      </c>
      <c r="L14" s="561">
        <f t="shared" si="30"/>
        <v>180.01499999999999</v>
      </c>
      <c r="M14" s="561">
        <f t="shared" si="30"/>
        <v>150.26</v>
      </c>
      <c r="N14" s="561">
        <f t="shared" si="30"/>
        <v>139.6</v>
      </c>
      <c r="O14" s="561">
        <f t="shared" si="30"/>
        <v>0</v>
      </c>
      <c r="P14" s="561">
        <f t="shared" si="30"/>
        <v>203.89499999999998</v>
      </c>
      <c r="Q14" s="561">
        <f t="shared" si="30"/>
        <v>0</v>
      </c>
      <c r="R14" s="561">
        <f t="shared" si="30"/>
        <v>175.2</v>
      </c>
      <c r="S14" s="561">
        <f t="shared" si="30"/>
        <v>0</v>
      </c>
      <c r="T14" s="561">
        <f t="shared" si="30"/>
        <v>191.6</v>
      </c>
      <c r="U14" s="561">
        <f t="shared" si="30"/>
        <v>0</v>
      </c>
      <c r="V14" s="561">
        <f t="shared" si="30"/>
        <v>31.3</v>
      </c>
      <c r="W14" s="561">
        <f t="shared" si="30"/>
        <v>0</v>
      </c>
      <c r="X14" s="561">
        <f t="shared" si="30"/>
        <v>86.814999999999998</v>
      </c>
      <c r="Y14" s="561">
        <f t="shared" si="30"/>
        <v>0</v>
      </c>
      <c r="Z14" s="561">
        <f t="shared" si="30"/>
        <v>179.89999999999998</v>
      </c>
      <c r="AA14" s="561">
        <f t="shared" si="30"/>
        <v>0</v>
      </c>
      <c r="AB14" s="561">
        <f t="shared" si="30"/>
        <v>204.14000000000001</v>
      </c>
      <c r="AC14" s="561">
        <f t="shared" si="30"/>
        <v>0</v>
      </c>
      <c r="AD14" s="561">
        <f t="shared" si="30"/>
        <v>256.72000000000003</v>
      </c>
      <c r="AE14" s="561">
        <f t="shared" si="30"/>
        <v>0</v>
      </c>
      <c r="AF14" s="431"/>
      <c r="AG14" s="576">
        <f>C14-E14</f>
        <v>95.856870000000015</v>
      </c>
    </row>
    <row r="15" spans="1:33" x14ac:dyDescent="0.35">
      <c r="A15" s="414" t="s">
        <v>32</v>
      </c>
      <c r="B15" s="534">
        <f>H15+J15+L15+N15+P15+R15+T15+V15+X15+Z15+AB15+AD15</f>
        <v>647.19999999999993</v>
      </c>
      <c r="C15" s="412">
        <f>H15+J15+L15</f>
        <v>156.5</v>
      </c>
      <c r="D15" s="413">
        <v>129.87612999999999</v>
      </c>
      <c r="E15" s="534">
        <f>I15+K15+M15+O15+Q15+S15+U15+W15+Y15+AA15+AC15+AE15</f>
        <v>129.88312999999999</v>
      </c>
      <c r="F15" s="572" t="e">
        <f>E15/B150</f>
        <v>#DIV/0!</v>
      </c>
      <c r="G15" s="572">
        <f>E15/C15</f>
        <v>0.82992415335463254</v>
      </c>
      <c r="H15" s="428">
        <v>15</v>
      </c>
      <c r="I15" s="428"/>
      <c r="J15" s="428">
        <v>76.400000000000006</v>
      </c>
      <c r="K15" s="428">
        <v>70.553129999999996</v>
      </c>
      <c r="L15" s="428">
        <v>65.099999999999994</v>
      </c>
      <c r="M15" s="428">
        <v>59.33</v>
      </c>
      <c r="N15" s="428">
        <v>65.099999999999994</v>
      </c>
      <c r="O15" s="428"/>
      <c r="P15" s="428">
        <v>65.099999999999994</v>
      </c>
      <c r="Q15" s="428"/>
      <c r="R15" s="428">
        <v>65.099999999999994</v>
      </c>
      <c r="S15" s="428"/>
      <c r="T15" s="428">
        <v>65.099999999999994</v>
      </c>
      <c r="U15" s="428"/>
      <c r="V15" s="428">
        <v>7</v>
      </c>
      <c r="W15" s="428"/>
      <c r="X15" s="428">
        <v>23.7</v>
      </c>
      <c r="Y15" s="428"/>
      <c r="Z15" s="428">
        <v>66.099999999999994</v>
      </c>
      <c r="AA15" s="428"/>
      <c r="AB15" s="428">
        <v>65.400000000000006</v>
      </c>
      <c r="AC15" s="428"/>
      <c r="AD15" s="428">
        <v>68.099999999999994</v>
      </c>
      <c r="AE15" s="428"/>
      <c r="AF15" s="431"/>
      <c r="AG15" s="574">
        <f t="shared" ref="AG15:AG38" si="31">C15-E15</f>
        <v>26.616870000000006</v>
      </c>
    </row>
    <row r="16" spans="1:33" x14ac:dyDescent="0.35">
      <c r="A16" s="414" t="s">
        <v>33</v>
      </c>
      <c r="B16" s="534">
        <f>H16+J16+L16+N16+P16+R16+T16+V16+X16+Z16+AB16+AD16</f>
        <v>1298.4000000000001</v>
      </c>
      <c r="C16" s="412">
        <f>H16+J16+L16</f>
        <v>319.93</v>
      </c>
      <c r="D16" s="412">
        <f>E16</f>
        <v>250.69</v>
      </c>
      <c r="E16" s="534">
        <f>I16+K16+M16+O16+Q16+S16+U16+W16+Y16+AA16+AC16+AE16</f>
        <v>250.69</v>
      </c>
      <c r="F16" s="572">
        <f>E16/B16</f>
        <v>0.19307609365372766</v>
      </c>
      <c r="G16" s="572">
        <f>E16/C16</f>
        <v>0.78357765761260278</v>
      </c>
      <c r="H16" s="428">
        <v>31.614999999999998</v>
      </c>
      <c r="I16" s="428">
        <v>13</v>
      </c>
      <c r="J16" s="428">
        <v>173.4</v>
      </c>
      <c r="K16" s="428">
        <v>146.76</v>
      </c>
      <c r="L16" s="428">
        <v>114.91500000000001</v>
      </c>
      <c r="M16" s="428">
        <v>90.93</v>
      </c>
      <c r="N16" s="428">
        <v>74.5</v>
      </c>
      <c r="O16" s="428"/>
      <c r="P16" s="428">
        <v>138.79499999999999</v>
      </c>
      <c r="Q16" s="428"/>
      <c r="R16" s="428">
        <v>110.1</v>
      </c>
      <c r="S16" s="428"/>
      <c r="T16" s="428">
        <v>126.5</v>
      </c>
      <c r="U16" s="428"/>
      <c r="V16" s="428">
        <v>24.3</v>
      </c>
      <c r="W16" s="428"/>
      <c r="X16" s="428">
        <v>63.115000000000002</v>
      </c>
      <c r="Y16" s="428"/>
      <c r="Z16" s="428">
        <v>113.8</v>
      </c>
      <c r="AA16" s="428"/>
      <c r="AB16" s="428">
        <v>138.74</v>
      </c>
      <c r="AC16" s="428"/>
      <c r="AD16" s="428">
        <v>188.62</v>
      </c>
      <c r="AE16" s="428"/>
      <c r="AF16" s="431"/>
      <c r="AG16" s="574">
        <f t="shared" si="31"/>
        <v>69.240000000000009</v>
      </c>
    </row>
    <row r="17" spans="1:33" ht="38.25" x14ac:dyDescent="0.35">
      <c r="A17" s="563" t="s">
        <v>26</v>
      </c>
      <c r="B17" s="564"/>
      <c r="C17" s="564"/>
      <c r="D17" s="564"/>
      <c r="E17" s="564"/>
      <c r="F17" s="565"/>
      <c r="G17" s="565"/>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431"/>
    </row>
    <row r="18" spans="1:33" x14ac:dyDescent="0.35">
      <c r="A18" s="554" t="s">
        <v>65</v>
      </c>
      <c r="B18" s="560">
        <f>B19+B20</f>
        <v>27254.9</v>
      </c>
      <c r="C18" s="560">
        <f t="shared" ref="C18:E18" si="32">C19+C20</f>
        <v>1515.7291499999999</v>
      </c>
      <c r="D18" s="560">
        <f t="shared" si="32"/>
        <v>1515.7291499999999</v>
      </c>
      <c r="E18" s="560">
        <f t="shared" si="32"/>
        <v>1189.028</v>
      </c>
      <c r="F18" s="571">
        <f>E18/B18</f>
        <v>4.3626210332820888E-2</v>
      </c>
      <c r="G18" s="571">
        <f>E18/C18</f>
        <v>0.78445941347766523</v>
      </c>
      <c r="H18" s="561">
        <f>H19+H20</f>
        <v>0</v>
      </c>
      <c r="I18" s="561">
        <f t="shared" ref="I18:AE18" si="33">I19+I20</f>
        <v>0</v>
      </c>
      <c r="J18" s="561">
        <f t="shared" si="33"/>
        <v>956.00486000000001</v>
      </c>
      <c r="K18" s="561">
        <f t="shared" si="33"/>
        <v>597.10300000000007</v>
      </c>
      <c r="L18" s="561">
        <f t="shared" si="33"/>
        <v>559.72429</v>
      </c>
      <c r="M18" s="561">
        <f t="shared" si="33"/>
        <v>591.92499999999995</v>
      </c>
      <c r="N18" s="561">
        <f t="shared" si="33"/>
        <v>1150.8108099999999</v>
      </c>
      <c r="O18" s="561">
        <f t="shared" si="33"/>
        <v>0</v>
      </c>
      <c r="P18" s="561">
        <f t="shared" si="33"/>
        <v>559.72429</v>
      </c>
      <c r="Q18" s="561">
        <f t="shared" si="33"/>
        <v>0</v>
      </c>
      <c r="R18" s="561">
        <f t="shared" si="33"/>
        <v>10410.151669999999</v>
      </c>
      <c r="S18" s="561">
        <f t="shared" si="33"/>
        <v>0</v>
      </c>
      <c r="T18" s="561">
        <f t="shared" si="33"/>
        <v>7206.6526700000004</v>
      </c>
      <c r="U18" s="561">
        <f t="shared" si="33"/>
        <v>0</v>
      </c>
      <c r="V18" s="561">
        <f t="shared" si="33"/>
        <v>4802.4185699999998</v>
      </c>
      <c r="W18" s="561">
        <f t="shared" si="33"/>
        <v>0</v>
      </c>
      <c r="X18" s="561">
        <f t="shared" si="33"/>
        <v>559.72429</v>
      </c>
      <c r="Y18" s="561">
        <f t="shared" si="33"/>
        <v>0</v>
      </c>
      <c r="Z18" s="561">
        <f t="shared" si="33"/>
        <v>527.21429000000001</v>
      </c>
      <c r="AA18" s="561">
        <f t="shared" si="33"/>
        <v>0</v>
      </c>
      <c r="AB18" s="561">
        <f t="shared" si="33"/>
        <v>522.47425999999996</v>
      </c>
      <c r="AC18" s="561">
        <f t="shared" si="33"/>
        <v>0</v>
      </c>
      <c r="AD18" s="561">
        <f t="shared" si="33"/>
        <v>0</v>
      </c>
      <c r="AE18" s="561">
        <f t="shared" si="33"/>
        <v>0</v>
      </c>
      <c r="AF18" s="431"/>
      <c r="AG18" s="574">
        <f t="shared" si="31"/>
        <v>326.70114999999987</v>
      </c>
    </row>
    <row r="19" spans="1:33" x14ac:dyDescent="0.35">
      <c r="A19" s="414" t="s">
        <v>32</v>
      </c>
      <c r="B19" s="534">
        <f>B23+B27</f>
        <v>7950</v>
      </c>
      <c r="C19" s="534">
        <f t="shared" ref="C19:E19" si="34">C23+C27</f>
        <v>400</v>
      </c>
      <c r="D19" s="534">
        <f>D23+D27</f>
        <v>400</v>
      </c>
      <c r="E19" s="534">
        <f t="shared" si="34"/>
        <v>400</v>
      </c>
      <c r="F19" s="572">
        <f>E19/B19</f>
        <v>5.0314465408805034E-2</v>
      </c>
      <c r="G19" s="572">
        <f>E19/C19</f>
        <v>1</v>
      </c>
      <c r="H19" s="561">
        <f>H23+H27</f>
        <v>0</v>
      </c>
      <c r="I19" s="561">
        <f t="shared" ref="I19:AE19" si="35">I23+I27</f>
        <v>0</v>
      </c>
      <c r="J19" s="561">
        <f t="shared" si="35"/>
        <v>200</v>
      </c>
      <c r="K19" s="561">
        <f t="shared" si="35"/>
        <v>200</v>
      </c>
      <c r="L19" s="561">
        <f t="shared" si="35"/>
        <v>200</v>
      </c>
      <c r="M19" s="561">
        <f t="shared" si="35"/>
        <v>200</v>
      </c>
      <c r="N19" s="561">
        <f t="shared" si="35"/>
        <v>200</v>
      </c>
      <c r="O19" s="561">
        <f t="shared" si="35"/>
        <v>0</v>
      </c>
      <c r="P19" s="561">
        <f t="shared" si="35"/>
        <v>200</v>
      </c>
      <c r="Q19" s="561">
        <f t="shared" si="35"/>
        <v>0</v>
      </c>
      <c r="R19" s="561">
        <f t="shared" si="35"/>
        <v>2450</v>
      </c>
      <c r="S19" s="561">
        <f t="shared" si="35"/>
        <v>0</v>
      </c>
      <c r="T19" s="561">
        <f t="shared" si="35"/>
        <v>2050</v>
      </c>
      <c r="U19" s="561">
        <f t="shared" si="35"/>
        <v>0</v>
      </c>
      <c r="V19" s="561">
        <f t="shared" si="35"/>
        <v>2050</v>
      </c>
      <c r="W19" s="561">
        <f t="shared" si="35"/>
        <v>0</v>
      </c>
      <c r="X19" s="561">
        <f t="shared" si="35"/>
        <v>200</v>
      </c>
      <c r="Y19" s="561">
        <f t="shared" si="35"/>
        <v>0</v>
      </c>
      <c r="Z19" s="561">
        <f t="shared" si="35"/>
        <v>200</v>
      </c>
      <c r="AA19" s="561">
        <f t="shared" si="35"/>
        <v>0</v>
      </c>
      <c r="AB19" s="561">
        <f t="shared" si="35"/>
        <v>200</v>
      </c>
      <c r="AC19" s="561">
        <f t="shared" si="35"/>
        <v>0</v>
      </c>
      <c r="AD19" s="561">
        <f t="shared" si="35"/>
        <v>0</v>
      </c>
      <c r="AE19" s="561">
        <f t="shared" si="35"/>
        <v>0</v>
      </c>
      <c r="AF19" s="431"/>
      <c r="AG19" s="574">
        <f t="shared" si="31"/>
        <v>0</v>
      </c>
    </row>
    <row r="20" spans="1:33" x14ac:dyDescent="0.35">
      <c r="A20" s="414" t="s">
        <v>33</v>
      </c>
      <c r="B20" s="534">
        <f>B24+B28+B31</f>
        <v>19304.900000000001</v>
      </c>
      <c r="C20" s="534">
        <f t="shared" ref="C20:E20" si="36">C24+C28+C31</f>
        <v>1115.7291499999999</v>
      </c>
      <c r="D20" s="534">
        <f>D24+D28+D31</f>
        <v>1115.7291499999999</v>
      </c>
      <c r="E20" s="534">
        <f t="shared" si="36"/>
        <v>789.02800000000002</v>
      </c>
      <c r="F20" s="572">
        <f>E20/B20</f>
        <v>4.0871902988360465E-2</v>
      </c>
      <c r="G20" s="572">
        <f>E20/C20</f>
        <v>0.70718596892444741</v>
      </c>
      <c r="H20" s="561">
        <f>H24+H28+H31</f>
        <v>0</v>
      </c>
      <c r="I20" s="561">
        <f t="shared" ref="I20:AE20" si="37">I24+I28+I31</f>
        <v>0</v>
      </c>
      <c r="J20" s="561">
        <f t="shared" si="37"/>
        <v>756.00486000000001</v>
      </c>
      <c r="K20" s="561">
        <f t="shared" si="37"/>
        <v>397.10300000000001</v>
      </c>
      <c r="L20" s="561">
        <f t="shared" si="37"/>
        <v>359.72429</v>
      </c>
      <c r="M20" s="561">
        <f t="shared" si="37"/>
        <v>391.92500000000001</v>
      </c>
      <c r="N20" s="561">
        <f t="shared" si="37"/>
        <v>950.81081000000006</v>
      </c>
      <c r="O20" s="561">
        <f t="shared" si="37"/>
        <v>0</v>
      </c>
      <c r="P20" s="561">
        <f>P24+P28+P31</f>
        <v>359.72429</v>
      </c>
      <c r="Q20" s="561">
        <f t="shared" si="37"/>
        <v>0</v>
      </c>
      <c r="R20" s="561">
        <f t="shared" si="37"/>
        <v>7960.1516700000002</v>
      </c>
      <c r="S20" s="561">
        <f t="shared" si="37"/>
        <v>0</v>
      </c>
      <c r="T20" s="561">
        <f t="shared" si="37"/>
        <v>5156.6526700000004</v>
      </c>
      <c r="U20" s="561">
        <f t="shared" si="37"/>
        <v>0</v>
      </c>
      <c r="V20" s="561">
        <f t="shared" si="37"/>
        <v>2752.4185699999998</v>
      </c>
      <c r="W20" s="561">
        <f t="shared" si="37"/>
        <v>0</v>
      </c>
      <c r="X20" s="561">
        <f t="shared" si="37"/>
        <v>359.72429</v>
      </c>
      <c r="Y20" s="561">
        <f t="shared" si="37"/>
        <v>0</v>
      </c>
      <c r="Z20" s="561">
        <f t="shared" si="37"/>
        <v>327.21429000000001</v>
      </c>
      <c r="AA20" s="561">
        <f t="shared" si="37"/>
        <v>0</v>
      </c>
      <c r="AB20" s="561">
        <f t="shared" si="37"/>
        <v>322.47426000000002</v>
      </c>
      <c r="AC20" s="561">
        <f t="shared" si="37"/>
        <v>0</v>
      </c>
      <c r="AD20" s="561">
        <f t="shared" si="37"/>
        <v>0</v>
      </c>
      <c r="AE20" s="561">
        <f t="shared" si="37"/>
        <v>0</v>
      </c>
      <c r="AF20" s="431"/>
      <c r="AG20" s="574">
        <f t="shared" si="31"/>
        <v>326.70114999999987</v>
      </c>
    </row>
    <row r="21" spans="1:33" ht="135" x14ac:dyDescent="0.35">
      <c r="A21" s="580" t="s">
        <v>27</v>
      </c>
      <c r="B21" s="539"/>
      <c r="C21" s="539"/>
      <c r="D21" s="539"/>
      <c r="E21" s="539"/>
      <c r="F21" s="540"/>
      <c r="G21" s="540"/>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78" t="s">
        <v>515</v>
      </c>
    </row>
    <row r="22" spans="1:33" x14ac:dyDescent="0.35">
      <c r="A22" s="554" t="s">
        <v>65</v>
      </c>
      <c r="B22" s="560">
        <f>B23+B24</f>
        <v>20128.300000000003</v>
      </c>
      <c r="C22" s="560">
        <f t="shared" ref="C22:E22" si="38">C23+C24</f>
        <v>77.190569999999994</v>
      </c>
      <c r="D22" s="560">
        <f t="shared" si="38"/>
        <v>77.190569999999994</v>
      </c>
      <c r="E22" s="560">
        <f t="shared" si="38"/>
        <v>0</v>
      </c>
      <c r="F22" s="571">
        <f>E22/B22</f>
        <v>0</v>
      </c>
      <c r="G22" s="571">
        <f>E22/C22</f>
        <v>0</v>
      </c>
      <c r="H22" s="561">
        <f>H23+H24</f>
        <v>0</v>
      </c>
      <c r="I22" s="561">
        <f t="shared" ref="I22:AE22" si="39">I23+I24</f>
        <v>0</v>
      </c>
      <c r="J22" s="561">
        <f t="shared" si="39"/>
        <v>77.190569999999994</v>
      </c>
      <c r="K22" s="561">
        <f t="shared" si="39"/>
        <v>0</v>
      </c>
      <c r="L22" s="561">
        <f t="shared" si="39"/>
        <v>0</v>
      </c>
      <c r="M22" s="561">
        <f t="shared" si="39"/>
        <v>0</v>
      </c>
      <c r="N22" s="561">
        <f t="shared" si="39"/>
        <v>533.34554000000003</v>
      </c>
      <c r="O22" s="561">
        <f t="shared" si="39"/>
        <v>0</v>
      </c>
      <c r="P22" s="561">
        <f t="shared" si="39"/>
        <v>0</v>
      </c>
      <c r="Q22" s="561">
        <f t="shared" si="39"/>
        <v>0</v>
      </c>
      <c r="R22" s="561">
        <f t="shared" si="39"/>
        <v>9419.2250000000004</v>
      </c>
      <c r="S22" s="561">
        <f t="shared" si="39"/>
        <v>0</v>
      </c>
      <c r="T22" s="561">
        <f t="shared" si="39"/>
        <v>6240.2560000000003</v>
      </c>
      <c r="U22" s="561">
        <f t="shared" si="39"/>
        <v>0</v>
      </c>
      <c r="V22" s="561">
        <f t="shared" si="39"/>
        <v>3858.28289</v>
      </c>
      <c r="W22" s="561">
        <f t="shared" si="39"/>
        <v>0</v>
      </c>
      <c r="X22" s="561">
        <f t="shared" si="39"/>
        <v>0</v>
      </c>
      <c r="Y22" s="561">
        <f t="shared" si="39"/>
        <v>0</v>
      </c>
      <c r="Z22" s="561">
        <f t="shared" si="39"/>
        <v>0</v>
      </c>
      <c r="AA22" s="561">
        <f t="shared" si="39"/>
        <v>0</v>
      </c>
      <c r="AB22" s="561">
        <f t="shared" si="39"/>
        <v>0</v>
      </c>
      <c r="AC22" s="561">
        <f t="shared" si="39"/>
        <v>0</v>
      </c>
      <c r="AD22" s="561">
        <f t="shared" si="39"/>
        <v>0</v>
      </c>
      <c r="AE22" s="561">
        <f t="shared" si="39"/>
        <v>0</v>
      </c>
      <c r="AF22" s="431"/>
      <c r="AG22" s="574">
        <f t="shared" si="31"/>
        <v>77.190569999999994</v>
      </c>
    </row>
    <row r="23" spans="1:33" x14ac:dyDescent="0.35">
      <c r="A23" s="414" t="s">
        <v>32</v>
      </c>
      <c r="B23" s="534">
        <f>H23+J23+L23+N23+P23+R23+T23+V23+X23+Z23+AB23+AD23</f>
        <v>6550</v>
      </c>
      <c r="C23" s="413">
        <f>H23+J23+L23</f>
        <v>0</v>
      </c>
      <c r="D23" s="413"/>
      <c r="E23" s="534">
        <f>I23+K23+M23+O23+Q23+S23+U23+W23+Y23+AA23+AC23+AE23</f>
        <v>0</v>
      </c>
      <c r="F23" s="572">
        <f>E23/B23</f>
        <v>0</v>
      </c>
      <c r="G23" s="572" t="e">
        <f>E23/C23</f>
        <v>#DIV/0!</v>
      </c>
      <c r="H23" s="428"/>
      <c r="I23" s="428"/>
      <c r="J23" s="428"/>
      <c r="K23" s="428"/>
      <c r="L23" s="428"/>
      <c r="M23" s="428"/>
      <c r="N23" s="428"/>
      <c r="O23" s="428"/>
      <c r="P23" s="428"/>
      <c r="Q23" s="428"/>
      <c r="R23" s="428">
        <v>2450</v>
      </c>
      <c r="S23" s="428"/>
      <c r="T23" s="428">
        <v>2050</v>
      </c>
      <c r="U23" s="428"/>
      <c r="V23" s="428">
        <v>2050</v>
      </c>
      <c r="W23" s="428"/>
      <c r="X23" s="428"/>
      <c r="Y23" s="428"/>
      <c r="Z23" s="428"/>
      <c r="AA23" s="428"/>
      <c r="AB23" s="428"/>
      <c r="AC23" s="428"/>
      <c r="AD23" s="428"/>
      <c r="AE23" s="428"/>
      <c r="AF23" s="431"/>
      <c r="AG23" s="574">
        <f t="shared" si="31"/>
        <v>0</v>
      </c>
    </row>
    <row r="24" spans="1:33" x14ac:dyDescent="0.35">
      <c r="A24" s="414" t="s">
        <v>33</v>
      </c>
      <c r="B24" s="534">
        <f>H24+J24+L24+N24+P24+R24+T24+V24+X24+Z24+AB24+AD24</f>
        <v>13578.300000000001</v>
      </c>
      <c r="C24" s="413">
        <f>H24+J24+L24</f>
        <v>77.190569999999994</v>
      </c>
      <c r="D24" s="413">
        <f>C24</f>
        <v>77.190569999999994</v>
      </c>
      <c r="E24" s="534">
        <f>I24+K24+M24+O24+Q24+S24+U24+W24+Y24+AA24+AC24+AE24</f>
        <v>0</v>
      </c>
      <c r="F24" s="572">
        <f>E24/B24</f>
        <v>0</v>
      </c>
      <c r="G24" s="572">
        <f>E24/C24</f>
        <v>0</v>
      </c>
      <c r="H24" s="428"/>
      <c r="I24" s="428"/>
      <c r="J24" s="428">
        <v>77.190569999999994</v>
      </c>
      <c r="K24" s="428"/>
      <c r="L24" s="428"/>
      <c r="M24" s="428"/>
      <c r="N24" s="428">
        <v>533.34554000000003</v>
      </c>
      <c r="O24" s="428"/>
      <c r="P24" s="428"/>
      <c r="Q24" s="428"/>
      <c r="R24" s="428">
        <v>6969.2250000000004</v>
      </c>
      <c r="S24" s="428"/>
      <c r="T24" s="428">
        <v>4190.2560000000003</v>
      </c>
      <c r="U24" s="428"/>
      <c r="V24" s="428">
        <v>1808.28289</v>
      </c>
      <c r="W24" s="428"/>
      <c r="X24" s="428"/>
      <c r="Y24" s="428"/>
      <c r="Z24" s="428"/>
      <c r="AA24" s="428"/>
      <c r="AB24" s="428"/>
      <c r="AC24" s="428"/>
      <c r="AD24" s="428"/>
      <c r="AE24" s="428"/>
      <c r="AF24" s="431"/>
      <c r="AG24" s="574">
        <f t="shared" si="31"/>
        <v>77.190569999999994</v>
      </c>
    </row>
    <row r="25" spans="1:33" ht="180" x14ac:dyDescent="0.35">
      <c r="A25" s="580" t="s">
        <v>28</v>
      </c>
      <c r="B25" s="539"/>
      <c r="C25" s="539"/>
      <c r="D25" s="539"/>
      <c r="E25" s="539"/>
      <c r="F25" s="540"/>
      <c r="G25" s="540"/>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78" t="s">
        <v>560</v>
      </c>
    </row>
    <row r="26" spans="1:33" x14ac:dyDescent="0.35">
      <c r="A26" s="554" t="s">
        <v>65</v>
      </c>
      <c r="B26" s="560">
        <f>B27+B28</f>
        <v>4167.3999999999996</v>
      </c>
      <c r="C26" s="560">
        <f t="shared" ref="C26:E26" si="40">C27+C28</f>
        <v>1438.5385799999999</v>
      </c>
      <c r="D26" s="560">
        <f t="shared" si="40"/>
        <v>1438.5385799999999</v>
      </c>
      <c r="E26" s="560">
        <f t="shared" si="40"/>
        <v>1189.028</v>
      </c>
      <c r="F26" s="571">
        <f>E26/B26</f>
        <v>0.28531650429524408</v>
      </c>
      <c r="G26" s="571">
        <f>E26/C26</f>
        <v>0.82655273659744333</v>
      </c>
      <c r="H26" s="561">
        <f>H27+H28</f>
        <v>0</v>
      </c>
      <c r="I26" s="561">
        <f t="shared" ref="I26:AE26" si="41">I27+I28</f>
        <v>0</v>
      </c>
      <c r="J26" s="561">
        <f t="shared" si="41"/>
        <v>878.81429000000003</v>
      </c>
      <c r="K26" s="561">
        <f t="shared" si="41"/>
        <v>597.10300000000007</v>
      </c>
      <c r="L26" s="561">
        <f t="shared" si="41"/>
        <v>559.72429</v>
      </c>
      <c r="M26" s="561">
        <f t="shared" si="41"/>
        <v>591.92499999999995</v>
      </c>
      <c r="N26" s="561">
        <f t="shared" si="41"/>
        <v>559.72429</v>
      </c>
      <c r="O26" s="561">
        <f t="shared" si="41"/>
        <v>0</v>
      </c>
      <c r="P26" s="561">
        <f t="shared" si="41"/>
        <v>559.72429</v>
      </c>
      <c r="Q26" s="561">
        <f t="shared" si="41"/>
        <v>0</v>
      </c>
      <c r="R26" s="561">
        <f t="shared" si="41"/>
        <v>0</v>
      </c>
      <c r="S26" s="561">
        <f t="shared" si="41"/>
        <v>0</v>
      </c>
      <c r="T26" s="561">
        <f t="shared" si="41"/>
        <v>0</v>
      </c>
      <c r="U26" s="561">
        <f t="shared" si="41"/>
        <v>0</v>
      </c>
      <c r="V26" s="561">
        <f t="shared" si="41"/>
        <v>0</v>
      </c>
      <c r="W26" s="561">
        <f t="shared" si="41"/>
        <v>0</v>
      </c>
      <c r="X26" s="561">
        <f t="shared" si="41"/>
        <v>559.72429</v>
      </c>
      <c r="Y26" s="561">
        <f t="shared" si="41"/>
        <v>0</v>
      </c>
      <c r="Z26" s="561">
        <f t="shared" si="41"/>
        <v>527.21429000000001</v>
      </c>
      <c r="AA26" s="561">
        <f t="shared" si="41"/>
        <v>0</v>
      </c>
      <c r="AB26" s="561">
        <f t="shared" si="41"/>
        <v>522.47425999999996</v>
      </c>
      <c r="AC26" s="561">
        <f t="shared" si="41"/>
        <v>0</v>
      </c>
      <c r="AD26" s="561">
        <f t="shared" si="41"/>
        <v>0</v>
      </c>
      <c r="AE26" s="561">
        <f t="shared" si="41"/>
        <v>0</v>
      </c>
      <c r="AF26" s="431"/>
      <c r="AG26" s="574">
        <f t="shared" si="31"/>
        <v>249.51057999999989</v>
      </c>
    </row>
    <row r="27" spans="1:33" x14ac:dyDescent="0.35">
      <c r="A27" s="414" t="s">
        <v>32</v>
      </c>
      <c r="B27" s="534">
        <f>H27+J27+L27+N27+P27+R27+T27+V27+X27+Z27+AB27+AD27</f>
        <v>1400</v>
      </c>
      <c r="C27" s="413">
        <f>H27+J27+L27</f>
        <v>400</v>
      </c>
      <c r="D27" s="413">
        <v>400</v>
      </c>
      <c r="E27" s="534">
        <f>I27+K27+M27+O27+Q27+S27+U27+W27+Y27+AA27+AC27+AE27</f>
        <v>400</v>
      </c>
      <c r="F27" s="572">
        <f>E27/B27</f>
        <v>0.2857142857142857</v>
      </c>
      <c r="G27" s="572">
        <f>E27/C27</f>
        <v>1</v>
      </c>
      <c r="H27" s="428"/>
      <c r="I27" s="428"/>
      <c r="J27" s="428">
        <v>200</v>
      </c>
      <c r="K27" s="428">
        <v>200</v>
      </c>
      <c r="L27" s="428">
        <v>200</v>
      </c>
      <c r="M27" s="428">
        <v>200</v>
      </c>
      <c r="N27" s="428">
        <v>200</v>
      </c>
      <c r="O27" s="428"/>
      <c r="P27" s="428">
        <v>200</v>
      </c>
      <c r="Q27" s="428"/>
      <c r="R27" s="428"/>
      <c r="S27" s="428"/>
      <c r="T27" s="428"/>
      <c r="U27" s="428"/>
      <c r="V27" s="428"/>
      <c r="W27" s="428"/>
      <c r="X27" s="428">
        <v>200</v>
      </c>
      <c r="Y27" s="428"/>
      <c r="Z27" s="428">
        <v>200</v>
      </c>
      <c r="AA27" s="428"/>
      <c r="AB27" s="428">
        <v>200</v>
      </c>
      <c r="AC27" s="428"/>
      <c r="AD27" s="428"/>
      <c r="AE27" s="428"/>
      <c r="AF27" s="431"/>
      <c r="AG27" s="574">
        <f t="shared" si="31"/>
        <v>0</v>
      </c>
    </row>
    <row r="28" spans="1:33" x14ac:dyDescent="0.35">
      <c r="A28" s="414" t="s">
        <v>33</v>
      </c>
      <c r="B28" s="534">
        <f>H28+J28+L28+N28+P28+R28+T28+V28+X28+Z28+AB28+AD28</f>
        <v>2767.4</v>
      </c>
      <c r="C28" s="413">
        <f>H28+J28+L28</f>
        <v>1038.5385799999999</v>
      </c>
      <c r="D28" s="413">
        <f>C28</f>
        <v>1038.5385799999999</v>
      </c>
      <c r="E28" s="534">
        <f>I28+K28+M28+O28+Q28+S28+U28+W28+Y28+AA28+AC28+AE28</f>
        <v>789.02800000000002</v>
      </c>
      <c r="F28" s="572">
        <f>E28/B28</f>
        <v>0.28511527065115272</v>
      </c>
      <c r="G28" s="572">
        <f>E28/C28</f>
        <v>0.75974837641563597</v>
      </c>
      <c r="H28" s="428"/>
      <c r="I28" s="428"/>
      <c r="J28" s="428">
        <v>678.81429000000003</v>
      </c>
      <c r="K28" s="428">
        <v>397.10300000000001</v>
      </c>
      <c r="L28" s="428">
        <v>359.72429</v>
      </c>
      <c r="M28" s="428">
        <v>391.92500000000001</v>
      </c>
      <c r="N28" s="428">
        <v>359.72429</v>
      </c>
      <c r="O28" s="428"/>
      <c r="P28" s="428">
        <v>359.72429</v>
      </c>
      <c r="Q28" s="428"/>
      <c r="R28" s="428"/>
      <c r="S28" s="428"/>
      <c r="T28" s="428"/>
      <c r="U28" s="428"/>
      <c r="V28" s="428"/>
      <c r="W28" s="428"/>
      <c r="X28" s="428">
        <v>359.72429</v>
      </c>
      <c r="Y28" s="428"/>
      <c r="Z28" s="428">
        <v>327.21429000000001</v>
      </c>
      <c r="AA28" s="428"/>
      <c r="AB28" s="428">
        <v>322.47426000000002</v>
      </c>
      <c r="AC28" s="428"/>
      <c r="AD28" s="428"/>
      <c r="AE28" s="428"/>
      <c r="AF28" s="431"/>
      <c r="AG28" s="574">
        <f t="shared" si="31"/>
        <v>249.51057999999989</v>
      </c>
    </row>
    <row r="29" spans="1:33" ht="75" x14ac:dyDescent="0.35">
      <c r="A29" s="580" t="s">
        <v>29</v>
      </c>
      <c r="B29" s="539"/>
      <c r="C29" s="539"/>
      <c r="D29" s="539"/>
      <c r="E29" s="539"/>
      <c r="F29" s="540"/>
      <c r="G29" s="540"/>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431"/>
    </row>
    <row r="30" spans="1:33" x14ac:dyDescent="0.35">
      <c r="A30" s="554" t="s">
        <v>65</v>
      </c>
      <c r="B30" s="560">
        <f>B31</f>
        <v>2959.2</v>
      </c>
      <c r="C30" s="560">
        <f t="shared" ref="C30" si="42">C31</f>
        <v>0</v>
      </c>
      <c r="D30" s="560">
        <f>D31</f>
        <v>0</v>
      </c>
      <c r="E30" s="560">
        <f>E31</f>
        <v>0</v>
      </c>
      <c r="F30" s="571">
        <f>E30/B30</f>
        <v>0</v>
      </c>
      <c r="G30" s="571" t="e">
        <f>E30/C30</f>
        <v>#DIV/0!</v>
      </c>
      <c r="H30" s="561">
        <f>H31</f>
        <v>0</v>
      </c>
      <c r="I30" s="561">
        <f t="shared" ref="I30:AE30" si="43">I31</f>
        <v>0</v>
      </c>
      <c r="J30" s="561">
        <f t="shared" si="43"/>
        <v>0</v>
      </c>
      <c r="K30" s="561">
        <f t="shared" si="43"/>
        <v>0</v>
      </c>
      <c r="L30" s="561">
        <f t="shared" si="43"/>
        <v>0</v>
      </c>
      <c r="M30" s="561">
        <f t="shared" si="43"/>
        <v>0</v>
      </c>
      <c r="N30" s="561">
        <f t="shared" si="43"/>
        <v>57.74098</v>
      </c>
      <c r="O30" s="561">
        <f t="shared" si="43"/>
        <v>0</v>
      </c>
      <c r="P30" s="561">
        <f t="shared" si="43"/>
        <v>0</v>
      </c>
      <c r="Q30" s="561">
        <f t="shared" si="43"/>
        <v>0</v>
      </c>
      <c r="R30" s="561">
        <f t="shared" si="43"/>
        <v>990.92666999999994</v>
      </c>
      <c r="S30" s="561">
        <f t="shared" si="43"/>
        <v>0</v>
      </c>
      <c r="T30" s="561">
        <f t="shared" si="43"/>
        <v>966.39666999999997</v>
      </c>
      <c r="U30" s="561">
        <f t="shared" si="43"/>
        <v>0</v>
      </c>
      <c r="V30" s="561">
        <f t="shared" si="43"/>
        <v>944.13567999999998</v>
      </c>
      <c r="W30" s="561">
        <f t="shared" si="43"/>
        <v>0</v>
      </c>
      <c r="X30" s="561">
        <f t="shared" si="43"/>
        <v>0</v>
      </c>
      <c r="Y30" s="561">
        <f t="shared" si="43"/>
        <v>0</v>
      </c>
      <c r="Z30" s="561">
        <f t="shared" si="43"/>
        <v>0</v>
      </c>
      <c r="AA30" s="561">
        <f t="shared" si="43"/>
        <v>0</v>
      </c>
      <c r="AB30" s="561">
        <f t="shared" si="43"/>
        <v>0</v>
      </c>
      <c r="AC30" s="561">
        <f t="shared" si="43"/>
        <v>0</v>
      </c>
      <c r="AD30" s="561">
        <f t="shared" si="43"/>
        <v>0</v>
      </c>
      <c r="AE30" s="561">
        <f t="shared" si="43"/>
        <v>0</v>
      </c>
      <c r="AF30" s="431"/>
      <c r="AG30" s="574">
        <f t="shared" si="31"/>
        <v>0</v>
      </c>
    </row>
    <row r="31" spans="1:33" x14ac:dyDescent="0.35">
      <c r="A31" s="414" t="s">
        <v>33</v>
      </c>
      <c r="B31" s="534">
        <f>H31+J31+L31+N31+P31+R31+T31+V31+X31+Z31+AB31+AD31</f>
        <v>2959.2</v>
      </c>
      <c r="C31" s="413">
        <f>H31+J31+L31</f>
        <v>0</v>
      </c>
      <c r="D31" s="413"/>
      <c r="E31" s="534">
        <f>I31+K31+M31+O31+Q31+S31+U31+W31+Y31+AA31+AC31+AE31</f>
        <v>0</v>
      </c>
      <c r="F31" s="572">
        <f>E31/B31</f>
        <v>0</v>
      </c>
      <c r="G31" s="572" t="e">
        <f>E31/C31</f>
        <v>#DIV/0!</v>
      </c>
      <c r="H31" s="428"/>
      <c r="I31" s="428"/>
      <c r="J31" s="428"/>
      <c r="K31" s="428"/>
      <c r="L31" s="428"/>
      <c r="M31" s="428"/>
      <c r="N31" s="428">
        <v>57.74098</v>
      </c>
      <c r="O31" s="428"/>
      <c r="P31" s="428"/>
      <c r="Q31" s="428"/>
      <c r="R31" s="428">
        <v>990.92666999999994</v>
      </c>
      <c r="S31" s="428"/>
      <c r="T31" s="428">
        <v>966.39666999999997</v>
      </c>
      <c r="U31" s="428"/>
      <c r="V31" s="428">
        <v>944.13567999999998</v>
      </c>
      <c r="W31" s="428"/>
      <c r="X31" s="428"/>
      <c r="Y31" s="428"/>
      <c r="Z31" s="428"/>
      <c r="AA31" s="428"/>
      <c r="AB31" s="428"/>
      <c r="AC31" s="428"/>
      <c r="AD31" s="428"/>
      <c r="AE31" s="428"/>
      <c r="AF31" s="431"/>
      <c r="AG31" s="574">
        <f t="shared" si="31"/>
        <v>0</v>
      </c>
    </row>
    <row r="32" spans="1:33" ht="131.25" x14ac:dyDescent="0.35">
      <c r="A32" s="579" t="s">
        <v>30</v>
      </c>
      <c r="B32" s="564"/>
      <c r="C32" s="564"/>
      <c r="D32" s="564"/>
      <c r="E32" s="564"/>
      <c r="F32" s="565"/>
      <c r="G32" s="565"/>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431"/>
    </row>
    <row r="33" spans="1:33" x14ac:dyDescent="0.35">
      <c r="A33" s="554" t="s">
        <v>65</v>
      </c>
      <c r="B33" s="560">
        <f>B34</f>
        <v>100</v>
      </c>
      <c r="C33" s="560">
        <f t="shared" ref="C33:E33" si="44">C34</f>
        <v>0</v>
      </c>
      <c r="D33" s="560">
        <f t="shared" si="44"/>
        <v>0</v>
      </c>
      <c r="E33" s="560">
        <f t="shared" si="44"/>
        <v>0</v>
      </c>
      <c r="F33" s="571">
        <f>E33/B33</f>
        <v>0</v>
      </c>
      <c r="G33" s="571" t="e">
        <f>E33/C33</f>
        <v>#DIV/0!</v>
      </c>
      <c r="H33" s="561">
        <f>H34</f>
        <v>0</v>
      </c>
      <c r="I33" s="561">
        <f t="shared" ref="I33:AE33" si="45">I34</f>
        <v>0</v>
      </c>
      <c r="J33" s="561">
        <f t="shared" si="45"/>
        <v>0</v>
      </c>
      <c r="K33" s="561">
        <f t="shared" si="45"/>
        <v>0</v>
      </c>
      <c r="L33" s="561">
        <f t="shared" si="45"/>
        <v>0</v>
      </c>
      <c r="M33" s="561">
        <f t="shared" si="45"/>
        <v>0</v>
      </c>
      <c r="N33" s="561">
        <f t="shared" si="45"/>
        <v>0</v>
      </c>
      <c r="O33" s="561">
        <f t="shared" si="45"/>
        <v>0</v>
      </c>
      <c r="P33" s="561">
        <f t="shared" si="45"/>
        <v>0</v>
      </c>
      <c r="Q33" s="561">
        <f t="shared" si="45"/>
        <v>0</v>
      </c>
      <c r="R33" s="561">
        <f t="shared" si="45"/>
        <v>0</v>
      </c>
      <c r="S33" s="561">
        <f t="shared" si="45"/>
        <v>0</v>
      </c>
      <c r="T33" s="561">
        <f t="shared" si="45"/>
        <v>0</v>
      </c>
      <c r="U33" s="561">
        <f t="shared" si="45"/>
        <v>0</v>
      </c>
      <c r="V33" s="561">
        <f t="shared" si="45"/>
        <v>0</v>
      </c>
      <c r="W33" s="561">
        <f t="shared" si="45"/>
        <v>0</v>
      </c>
      <c r="X33" s="561">
        <f t="shared" si="45"/>
        <v>0</v>
      </c>
      <c r="Y33" s="561">
        <f t="shared" si="45"/>
        <v>0</v>
      </c>
      <c r="Z33" s="561">
        <f t="shared" si="45"/>
        <v>0</v>
      </c>
      <c r="AA33" s="561">
        <f t="shared" si="45"/>
        <v>0</v>
      </c>
      <c r="AB33" s="561">
        <f t="shared" si="45"/>
        <v>0</v>
      </c>
      <c r="AC33" s="561">
        <f t="shared" si="45"/>
        <v>0</v>
      </c>
      <c r="AD33" s="561">
        <f t="shared" si="45"/>
        <v>100</v>
      </c>
      <c r="AE33" s="561">
        <f t="shared" si="45"/>
        <v>0</v>
      </c>
      <c r="AF33" s="431"/>
      <c r="AG33" s="574">
        <f t="shared" si="31"/>
        <v>0</v>
      </c>
    </row>
    <row r="34" spans="1:33" x14ac:dyDescent="0.35">
      <c r="A34" s="414" t="s">
        <v>32</v>
      </c>
      <c r="B34" s="534">
        <f>H34+J34+L34+N34+P34+R34+T34+V34+X34+Z34+AB34+AD34</f>
        <v>100</v>
      </c>
      <c r="C34" s="413">
        <f>H34+J34+L34</f>
        <v>0</v>
      </c>
      <c r="D34" s="413"/>
      <c r="E34" s="534">
        <f>I34+K34+M34+O34+Q34+S34+U34+W34+Y34+AA34+AC34+AE34</f>
        <v>0</v>
      </c>
      <c r="F34" s="572">
        <f>E34/B34</f>
        <v>0</v>
      </c>
      <c r="G34" s="572" t="e">
        <f>E34/C34</f>
        <v>#DIV/0!</v>
      </c>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v>100</v>
      </c>
      <c r="AE34" s="428"/>
      <c r="AF34" s="431"/>
      <c r="AG34" s="574">
        <f t="shared" si="31"/>
        <v>0</v>
      </c>
    </row>
    <row r="35" spans="1:33" x14ac:dyDescent="0.35">
      <c r="A35" s="415" t="s">
        <v>53</v>
      </c>
      <c r="B35" s="545"/>
      <c r="C35" s="545"/>
      <c r="D35" s="545"/>
      <c r="E35" s="545"/>
      <c r="F35" s="545"/>
      <c r="G35" s="545"/>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431"/>
    </row>
    <row r="36" spans="1:33" x14ac:dyDescent="0.35">
      <c r="A36" s="547" t="s">
        <v>31</v>
      </c>
      <c r="B36" s="560">
        <f>B37+B38</f>
        <v>29300.500000000004</v>
      </c>
      <c r="C36" s="560">
        <f t="shared" ref="C36" si="46">C37+C38</f>
        <v>1992.15915</v>
      </c>
      <c r="D36" s="560">
        <f>D37+D38</f>
        <v>1896.2952799999998</v>
      </c>
      <c r="E36" s="560">
        <f>E37+E38</f>
        <v>1569.60113</v>
      </c>
      <c r="F36" s="571">
        <f>E36/B36</f>
        <v>5.3569090288561626E-2</v>
      </c>
      <c r="G36" s="571">
        <f>E36/C36</f>
        <v>0.78788942640451198</v>
      </c>
      <c r="H36" s="561">
        <f>H37+H38</f>
        <v>46.614999999999995</v>
      </c>
      <c r="I36" s="561">
        <f t="shared" ref="I36:AE36" si="47">I37+I38</f>
        <v>13</v>
      </c>
      <c r="J36" s="561">
        <f t="shared" si="47"/>
        <v>1205.80486</v>
      </c>
      <c r="K36" s="561">
        <f t="shared" si="47"/>
        <v>814.41613000000007</v>
      </c>
      <c r="L36" s="561">
        <f t="shared" si="47"/>
        <v>739.73928999999998</v>
      </c>
      <c r="M36" s="561">
        <f t="shared" si="47"/>
        <v>742.18499999999995</v>
      </c>
      <c r="N36" s="561">
        <f t="shared" si="47"/>
        <v>1290.4108099999999</v>
      </c>
      <c r="O36" s="561">
        <f t="shared" si="47"/>
        <v>0</v>
      </c>
      <c r="P36" s="561">
        <f t="shared" si="47"/>
        <v>763.61928999999998</v>
      </c>
      <c r="Q36" s="561">
        <f t="shared" si="47"/>
        <v>0</v>
      </c>
      <c r="R36" s="561">
        <f t="shared" si="47"/>
        <v>10585.35167</v>
      </c>
      <c r="S36" s="561">
        <f t="shared" si="47"/>
        <v>0</v>
      </c>
      <c r="T36" s="561">
        <f t="shared" si="47"/>
        <v>7398.2526699999999</v>
      </c>
      <c r="U36" s="561">
        <f t="shared" si="47"/>
        <v>0</v>
      </c>
      <c r="V36" s="561">
        <f t="shared" si="47"/>
        <v>4833.71857</v>
      </c>
      <c r="W36" s="561">
        <f t="shared" si="47"/>
        <v>0</v>
      </c>
      <c r="X36" s="561">
        <f t="shared" si="47"/>
        <v>646.53928999999994</v>
      </c>
      <c r="Y36" s="561">
        <f t="shared" si="47"/>
        <v>0</v>
      </c>
      <c r="Z36" s="561">
        <f t="shared" si="47"/>
        <v>707.11428999999998</v>
      </c>
      <c r="AA36" s="561">
        <f t="shared" si="47"/>
        <v>0</v>
      </c>
      <c r="AB36" s="561">
        <f t="shared" si="47"/>
        <v>726.61426000000006</v>
      </c>
      <c r="AC36" s="561">
        <f t="shared" si="47"/>
        <v>0</v>
      </c>
      <c r="AD36" s="561">
        <f t="shared" si="47"/>
        <v>356.72</v>
      </c>
      <c r="AE36" s="561">
        <f t="shared" si="47"/>
        <v>0</v>
      </c>
      <c r="AF36" s="431"/>
      <c r="AG36" s="576">
        <f t="shared" si="31"/>
        <v>422.55801999999994</v>
      </c>
    </row>
    <row r="37" spans="1:33" x14ac:dyDescent="0.35">
      <c r="A37" s="533" t="s">
        <v>32</v>
      </c>
      <c r="B37" s="534">
        <f>B15+B19+B34</f>
        <v>8697.2000000000007</v>
      </c>
      <c r="C37" s="534">
        <f>C15+C19+C34</f>
        <v>556.5</v>
      </c>
      <c r="D37" s="534">
        <f>D15+D19+D34</f>
        <v>529.87612999999999</v>
      </c>
      <c r="E37" s="534">
        <f t="shared" ref="E37" si="48">E15+E19+E34</f>
        <v>529.88312999999994</v>
      </c>
      <c r="F37" s="572">
        <f>E37/B37</f>
        <v>6.0925715172699249E-2</v>
      </c>
      <c r="G37" s="572">
        <f>E37/C37</f>
        <v>0.95217094339622632</v>
      </c>
      <c r="H37" s="536">
        <f>H15+H19+H34</f>
        <v>15</v>
      </c>
      <c r="I37" s="536">
        <f t="shared" ref="I37:AE37" si="49">I15+I19+I34</f>
        <v>0</v>
      </c>
      <c r="J37" s="536">
        <f t="shared" si="49"/>
        <v>276.39999999999998</v>
      </c>
      <c r="K37" s="536">
        <f t="shared" si="49"/>
        <v>270.55313000000001</v>
      </c>
      <c r="L37" s="536">
        <f t="shared" si="49"/>
        <v>265.10000000000002</v>
      </c>
      <c r="M37" s="536">
        <f t="shared" si="49"/>
        <v>259.33</v>
      </c>
      <c r="N37" s="536">
        <f t="shared" si="49"/>
        <v>265.10000000000002</v>
      </c>
      <c r="O37" s="536">
        <f t="shared" si="49"/>
        <v>0</v>
      </c>
      <c r="P37" s="536">
        <f t="shared" si="49"/>
        <v>265.10000000000002</v>
      </c>
      <c r="Q37" s="536">
        <f t="shared" si="49"/>
        <v>0</v>
      </c>
      <c r="R37" s="536">
        <f t="shared" si="49"/>
        <v>2515.1</v>
      </c>
      <c r="S37" s="536">
        <f t="shared" si="49"/>
        <v>0</v>
      </c>
      <c r="T37" s="536">
        <f t="shared" si="49"/>
        <v>2115.1</v>
      </c>
      <c r="U37" s="536">
        <f t="shared" si="49"/>
        <v>0</v>
      </c>
      <c r="V37" s="536">
        <f t="shared" si="49"/>
        <v>2057</v>
      </c>
      <c r="W37" s="536">
        <f t="shared" si="49"/>
        <v>0</v>
      </c>
      <c r="X37" s="536">
        <f t="shared" si="49"/>
        <v>223.7</v>
      </c>
      <c r="Y37" s="536">
        <f t="shared" si="49"/>
        <v>0</v>
      </c>
      <c r="Z37" s="536">
        <f t="shared" si="49"/>
        <v>266.10000000000002</v>
      </c>
      <c r="AA37" s="536">
        <f t="shared" si="49"/>
        <v>0</v>
      </c>
      <c r="AB37" s="536">
        <f t="shared" si="49"/>
        <v>265.39999999999998</v>
      </c>
      <c r="AC37" s="536">
        <f t="shared" si="49"/>
        <v>0</v>
      </c>
      <c r="AD37" s="536">
        <f t="shared" si="49"/>
        <v>168.1</v>
      </c>
      <c r="AE37" s="536">
        <f t="shared" si="49"/>
        <v>0</v>
      </c>
      <c r="AF37" s="431"/>
      <c r="AG37" s="574">
        <f t="shared" si="31"/>
        <v>26.616870000000063</v>
      </c>
    </row>
    <row r="38" spans="1:33" x14ac:dyDescent="0.35">
      <c r="A38" s="533" t="s">
        <v>33</v>
      </c>
      <c r="B38" s="534">
        <f>B16+B20</f>
        <v>20603.300000000003</v>
      </c>
      <c r="C38" s="534">
        <f t="shared" ref="C38:D38" si="50">C16+C20</f>
        <v>1435.65915</v>
      </c>
      <c r="D38" s="534">
        <f t="shared" si="50"/>
        <v>1366.4191499999999</v>
      </c>
      <c r="E38" s="534">
        <f>E16+E20</f>
        <v>1039.7180000000001</v>
      </c>
      <c r="F38" s="572">
        <f>E38/B38</f>
        <v>5.046366358787184E-2</v>
      </c>
      <c r="G38" s="572">
        <f>E38/C38</f>
        <v>0.72420950334903667</v>
      </c>
      <c r="H38" s="536">
        <f>H16+H20</f>
        <v>31.614999999999998</v>
      </c>
      <c r="I38" s="536">
        <f t="shared" ref="I38:AE38" si="51">I16+I20</f>
        <v>13</v>
      </c>
      <c r="J38" s="536">
        <f t="shared" si="51"/>
        <v>929.40485999999999</v>
      </c>
      <c r="K38" s="536">
        <f t="shared" si="51"/>
        <v>543.86300000000006</v>
      </c>
      <c r="L38" s="536">
        <f t="shared" si="51"/>
        <v>474.63929000000002</v>
      </c>
      <c r="M38" s="536">
        <f t="shared" si="51"/>
        <v>482.85500000000002</v>
      </c>
      <c r="N38" s="536">
        <f t="shared" si="51"/>
        <v>1025.3108099999999</v>
      </c>
      <c r="O38" s="536">
        <f t="shared" si="51"/>
        <v>0</v>
      </c>
      <c r="P38" s="536">
        <f t="shared" si="51"/>
        <v>498.51928999999996</v>
      </c>
      <c r="Q38" s="536">
        <f t="shared" si="51"/>
        <v>0</v>
      </c>
      <c r="R38" s="536">
        <f t="shared" si="51"/>
        <v>8070.2516700000006</v>
      </c>
      <c r="S38" s="536">
        <f t="shared" si="51"/>
        <v>0</v>
      </c>
      <c r="T38" s="536">
        <f t="shared" si="51"/>
        <v>5283.1526700000004</v>
      </c>
      <c r="U38" s="536">
        <f t="shared" si="51"/>
        <v>0</v>
      </c>
      <c r="V38" s="536">
        <f t="shared" si="51"/>
        <v>2776.71857</v>
      </c>
      <c r="W38" s="536">
        <f t="shared" si="51"/>
        <v>0</v>
      </c>
      <c r="X38" s="536">
        <f t="shared" si="51"/>
        <v>422.83929000000001</v>
      </c>
      <c r="Y38" s="536">
        <f t="shared" si="51"/>
        <v>0</v>
      </c>
      <c r="Z38" s="536">
        <f t="shared" si="51"/>
        <v>441.01429000000002</v>
      </c>
      <c r="AA38" s="536">
        <f t="shared" si="51"/>
        <v>0</v>
      </c>
      <c r="AB38" s="536">
        <f t="shared" si="51"/>
        <v>461.21426000000002</v>
      </c>
      <c r="AC38" s="536">
        <f t="shared" si="51"/>
        <v>0</v>
      </c>
      <c r="AD38" s="536">
        <f t="shared" si="51"/>
        <v>188.62</v>
      </c>
      <c r="AE38" s="536">
        <f t="shared" si="51"/>
        <v>0</v>
      </c>
      <c r="AF38" s="431"/>
      <c r="AG38" s="574">
        <f t="shared" si="31"/>
        <v>395.94114999999988</v>
      </c>
    </row>
    <row r="39" spans="1:33" ht="38.25" x14ac:dyDescent="0.35">
      <c r="A39" s="533" t="s">
        <v>72</v>
      </c>
      <c r="B39" s="534"/>
      <c r="C39" s="534"/>
      <c r="D39" s="534"/>
      <c r="E39" s="534"/>
      <c r="F39" s="535"/>
      <c r="G39" s="535"/>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431"/>
    </row>
    <row r="40" spans="1:33" x14ac:dyDescent="0.35">
      <c r="A40" s="547" t="s">
        <v>31</v>
      </c>
      <c r="B40" s="560">
        <f>B41+B42</f>
        <v>29300.500000000004</v>
      </c>
      <c r="C40" s="560">
        <f t="shared" ref="C40:E40" si="52">C41+C42</f>
        <v>1992.15915</v>
      </c>
      <c r="D40" s="560">
        <f t="shared" si="52"/>
        <v>1896.2952799999998</v>
      </c>
      <c r="E40" s="560">
        <f t="shared" si="52"/>
        <v>1569.60113</v>
      </c>
      <c r="F40" s="571">
        <f>E40/B40</f>
        <v>5.3569090288561626E-2</v>
      </c>
      <c r="G40" s="571">
        <f>E40/C40</f>
        <v>0.78788942640451198</v>
      </c>
      <c r="H40" s="561">
        <f>H41+H42</f>
        <v>46.614999999999995</v>
      </c>
      <c r="I40" s="561">
        <f t="shared" ref="I40:AE40" si="53">I41+I42</f>
        <v>13</v>
      </c>
      <c r="J40" s="561">
        <f t="shared" si="53"/>
        <v>1205.80486</v>
      </c>
      <c r="K40" s="561">
        <f t="shared" si="53"/>
        <v>814.41613000000007</v>
      </c>
      <c r="L40" s="561">
        <f t="shared" si="53"/>
        <v>739.73928999999998</v>
      </c>
      <c r="M40" s="561">
        <f t="shared" si="53"/>
        <v>742.18499999999995</v>
      </c>
      <c r="N40" s="561">
        <f t="shared" si="53"/>
        <v>1290.4108099999999</v>
      </c>
      <c r="O40" s="561">
        <f t="shared" si="53"/>
        <v>0</v>
      </c>
      <c r="P40" s="561">
        <f t="shared" si="53"/>
        <v>763.61928999999998</v>
      </c>
      <c r="Q40" s="561">
        <f t="shared" si="53"/>
        <v>0</v>
      </c>
      <c r="R40" s="561">
        <f t="shared" si="53"/>
        <v>10585.35167</v>
      </c>
      <c r="S40" s="561">
        <f t="shared" si="53"/>
        <v>0</v>
      </c>
      <c r="T40" s="561">
        <f t="shared" si="53"/>
        <v>7398.2526699999999</v>
      </c>
      <c r="U40" s="561">
        <f t="shared" si="53"/>
        <v>0</v>
      </c>
      <c r="V40" s="561">
        <f t="shared" si="53"/>
        <v>4833.71857</v>
      </c>
      <c r="W40" s="561">
        <f t="shared" si="53"/>
        <v>0</v>
      </c>
      <c r="X40" s="561">
        <f t="shared" si="53"/>
        <v>646.53928999999994</v>
      </c>
      <c r="Y40" s="561">
        <f t="shared" si="53"/>
        <v>0</v>
      </c>
      <c r="Z40" s="561">
        <f t="shared" si="53"/>
        <v>707.11428999999998</v>
      </c>
      <c r="AA40" s="561">
        <f t="shared" si="53"/>
        <v>0</v>
      </c>
      <c r="AB40" s="561">
        <f t="shared" si="53"/>
        <v>726.61426000000006</v>
      </c>
      <c r="AC40" s="561">
        <f t="shared" si="53"/>
        <v>0</v>
      </c>
      <c r="AD40" s="561">
        <f t="shared" si="53"/>
        <v>356.72</v>
      </c>
      <c r="AE40" s="561">
        <f t="shared" si="53"/>
        <v>0</v>
      </c>
      <c r="AF40" s="431"/>
      <c r="AG40" s="576"/>
    </row>
    <row r="41" spans="1:33" x14ac:dyDescent="0.35">
      <c r="A41" s="533" t="s">
        <v>32</v>
      </c>
      <c r="B41" s="534">
        <f>B37</f>
        <v>8697.2000000000007</v>
      </c>
      <c r="C41" s="534">
        <f t="shared" ref="C41:E41" si="54">C37</f>
        <v>556.5</v>
      </c>
      <c r="D41" s="534">
        <f t="shared" si="54"/>
        <v>529.87612999999999</v>
      </c>
      <c r="E41" s="534">
        <f t="shared" si="54"/>
        <v>529.88312999999994</v>
      </c>
      <c r="F41" s="572">
        <f>E41/B41</f>
        <v>6.0925715172699249E-2</v>
      </c>
      <c r="G41" s="572">
        <f>E41/C41</f>
        <v>0.95217094339622632</v>
      </c>
      <c r="H41" s="536">
        <f>H37</f>
        <v>15</v>
      </c>
      <c r="I41" s="536">
        <f t="shared" ref="I41:AE41" si="55">I37</f>
        <v>0</v>
      </c>
      <c r="J41" s="536">
        <f t="shared" si="55"/>
        <v>276.39999999999998</v>
      </c>
      <c r="K41" s="536">
        <f t="shared" si="55"/>
        <v>270.55313000000001</v>
      </c>
      <c r="L41" s="536">
        <f t="shared" si="55"/>
        <v>265.10000000000002</v>
      </c>
      <c r="M41" s="536">
        <f t="shared" si="55"/>
        <v>259.33</v>
      </c>
      <c r="N41" s="536">
        <f t="shared" si="55"/>
        <v>265.10000000000002</v>
      </c>
      <c r="O41" s="536">
        <f t="shared" si="55"/>
        <v>0</v>
      </c>
      <c r="P41" s="536">
        <f t="shared" si="55"/>
        <v>265.10000000000002</v>
      </c>
      <c r="Q41" s="536">
        <f t="shared" si="55"/>
        <v>0</v>
      </c>
      <c r="R41" s="536">
        <f t="shared" si="55"/>
        <v>2515.1</v>
      </c>
      <c r="S41" s="536">
        <f t="shared" si="55"/>
        <v>0</v>
      </c>
      <c r="T41" s="536">
        <f t="shared" si="55"/>
        <v>2115.1</v>
      </c>
      <c r="U41" s="536">
        <f t="shared" si="55"/>
        <v>0</v>
      </c>
      <c r="V41" s="536">
        <f t="shared" si="55"/>
        <v>2057</v>
      </c>
      <c r="W41" s="536">
        <f t="shared" si="55"/>
        <v>0</v>
      </c>
      <c r="X41" s="536">
        <f t="shared" si="55"/>
        <v>223.7</v>
      </c>
      <c r="Y41" s="536">
        <f t="shared" si="55"/>
        <v>0</v>
      </c>
      <c r="Z41" s="536">
        <f t="shared" si="55"/>
        <v>266.10000000000002</v>
      </c>
      <c r="AA41" s="536">
        <f t="shared" si="55"/>
        <v>0</v>
      </c>
      <c r="AB41" s="536">
        <f t="shared" si="55"/>
        <v>265.39999999999998</v>
      </c>
      <c r="AC41" s="536">
        <f t="shared" si="55"/>
        <v>0</v>
      </c>
      <c r="AD41" s="536">
        <f t="shared" si="55"/>
        <v>168.1</v>
      </c>
      <c r="AE41" s="536">
        <f t="shared" si="55"/>
        <v>0</v>
      </c>
      <c r="AF41" s="431"/>
      <c r="AG41" s="574"/>
    </row>
    <row r="42" spans="1:33" x14ac:dyDescent="0.35">
      <c r="A42" s="533" t="s">
        <v>33</v>
      </c>
      <c r="B42" s="534">
        <f>B38</f>
        <v>20603.300000000003</v>
      </c>
      <c r="C42" s="534">
        <f t="shared" ref="C42:E42" si="56">C38</f>
        <v>1435.65915</v>
      </c>
      <c r="D42" s="534">
        <f t="shared" si="56"/>
        <v>1366.4191499999999</v>
      </c>
      <c r="E42" s="534">
        <f t="shared" si="56"/>
        <v>1039.7180000000001</v>
      </c>
      <c r="F42" s="572">
        <f>E42/B42</f>
        <v>5.046366358787184E-2</v>
      </c>
      <c r="G42" s="572">
        <f>E42/C42</f>
        <v>0.72420950334903667</v>
      </c>
      <c r="H42" s="536">
        <f>H38</f>
        <v>31.614999999999998</v>
      </c>
      <c r="I42" s="536">
        <f t="shared" ref="I42:AE42" si="57">I38</f>
        <v>13</v>
      </c>
      <c r="J42" s="536">
        <f t="shared" si="57"/>
        <v>929.40485999999999</v>
      </c>
      <c r="K42" s="536">
        <f t="shared" si="57"/>
        <v>543.86300000000006</v>
      </c>
      <c r="L42" s="536">
        <f t="shared" si="57"/>
        <v>474.63929000000002</v>
      </c>
      <c r="M42" s="536">
        <f t="shared" si="57"/>
        <v>482.85500000000002</v>
      </c>
      <c r="N42" s="536">
        <f t="shared" si="57"/>
        <v>1025.3108099999999</v>
      </c>
      <c r="O42" s="536">
        <f t="shared" si="57"/>
        <v>0</v>
      </c>
      <c r="P42" s="536">
        <f t="shared" si="57"/>
        <v>498.51928999999996</v>
      </c>
      <c r="Q42" s="536">
        <f t="shared" si="57"/>
        <v>0</v>
      </c>
      <c r="R42" s="536">
        <f t="shared" si="57"/>
        <v>8070.2516700000006</v>
      </c>
      <c r="S42" s="536">
        <f t="shared" si="57"/>
        <v>0</v>
      </c>
      <c r="T42" s="536">
        <f t="shared" si="57"/>
        <v>5283.1526700000004</v>
      </c>
      <c r="U42" s="536">
        <f t="shared" si="57"/>
        <v>0</v>
      </c>
      <c r="V42" s="536">
        <f t="shared" si="57"/>
        <v>2776.71857</v>
      </c>
      <c r="W42" s="536">
        <f t="shared" si="57"/>
        <v>0</v>
      </c>
      <c r="X42" s="536">
        <f t="shared" si="57"/>
        <v>422.83929000000001</v>
      </c>
      <c r="Y42" s="536">
        <f t="shared" si="57"/>
        <v>0</v>
      </c>
      <c r="Z42" s="536">
        <f t="shared" si="57"/>
        <v>441.01429000000002</v>
      </c>
      <c r="AA42" s="536">
        <f t="shared" si="57"/>
        <v>0</v>
      </c>
      <c r="AB42" s="536">
        <f t="shared" si="57"/>
        <v>461.21426000000002</v>
      </c>
      <c r="AC42" s="536">
        <f t="shared" si="57"/>
        <v>0</v>
      </c>
      <c r="AD42" s="536">
        <f t="shared" si="57"/>
        <v>188.62</v>
      </c>
      <c r="AE42" s="536">
        <f t="shared" si="57"/>
        <v>0</v>
      </c>
      <c r="AF42" s="431"/>
      <c r="AG42" s="574"/>
    </row>
    <row r="43" spans="1:33" ht="57" x14ac:dyDescent="0.35">
      <c r="A43" s="551" t="s">
        <v>37</v>
      </c>
      <c r="B43" s="552"/>
      <c r="C43" s="552"/>
      <c r="D43" s="552"/>
      <c r="E43" s="552"/>
      <c r="F43" s="552"/>
      <c r="G43" s="552"/>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431"/>
    </row>
    <row r="44" spans="1:33" x14ac:dyDescent="0.35">
      <c r="A44" s="533" t="s">
        <v>54</v>
      </c>
      <c r="B44" s="535"/>
      <c r="C44" s="535"/>
      <c r="D44" s="535"/>
      <c r="E44" s="535"/>
      <c r="F44" s="535"/>
      <c r="G44" s="535"/>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431"/>
    </row>
    <row r="45" spans="1:33" x14ac:dyDescent="0.35">
      <c r="A45" s="417" t="s">
        <v>34</v>
      </c>
      <c r="B45" s="540"/>
      <c r="C45" s="540"/>
      <c r="D45" s="540"/>
      <c r="E45" s="540"/>
      <c r="F45" s="540"/>
      <c r="G45" s="540"/>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431"/>
    </row>
    <row r="46" spans="1:33" ht="259.5" customHeight="1" x14ac:dyDescent="0.35">
      <c r="A46" s="581" t="s">
        <v>38</v>
      </c>
      <c r="B46" s="564"/>
      <c r="C46" s="564"/>
      <c r="D46" s="565"/>
      <c r="E46" s="565"/>
      <c r="F46" s="565"/>
      <c r="G46" s="565"/>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77" t="s">
        <v>559</v>
      </c>
    </row>
    <row r="47" spans="1:33" x14ac:dyDescent="0.35">
      <c r="A47" s="562" t="s">
        <v>31</v>
      </c>
      <c r="B47" s="560">
        <f>B48</f>
        <v>4058.1000000000004</v>
      </c>
      <c r="C47" s="560">
        <f t="shared" ref="C47:E47" si="58">C48</f>
        <v>1106.6303</v>
      </c>
      <c r="D47" s="560">
        <f t="shared" si="58"/>
        <v>854.49549999999999</v>
      </c>
      <c r="E47" s="560">
        <f t="shared" si="58"/>
        <v>854.49669000000006</v>
      </c>
      <c r="F47" s="571">
        <f>E47/B47</f>
        <v>0.21056570562578547</v>
      </c>
      <c r="G47" s="571">
        <f>E47/C47</f>
        <v>0.77216093757779813</v>
      </c>
      <c r="H47" s="561">
        <f t="shared" ref="H47" si="59">H48</f>
        <v>538.10130000000004</v>
      </c>
      <c r="I47" s="561">
        <f t="shared" ref="I47" si="60">I48</f>
        <v>256.75177000000002</v>
      </c>
      <c r="J47" s="561">
        <f t="shared" ref="J47" si="61">J48</f>
        <v>315.94600000000003</v>
      </c>
      <c r="K47" s="561">
        <f t="shared" ref="K47" si="62">K48</f>
        <v>375.87491999999997</v>
      </c>
      <c r="L47" s="561">
        <f t="shared" ref="L47" si="63">L48</f>
        <v>252.583</v>
      </c>
      <c r="M47" s="561">
        <f t="shared" ref="M47" si="64">M48</f>
        <v>221.87</v>
      </c>
      <c r="N47" s="561">
        <f t="shared" ref="N47" si="65">N48</f>
        <v>537.48900000000003</v>
      </c>
      <c r="O47" s="561">
        <f t="shared" ref="O47" si="66">O48</f>
        <v>0</v>
      </c>
      <c r="P47" s="561">
        <f t="shared" ref="P47" si="67">P48</f>
        <v>294.02600000000001</v>
      </c>
      <c r="Q47" s="561">
        <f t="shared" ref="Q47" si="68">Q48</f>
        <v>0</v>
      </c>
      <c r="R47" s="561">
        <f t="shared" ref="R47" si="69">R48</f>
        <v>252.583</v>
      </c>
      <c r="S47" s="561">
        <f t="shared" ref="S47" si="70">S48</f>
        <v>0</v>
      </c>
      <c r="T47" s="561">
        <f t="shared" ref="T47" si="71">T48</f>
        <v>397.97899999999998</v>
      </c>
      <c r="U47" s="561">
        <f t="shared" ref="U47" si="72">U48</f>
        <v>0</v>
      </c>
      <c r="V47" s="561">
        <f t="shared" ref="V47" si="73">V48</f>
        <v>287.51600000000002</v>
      </c>
      <c r="W47" s="561">
        <f t="shared" ref="W47" si="74">W48</f>
        <v>0</v>
      </c>
      <c r="X47" s="561">
        <f t="shared" ref="X47" si="75">X48</f>
        <v>252.57300000000001</v>
      </c>
      <c r="Y47" s="561">
        <f t="shared" ref="Y47" si="76">Y48</f>
        <v>0</v>
      </c>
      <c r="Z47" s="561">
        <f t="shared" ref="Z47" si="77">Z48</f>
        <v>391.27800000000002</v>
      </c>
      <c r="AA47" s="561">
        <f t="shared" ref="AA47" si="78">AA48</f>
        <v>0</v>
      </c>
      <c r="AB47" s="561">
        <f t="shared" ref="AB47" si="79">AB48</f>
        <v>287.56560000000002</v>
      </c>
      <c r="AC47" s="561">
        <f t="shared" ref="AC47" si="80">AC48</f>
        <v>0</v>
      </c>
      <c r="AD47" s="561">
        <f t="shared" ref="AD47" si="81">AD48</f>
        <v>250.46010000000001</v>
      </c>
      <c r="AE47" s="561">
        <f t="shared" ref="AE47" si="82">AE48</f>
        <v>0</v>
      </c>
      <c r="AF47" s="431"/>
      <c r="AG47" s="576">
        <f t="shared" ref="AG47:AG55" si="83">C47-E47</f>
        <v>252.13360999999998</v>
      </c>
    </row>
    <row r="48" spans="1:33" x14ac:dyDescent="0.35">
      <c r="A48" s="414" t="s">
        <v>32</v>
      </c>
      <c r="B48" s="534">
        <f>H48+J48+L48+N48+P48+R48+T48+V48+X48+Z48+AB48+AD48</f>
        <v>4058.1000000000004</v>
      </c>
      <c r="C48" s="412">
        <f>H48+J48+L48</f>
        <v>1106.6303</v>
      </c>
      <c r="D48" s="412">
        <v>854.49549999999999</v>
      </c>
      <c r="E48" s="534">
        <f>I48+K48+M48+O48+Q48+S48+U48+W48+Y48+AA48+AC48+AE48</f>
        <v>854.49669000000006</v>
      </c>
      <c r="F48" s="572">
        <f>E48/B48</f>
        <v>0.21056570562578547</v>
      </c>
      <c r="G48" s="572">
        <f>E48/C48</f>
        <v>0.77216093757779813</v>
      </c>
      <c r="H48" s="427">
        <v>538.10130000000004</v>
      </c>
      <c r="I48" s="427">
        <v>256.75177000000002</v>
      </c>
      <c r="J48" s="427">
        <v>315.94600000000003</v>
      </c>
      <c r="K48" s="427">
        <v>375.87491999999997</v>
      </c>
      <c r="L48" s="427">
        <v>252.583</v>
      </c>
      <c r="M48" s="427">
        <v>221.87</v>
      </c>
      <c r="N48" s="427">
        <v>537.48900000000003</v>
      </c>
      <c r="O48" s="427"/>
      <c r="P48" s="427">
        <v>294.02600000000001</v>
      </c>
      <c r="Q48" s="427"/>
      <c r="R48" s="427">
        <v>252.583</v>
      </c>
      <c r="S48" s="427"/>
      <c r="T48" s="427">
        <v>397.97899999999998</v>
      </c>
      <c r="U48" s="427"/>
      <c r="V48" s="427">
        <v>287.51600000000002</v>
      </c>
      <c r="W48" s="427"/>
      <c r="X48" s="427">
        <v>252.57300000000001</v>
      </c>
      <c r="Y48" s="427"/>
      <c r="Z48" s="427">
        <v>391.27800000000002</v>
      </c>
      <c r="AA48" s="427"/>
      <c r="AB48" s="427">
        <v>287.56560000000002</v>
      </c>
      <c r="AC48" s="427"/>
      <c r="AD48" s="427">
        <v>250.46010000000001</v>
      </c>
      <c r="AE48" s="427"/>
      <c r="AF48" s="431"/>
      <c r="AG48" s="574">
        <f t="shared" si="83"/>
        <v>252.13360999999998</v>
      </c>
    </row>
    <row r="49" spans="1:33" ht="131.25" x14ac:dyDescent="0.35">
      <c r="A49" s="581" t="s">
        <v>39</v>
      </c>
      <c r="B49" s="564"/>
      <c r="C49" s="564"/>
      <c r="D49" s="564"/>
      <c r="E49" s="564"/>
      <c r="F49" s="565"/>
      <c r="G49" s="565"/>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431"/>
    </row>
    <row r="50" spans="1:33" x14ac:dyDescent="0.35">
      <c r="A50" s="562" t="s">
        <v>31</v>
      </c>
      <c r="B50" s="560">
        <f>B51</f>
        <v>22</v>
      </c>
      <c r="C50" s="560">
        <f t="shared" ref="C50:E50" si="84">C51</f>
        <v>0</v>
      </c>
      <c r="D50" s="560">
        <f t="shared" si="84"/>
        <v>0</v>
      </c>
      <c r="E50" s="560">
        <f t="shared" si="84"/>
        <v>0</v>
      </c>
      <c r="F50" s="571">
        <f>E50/B50</f>
        <v>0</v>
      </c>
      <c r="G50" s="571" t="e">
        <f>E50/C50</f>
        <v>#DIV/0!</v>
      </c>
      <c r="H50" s="561">
        <f>H51</f>
        <v>0</v>
      </c>
      <c r="I50" s="561">
        <f t="shared" ref="I50:AE50" si="85">I51</f>
        <v>0</v>
      </c>
      <c r="J50" s="561">
        <f t="shared" si="85"/>
        <v>0</v>
      </c>
      <c r="K50" s="561">
        <f t="shared" si="85"/>
        <v>0</v>
      </c>
      <c r="L50" s="561">
        <f t="shared" si="85"/>
        <v>0</v>
      </c>
      <c r="M50" s="561">
        <f t="shared" si="85"/>
        <v>0</v>
      </c>
      <c r="N50" s="561">
        <f t="shared" si="85"/>
        <v>22</v>
      </c>
      <c r="O50" s="561">
        <f t="shared" si="85"/>
        <v>0</v>
      </c>
      <c r="P50" s="561">
        <f t="shared" si="85"/>
        <v>0</v>
      </c>
      <c r="Q50" s="561">
        <f t="shared" si="85"/>
        <v>0</v>
      </c>
      <c r="R50" s="561">
        <f t="shared" si="85"/>
        <v>0</v>
      </c>
      <c r="S50" s="561">
        <f t="shared" si="85"/>
        <v>0</v>
      </c>
      <c r="T50" s="561">
        <f t="shared" si="85"/>
        <v>0</v>
      </c>
      <c r="U50" s="561">
        <f t="shared" si="85"/>
        <v>0</v>
      </c>
      <c r="V50" s="561">
        <f t="shared" si="85"/>
        <v>0</v>
      </c>
      <c r="W50" s="561">
        <f t="shared" si="85"/>
        <v>0</v>
      </c>
      <c r="X50" s="561">
        <f t="shared" si="85"/>
        <v>0</v>
      </c>
      <c r="Y50" s="561">
        <f t="shared" si="85"/>
        <v>0</v>
      </c>
      <c r="Z50" s="561">
        <f t="shared" si="85"/>
        <v>0</v>
      </c>
      <c r="AA50" s="561">
        <f t="shared" si="85"/>
        <v>0</v>
      </c>
      <c r="AB50" s="561">
        <f t="shared" si="85"/>
        <v>0</v>
      </c>
      <c r="AC50" s="561">
        <f t="shared" si="85"/>
        <v>0</v>
      </c>
      <c r="AD50" s="561">
        <f t="shared" si="85"/>
        <v>0</v>
      </c>
      <c r="AE50" s="536">
        <f t="shared" si="85"/>
        <v>0</v>
      </c>
      <c r="AF50" s="431"/>
      <c r="AG50" s="574">
        <f t="shared" si="83"/>
        <v>0</v>
      </c>
    </row>
    <row r="51" spans="1:33" x14ac:dyDescent="0.35">
      <c r="A51" s="414" t="s">
        <v>33</v>
      </c>
      <c r="B51" s="534">
        <f>H51+J51+L51+N51+P51+R51+T51+V51+X51+Z51+AB51+AD51</f>
        <v>22</v>
      </c>
      <c r="C51" s="412">
        <f>H51+J51+L51</f>
        <v>0</v>
      </c>
      <c r="D51" s="412"/>
      <c r="E51" s="534">
        <f>I51+K51+M51+O51+Q51+S51+U51+W51+Y51+AA51+AC51+AE51</f>
        <v>0</v>
      </c>
      <c r="F51" s="572">
        <f>E51/B51</f>
        <v>0</v>
      </c>
      <c r="G51" s="572" t="e">
        <f>E51/C51</f>
        <v>#DIV/0!</v>
      </c>
      <c r="H51" s="427"/>
      <c r="I51" s="427"/>
      <c r="J51" s="427"/>
      <c r="K51" s="427"/>
      <c r="L51" s="427"/>
      <c r="M51" s="427"/>
      <c r="N51" s="427">
        <v>22</v>
      </c>
      <c r="O51" s="427"/>
      <c r="P51" s="427"/>
      <c r="Q51" s="427"/>
      <c r="R51" s="427"/>
      <c r="S51" s="427"/>
      <c r="T51" s="427"/>
      <c r="U51" s="427"/>
      <c r="V51" s="427"/>
      <c r="W51" s="427"/>
      <c r="X51" s="427"/>
      <c r="Y51" s="427"/>
      <c r="Z51" s="427"/>
      <c r="AA51" s="427"/>
      <c r="AB51" s="427"/>
      <c r="AC51" s="427"/>
      <c r="AD51" s="427"/>
      <c r="AE51" s="427"/>
      <c r="AF51" s="431"/>
      <c r="AG51" s="574">
        <f t="shared" si="83"/>
        <v>0</v>
      </c>
    </row>
    <row r="52" spans="1:33" x14ac:dyDescent="0.35">
      <c r="A52" s="415" t="s">
        <v>35</v>
      </c>
      <c r="B52" s="541"/>
      <c r="C52" s="541"/>
      <c r="D52" s="541"/>
      <c r="E52" s="541"/>
      <c r="F52" s="542"/>
      <c r="G52" s="542"/>
      <c r="H52" s="543"/>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431"/>
    </row>
    <row r="53" spans="1:33" x14ac:dyDescent="0.35">
      <c r="A53" s="562" t="s">
        <v>31</v>
      </c>
      <c r="B53" s="560">
        <f>B54+B55</f>
        <v>4080.1000000000004</v>
      </c>
      <c r="C53" s="560">
        <f>C54+C55</f>
        <v>1106.6303</v>
      </c>
      <c r="D53" s="560">
        <f>D54+D55</f>
        <v>854.49549999999999</v>
      </c>
      <c r="E53" s="560">
        <f>E54+E55</f>
        <v>854.49669000000006</v>
      </c>
      <c r="F53" s="571">
        <f>E53/B53</f>
        <v>0.20943033013896717</v>
      </c>
      <c r="G53" s="571">
        <f>E53/C53</f>
        <v>0.77216093757779813</v>
      </c>
      <c r="H53" s="561">
        <f>H54+H55</f>
        <v>538.10130000000004</v>
      </c>
      <c r="I53" s="561">
        <f>I54+I55</f>
        <v>256.75177000000002</v>
      </c>
      <c r="J53" s="561">
        <f t="shared" ref="J53:K53" si="86">J54+J55</f>
        <v>315.94600000000003</v>
      </c>
      <c r="K53" s="561">
        <f t="shared" si="86"/>
        <v>375.87491999999997</v>
      </c>
      <c r="L53" s="561">
        <f t="shared" ref="L53" si="87">L54+L55</f>
        <v>252.583</v>
      </c>
      <c r="M53" s="561">
        <f t="shared" ref="M53:N53" si="88">M54+M55</f>
        <v>221.87</v>
      </c>
      <c r="N53" s="561">
        <f t="shared" si="88"/>
        <v>559.48900000000003</v>
      </c>
      <c r="O53" s="561">
        <f t="shared" ref="O53" si="89">O54+O55</f>
        <v>0</v>
      </c>
      <c r="P53" s="561">
        <f t="shared" ref="P53:Q53" si="90">P54+P55</f>
        <v>294.02600000000001</v>
      </c>
      <c r="Q53" s="561">
        <f t="shared" si="90"/>
        <v>0</v>
      </c>
      <c r="R53" s="561">
        <f t="shared" ref="R53" si="91">R54+R55</f>
        <v>252.583</v>
      </c>
      <c r="S53" s="561">
        <f t="shared" ref="S53:T53" si="92">S54+S55</f>
        <v>0</v>
      </c>
      <c r="T53" s="561">
        <f t="shared" si="92"/>
        <v>397.97899999999998</v>
      </c>
      <c r="U53" s="561">
        <f t="shared" ref="U53" si="93">U54+U55</f>
        <v>0</v>
      </c>
      <c r="V53" s="561">
        <f t="shared" ref="V53:W53" si="94">V54+V55</f>
        <v>287.51600000000002</v>
      </c>
      <c r="W53" s="561">
        <f t="shared" si="94"/>
        <v>0</v>
      </c>
      <c r="X53" s="561">
        <f t="shared" ref="X53" si="95">X54+X55</f>
        <v>252.57300000000001</v>
      </c>
      <c r="Y53" s="561">
        <f t="shared" ref="Y53:Z53" si="96">Y54+Y55</f>
        <v>0</v>
      </c>
      <c r="Z53" s="561">
        <f t="shared" si="96"/>
        <v>391.27800000000002</v>
      </c>
      <c r="AA53" s="561">
        <f t="shared" ref="AA53" si="97">AA54+AA55</f>
        <v>0</v>
      </c>
      <c r="AB53" s="561">
        <f t="shared" ref="AB53:AC53" si="98">AB54+AB55</f>
        <v>287.56560000000002</v>
      </c>
      <c r="AC53" s="561">
        <f t="shared" si="98"/>
        <v>0</v>
      </c>
      <c r="AD53" s="561">
        <f t="shared" ref="AD53" si="99">AD54+AD55</f>
        <v>250.46010000000001</v>
      </c>
      <c r="AE53" s="561">
        <f t="shared" ref="AE53" si="100">AE54+AE55</f>
        <v>0</v>
      </c>
      <c r="AF53" s="431"/>
      <c r="AG53" s="576">
        <f t="shared" si="83"/>
        <v>252.13360999999998</v>
      </c>
    </row>
    <row r="54" spans="1:33" x14ac:dyDescent="0.35">
      <c r="A54" s="533" t="s">
        <v>32</v>
      </c>
      <c r="B54" s="534">
        <f>B48</f>
        <v>4058.1000000000004</v>
      </c>
      <c r="C54" s="534">
        <f>C48</f>
        <v>1106.6303</v>
      </c>
      <c r="D54" s="534">
        <f>D48</f>
        <v>854.49549999999999</v>
      </c>
      <c r="E54" s="534">
        <f>E48</f>
        <v>854.49669000000006</v>
      </c>
      <c r="F54" s="572">
        <f>E54/B54</f>
        <v>0.21056570562578547</v>
      </c>
      <c r="G54" s="572">
        <f>E54/C54</f>
        <v>0.77216093757779813</v>
      </c>
      <c r="H54" s="536">
        <f>H48</f>
        <v>538.10130000000004</v>
      </c>
      <c r="I54" s="536">
        <f t="shared" ref="I54:K54" si="101">I48</f>
        <v>256.75177000000002</v>
      </c>
      <c r="J54" s="536">
        <f t="shared" si="101"/>
        <v>315.94600000000003</v>
      </c>
      <c r="K54" s="536">
        <f t="shared" si="101"/>
        <v>375.87491999999997</v>
      </c>
      <c r="L54" s="536">
        <f t="shared" ref="L54:AE54" si="102">L48</f>
        <v>252.583</v>
      </c>
      <c r="M54" s="536">
        <f t="shared" si="102"/>
        <v>221.87</v>
      </c>
      <c r="N54" s="536">
        <f t="shared" si="102"/>
        <v>537.48900000000003</v>
      </c>
      <c r="O54" s="536">
        <f t="shared" si="102"/>
        <v>0</v>
      </c>
      <c r="P54" s="536">
        <f t="shared" si="102"/>
        <v>294.02600000000001</v>
      </c>
      <c r="Q54" s="536">
        <f t="shared" si="102"/>
        <v>0</v>
      </c>
      <c r="R54" s="536">
        <f t="shared" si="102"/>
        <v>252.583</v>
      </c>
      <c r="S54" s="536">
        <f t="shared" si="102"/>
        <v>0</v>
      </c>
      <c r="T54" s="536">
        <f t="shared" si="102"/>
        <v>397.97899999999998</v>
      </c>
      <c r="U54" s="536">
        <f t="shared" si="102"/>
        <v>0</v>
      </c>
      <c r="V54" s="536">
        <f t="shared" si="102"/>
        <v>287.51600000000002</v>
      </c>
      <c r="W54" s="536">
        <f t="shared" si="102"/>
        <v>0</v>
      </c>
      <c r="X54" s="536">
        <f t="shared" si="102"/>
        <v>252.57300000000001</v>
      </c>
      <c r="Y54" s="536">
        <f t="shared" si="102"/>
        <v>0</v>
      </c>
      <c r="Z54" s="536">
        <f t="shared" si="102"/>
        <v>391.27800000000002</v>
      </c>
      <c r="AA54" s="536">
        <f t="shared" si="102"/>
        <v>0</v>
      </c>
      <c r="AB54" s="536">
        <f t="shared" si="102"/>
        <v>287.56560000000002</v>
      </c>
      <c r="AC54" s="536">
        <f t="shared" si="102"/>
        <v>0</v>
      </c>
      <c r="AD54" s="536">
        <f t="shared" si="102"/>
        <v>250.46010000000001</v>
      </c>
      <c r="AE54" s="536">
        <f t="shared" si="102"/>
        <v>0</v>
      </c>
      <c r="AF54" s="431"/>
      <c r="AG54" s="574">
        <f t="shared" si="83"/>
        <v>252.13360999999998</v>
      </c>
    </row>
    <row r="55" spans="1:33" x14ac:dyDescent="0.35">
      <c r="A55" s="533" t="s">
        <v>33</v>
      </c>
      <c r="B55" s="534">
        <f>B51</f>
        <v>22</v>
      </c>
      <c r="C55" s="534">
        <f>C51</f>
        <v>0</v>
      </c>
      <c r="D55" s="534">
        <f>D51</f>
        <v>0</v>
      </c>
      <c r="E55" s="534">
        <f>E51</f>
        <v>0</v>
      </c>
      <c r="F55" s="572">
        <f>E55/B55</f>
        <v>0</v>
      </c>
      <c r="G55" s="572" t="e">
        <f>E55/C55</f>
        <v>#DIV/0!</v>
      </c>
      <c r="H55" s="536">
        <f>H51</f>
        <v>0</v>
      </c>
      <c r="I55" s="536">
        <f>I51</f>
        <v>0</v>
      </c>
      <c r="J55" s="536">
        <f t="shared" ref="J55:K55" si="103">J51</f>
        <v>0</v>
      </c>
      <c r="K55" s="536">
        <f t="shared" si="103"/>
        <v>0</v>
      </c>
      <c r="L55" s="536">
        <f t="shared" ref="L55:AE55" si="104">L51</f>
        <v>0</v>
      </c>
      <c r="M55" s="536">
        <f t="shared" si="104"/>
        <v>0</v>
      </c>
      <c r="N55" s="536">
        <f t="shared" si="104"/>
        <v>22</v>
      </c>
      <c r="O55" s="536">
        <f t="shared" si="104"/>
        <v>0</v>
      </c>
      <c r="P55" s="536">
        <f t="shared" si="104"/>
        <v>0</v>
      </c>
      <c r="Q55" s="536">
        <f t="shared" si="104"/>
        <v>0</v>
      </c>
      <c r="R55" s="536">
        <f t="shared" si="104"/>
        <v>0</v>
      </c>
      <c r="S55" s="536">
        <f t="shared" si="104"/>
        <v>0</v>
      </c>
      <c r="T55" s="536">
        <f t="shared" si="104"/>
        <v>0</v>
      </c>
      <c r="U55" s="536">
        <f t="shared" si="104"/>
        <v>0</v>
      </c>
      <c r="V55" s="536">
        <f t="shared" si="104"/>
        <v>0</v>
      </c>
      <c r="W55" s="536">
        <f t="shared" si="104"/>
        <v>0</v>
      </c>
      <c r="X55" s="536">
        <f t="shared" si="104"/>
        <v>0</v>
      </c>
      <c r="Y55" s="536">
        <f t="shared" si="104"/>
        <v>0</v>
      </c>
      <c r="Z55" s="536">
        <f t="shared" si="104"/>
        <v>0</v>
      </c>
      <c r="AA55" s="536">
        <f t="shared" si="104"/>
        <v>0</v>
      </c>
      <c r="AB55" s="536">
        <f t="shared" si="104"/>
        <v>0</v>
      </c>
      <c r="AC55" s="536">
        <f t="shared" si="104"/>
        <v>0</v>
      </c>
      <c r="AD55" s="536">
        <f t="shared" si="104"/>
        <v>0</v>
      </c>
      <c r="AE55" s="536">
        <f t="shared" si="104"/>
        <v>0</v>
      </c>
      <c r="AF55" s="431"/>
      <c r="AG55" s="574">
        <f t="shared" si="83"/>
        <v>0</v>
      </c>
    </row>
    <row r="56" spans="1:33" ht="38.25" x14ac:dyDescent="0.35">
      <c r="A56" s="533" t="s">
        <v>73</v>
      </c>
      <c r="B56" s="534"/>
      <c r="C56" s="534"/>
      <c r="D56" s="534"/>
      <c r="E56" s="534"/>
      <c r="F56" s="534"/>
      <c r="G56" s="534"/>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431"/>
    </row>
    <row r="57" spans="1:33" x14ac:dyDescent="0.35">
      <c r="A57" s="562" t="s">
        <v>31</v>
      </c>
      <c r="B57" s="560">
        <f>B58+B59</f>
        <v>4080.1000000000004</v>
      </c>
      <c r="C57" s="560">
        <f>C58+C59</f>
        <v>1106.6303</v>
      </c>
      <c r="D57" s="560">
        <f t="shared" ref="D57:E57" si="105">D58+D59</f>
        <v>854.49549999999999</v>
      </c>
      <c r="E57" s="560">
        <f t="shared" si="105"/>
        <v>854.49669000000006</v>
      </c>
      <c r="F57" s="571">
        <f>E57/B57</f>
        <v>0.20943033013896717</v>
      </c>
      <c r="G57" s="571">
        <f>E57/C57</f>
        <v>0.77216093757779813</v>
      </c>
      <c r="H57" s="561">
        <f>H58+H59</f>
        <v>538.10130000000004</v>
      </c>
      <c r="I57" s="561">
        <f t="shared" ref="I57:AE57" si="106">I58+I59</f>
        <v>256.75177000000002</v>
      </c>
      <c r="J57" s="561">
        <f t="shared" si="106"/>
        <v>315.94600000000003</v>
      </c>
      <c r="K57" s="561">
        <f t="shared" si="106"/>
        <v>375.87491999999997</v>
      </c>
      <c r="L57" s="561">
        <f t="shared" si="106"/>
        <v>252.583</v>
      </c>
      <c r="M57" s="561">
        <f t="shared" si="106"/>
        <v>221.87</v>
      </c>
      <c r="N57" s="561">
        <f t="shared" si="106"/>
        <v>559.48900000000003</v>
      </c>
      <c r="O57" s="561">
        <f t="shared" si="106"/>
        <v>0</v>
      </c>
      <c r="P57" s="561">
        <f t="shared" si="106"/>
        <v>294.02600000000001</v>
      </c>
      <c r="Q57" s="561">
        <f t="shared" si="106"/>
        <v>0</v>
      </c>
      <c r="R57" s="561">
        <f t="shared" si="106"/>
        <v>252.583</v>
      </c>
      <c r="S57" s="561">
        <f t="shared" si="106"/>
        <v>0</v>
      </c>
      <c r="T57" s="561">
        <f t="shared" si="106"/>
        <v>397.97899999999998</v>
      </c>
      <c r="U57" s="561">
        <f t="shared" si="106"/>
        <v>0</v>
      </c>
      <c r="V57" s="561">
        <f t="shared" si="106"/>
        <v>287.51600000000002</v>
      </c>
      <c r="W57" s="561">
        <f t="shared" si="106"/>
        <v>0</v>
      </c>
      <c r="X57" s="561">
        <f t="shared" si="106"/>
        <v>252.57300000000001</v>
      </c>
      <c r="Y57" s="561">
        <f t="shared" si="106"/>
        <v>0</v>
      </c>
      <c r="Z57" s="561">
        <f t="shared" si="106"/>
        <v>391.27800000000002</v>
      </c>
      <c r="AA57" s="561">
        <f t="shared" si="106"/>
        <v>0</v>
      </c>
      <c r="AB57" s="561">
        <f t="shared" si="106"/>
        <v>287.56560000000002</v>
      </c>
      <c r="AC57" s="561">
        <f t="shared" si="106"/>
        <v>0</v>
      </c>
      <c r="AD57" s="561">
        <f t="shared" si="106"/>
        <v>250.46010000000001</v>
      </c>
      <c r="AE57" s="561">
        <f t="shared" si="106"/>
        <v>0</v>
      </c>
      <c r="AF57" s="431"/>
    </row>
    <row r="58" spans="1:33" x14ac:dyDescent="0.35">
      <c r="A58" s="533" t="s">
        <v>32</v>
      </c>
      <c r="B58" s="534">
        <f>B54</f>
        <v>4058.1000000000004</v>
      </c>
      <c r="C58" s="534">
        <f>C54</f>
        <v>1106.6303</v>
      </c>
      <c r="D58" s="534">
        <f>D54</f>
        <v>854.49549999999999</v>
      </c>
      <c r="E58" s="534">
        <f>E54</f>
        <v>854.49669000000006</v>
      </c>
      <c r="F58" s="572">
        <f>E58/B58</f>
        <v>0.21056570562578547</v>
      </c>
      <c r="G58" s="572">
        <f>E58/C58</f>
        <v>0.77216093757779813</v>
      </c>
      <c r="H58" s="536">
        <f>H54</f>
        <v>538.10130000000004</v>
      </c>
      <c r="I58" s="536">
        <f t="shared" ref="I58:AE58" si="107">I54</f>
        <v>256.75177000000002</v>
      </c>
      <c r="J58" s="536">
        <f t="shared" si="107"/>
        <v>315.94600000000003</v>
      </c>
      <c r="K58" s="536">
        <f t="shared" si="107"/>
        <v>375.87491999999997</v>
      </c>
      <c r="L58" s="536">
        <f t="shared" si="107"/>
        <v>252.583</v>
      </c>
      <c r="M58" s="536">
        <f t="shared" si="107"/>
        <v>221.87</v>
      </c>
      <c r="N58" s="536">
        <f t="shared" si="107"/>
        <v>537.48900000000003</v>
      </c>
      <c r="O58" s="536">
        <f t="shared" si="107"/>
        <v>0</v>
      </c>
      <c r="P58" s="536">
        <f t="shared" si="107"/>
        <v>294.02600000000001</v>
      </c>
      <c r="Q58" s="536">
        <f t="shared" si="107"/>
        <v>0</v>
      </c>
      <c r="R58" s="536">
        <f t="shared" si="107"/>
        <v>252.583</v>
      </c>
      <c r="S58" s="536">
        <f t="shared" si="107"/>
        <v>0</v>
      </c>
      <c r="T58" s="536">
        <f t="shared" si="107"/>
        <v>397.97899999999998</v>
      </c>
      <c r="U58" s="536">
        <f t="shared" si="107"/>
        <v>0</v>
      </c>
      <c r="V58" s="536">
        <f t="shared" si="107"/>
        <v>287.51600000000002</v>
      </c>
      <c r="W58" s="536">
        <f t="shared" si="107"/>
        <v>0</v>
      </c>
      <c r="X58" s="536">
        <f t="shared" si="107"/>
        <v>252.57300000000001</v>
      </c>
      <c r="Y58" s="536">
        <f t="shared" si="107"/>
        <v>0</v>
      </c>
      <c r="Z58" s="536">
        <f t="shared" si="107"/>
        <v>391.27800000000002</v>
      </c>
      <c r="AA58" s="536">
        <f t="shared" si="107"/>
        <v>0</v>
      </c>
      <c r="AB58" s="536">
        <f t="shared" si="107"/>
        <v>287.56560000000002</v>
      </c>
      <c r="AC58" s="536">
        <f t="shared" si="107"/>
        <v>0</v>
      </c>
      <c r="AD58" s="536">
        <f t="shared" si="107"/>
        <v>250.46010000000001</v>
      </c>
      <c r="AE58" s="536">
        <f t="shared" si="107"/>
        <v>0</v>
      </c>
      <c r="AF58" s="431"/>
    </row>
    <row r="59" spans="1:33" x14ac:dyDescent="0.35">
      <c r="A59" s="533" t="s">
        <v>33</v>
      </c>
      <c r="B59" s="534">
        <f>B55</f>
        <v>22</v>
      </c>
      <c r="C59" s="534">
        <f>C55</f>
        <v>0</v>
      </c>
      <c r="D59" s="534">
        <f t="shared" ref="D59:E59" si="108">D55</f>
        <v>0</v>
      </c>
      <c r="E59" s="534">
        <f t="shared" si="108"/>
        <v>0</v>
      </c>
      <c r="F59" s="572">
        <f>E59/B59</f>
        <v>0</v>
      </c>
      <c r="G59" s="572" t="e">
        <f>E59/C59</f>
        <v>#DIV/0!</v>
      </c>
      <c r="H59" s="536">
        <f>H55</f>
        <v>0</v>
      </c>
      <c r="I59" s="536">
        <f t="shared" ref="I59:AE59" si="109">I55</f>
        <v>0</v>
      </c>
      <c r="J59" s="536">
        <f t="shared" si="109"/>
        <v>0</v>
      </c>
      <c r="K59" s="536">
        <f t="shared" si="109"/>
        <v>0</v>
      </c>
      <c r="L59" s="536">
        <f t="shared" si="109"/>
        <v>0</v>
      </c>
      <c r="M59" s="536">
        <f t="shared" si="109"/>
        <v>0</v>
      </c>
      <c r="N59" s="536">
        <f t="shared" si="109"/>
        <v>22</v>
      </c>
      <c r="O59" s="536">
        <f t="shared" si="109"/>
        <v>0</v>
      </c>
      <c r="P59" s="536">
        <f t="shared" si="109"/>
        <v>0</v>
      </c>
      <c r="Q59" s="536">
        <f t="shared" si="109"/>
        <v>0</v>
      </c>
      <c r="R59" s="536">
        <f t="shared" si="109"/>
        <v>0</v>
      </c>
      <c r="S59" s="536">
        <f t="shared" si="109"/>
        <v>0</v>
      </c>
      <c r="T59" s="536">
        <f t="shared" si="109"/>
        <v>0</v>
      </c>
      <c r="U59" s="536">
        <f t="shared" si="109"/>
        <v>0</v>
      </c>
      <c r="V59" s="536">
        <f t="shared" si="109"/>
        <v>0</v>
      </c>
      <c r="W59" s="536">
        <f t="shared" si="109"/>
        <v>0</v>
      </c>
      <c r="X59" s="536">
        <f t="shared" si="109"/>
        <v>0</v>
      </c>
      <c r="Y59" s="536">
        <f t="shared" si="109"/>
        <v>0</v>
      </c>
      <c r="Z59" s="536">
        <f t="shared" si="109"/>
        <v>0</v>
      </c>
      <c r="AA59" s="536">
        <f t="shared" si="109"/>
        <v>0</v>
      </c>
      <c r="AB59" s="536">
        <f t="shared" si="109"/>
        <v>0</v>
      </c>
      <c r="AC59" s="536">
        <f t="shared" si="109"/>
        <v>0</v>
      </c>
      <c r="AD59" s="536">
        <f t="shared" si="109"/>
        <v>0</v>
      </c>
      <c r="AE59" s="536">
        <f t="shared" si="109"/>
        <v>0</v>
      </c>
      <c r="AF59" s="431"/>
    </row>
    <row r="60" spans="1:33" x14ac:dyDescent="0.35">
      <c r="A60" s="416" t="s">
        <v>66</v>
      </c>
      <c r="B60" s="541"/>
      <c r="C60" s="542"/>
      <c r="D60" s="542"/>
      <c r="E60" s="542"/>
      <c r="F60" s="542"/>
      <c r="G60" s="542"/>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431"/>
    </row>
    <row r="61" spans="1:33" x14ac:dyDescent="0.35">
      <c r="A61" s="562" t="s">
        <v>31</v>
      </c>
      <c r="B61" s="560">
        <f>B62+B63</f>
        <v>33380.600000000006</v>
      </c>
      <c r="C61" s="560">
        <f>C62+C63</f>
        <v>3098.7894500000002</v>
      </c>
      <c r="D61" s="560">
        <f t="shared" ref="D61:E61" si="110">D62+D63</f>
        <v>2750.7907800000003</v>
      </c>
      <c r="E61" s="560">
        <f t="shared" si="110"/>
        <v>2424.09782</v>
      </c>
      <c r="F61" s="571">
        <f>E61/B61</f>
        <v>7.2619959497432621E-2</v>
      </c>
      <c r="G61" s="571">
        <f>E61/C61</f>
        <v>0.78227251612722504</v>
      </c>
      <c r="H61" s="561">
        <f>H62+H63</f>
        <v>584.71630000000005</v>
      </c>
      <c r="I61" s="561">
        <f t="shared" ref="I61:AE61" si="111">I62+I63</f>
        <v>269.75177000000002</v>
      </c>
      <c r="J61" s="561">
        <f t="shared" si="111"/>
        <v>1521.7508600000001</v>
      </c>
      <c r="K61" s="561">
        <f t="shared" si="111"/>
        <v>1190.29105</v>
      </c>
      <c r="L61" s="561">
        <f t="shared" si="111"/>
        <v>992.32229000000007</v>
      </c>
      <c r="M61" s="561">
        <f t="shared" si="111"/>
        <v>964.05500000000006</v>
      </c>
      <c r="N61" s="561">
        <f t="shared" si="111"/>
        <v>1849.8998099999999</v>
      </c>
      <c r="O61" s="561">
        <f t="shared" si="111"/>
        <v>0</v>
      </c>
      <c r="P61" s="561">
        <f t="shared" si="111"/>
        <v>1057.6452899999999</v>
      </c>
      <c r="Q61" s="561">
        <f t="shared" si="111"/>
        <v>0</v>
      </c>
      <c r="R61" s="561">
        <f t="shared" si="111"/>
        <v>10837.934670000001</v>
      </c>
      <c r="S61" s="561">
        <f t="shared" si="111"/>
        <v>0</v>
      </c>
      <c r="T61" s="561">
        <f t="shared" si="111"/>
        <v>7796.2316700000001</v>
      </c>
      <c r="U61" s="561">
        <f t="shared" si="111"/>
        <v>0</v>
      </c>
      <c r="V61" s="561">
        <f t="shared" si="111"/>
        <v>5121.2345700000005</v>
      </c>
      <c r="W61" s="561">
        <f t="shared" si="111"/>
        <v>0</v>
      </c>
      <c r="X61" s="561">
        <f t="shared" si="111"/>
        <v>899.11229000000003</v>
      </c>
      <c r="Y61" s="561">
        <f t="shared" si="111"/>
        <v>0</v>
      </c>
      <c r="Z61" s="561">
        <f t="shared" si="111"/>
        <v>1098.39229</v>
      </c>
      <c r="AA61" s="561">
        <f t="shared" si="111"/>
        <v>0</v>
      </c>
      <c r="AB61" s="561">
        <f t="shared" si="111"/>
        <v>1014.17986</v>
      </c>
      <c r="AC61" s="561">
        <f t="shared" si="111"/>
        <v>0</v>
      </c>
      <c r="AD61" s="561">
        <f t="shared" si="111"/>
        <v>607.18010000000004</v>
      </c>
      <c r="AE61" s="561">
        <f t="shared" si="111"/>
        <v>0</v>
      </c>
      <c r="AF61" s="431"/>
      <c r="AG61" s="576">
        <f t="shared" ref="AG61:AG63" si="112">C61-E61</f>
        <v>674.69163000000026</v>
      </c>
    </row>
    <row r="62" spans="1:33" x14ac:dyDescent="0.35">
      <c r="A62" s="554" t="s">
        <v>32</v>
      </c>
      <c r="B62" s="534">
        <f>B37+B54</f>
        <v>12755.300000000001</v>
      </c>
      <c r="C62" s="534">
        <f>C37+C54</f>
        <v>1663.1303</v>
      </c>
      <c r="D62" s="534">
        <f>D37+D54</f>
        <v>1384.3716300000001</v>
      </c>
      <c r="E62" s="534">
        <f>E37+E54</f>
        <v>1384.3798200000001</v>
      </c>
      <c r="F62" s="572">
        <f>E62/B62</f>
        <v>0.10853369344507773</v>
      </c>
      <c r="G62" s="572">
        <f>E62/C62</f>
        <v>0.83239408241194335</v>
      </c>
      <c r="H62" s="536">
        <f>H37+H54</f>
        <v>553.10130000000004</v>
      </c>
      <c r="I62" s="536">
        <f t="shared" ref="I62:AE62" si="113">I37+I54</f>
        <v>256.75177000000002</v>
      </c>
      <c r="J62" s="536">
        <f t="shared" si="113"/>
        <v>592.346</v>
      </c>
      <c r="K62" s="536">
        <f t="shared" si="113"/>
        <v>646.42804999999998</v>
      </c>
      <c r="L62" s="536">
        <f t="shared" si="113"/>
        <v>517.68299999999999</v>
      </c>
      <c r="M62" s="536">
        <f t="shared" si="113"/>
        <v>481.2</v>
      </c>
      <c r="N62" s="536">
        <f t="shared" si="113"/>
        <v>802.58900000000006</v>
      </c>
      <c r="O62" s="536">
        <f t="shared" si="113"/>
        <v>0</v>
      </c>
      <c r="P62" s="536">
        <f t="shared" si="113"/>
        <v>559.12599999999998</v>
      </c>
      <c r="Q62" s="536">
        <f t="shared" si="113"/>
        <v>0</v>
      </c>
      <c r="R62" s="536">
        <f t="shared" si="113"/>
        <v>2767.683</v>
      </c>
      <c r="S62" s="536">
        <f t="shared" si="113"/>
        <v>0</v>
      </c>
      <c r="T62" s="536">
        <f t="shared" si="113"/>
        <v>2513.0789999999997</v>
      </c>
      <c r="U62" s="536">
        <f t="shared" si="113"/>
        <v>0</v>
      </c>
      <c r="V62" s="536">
        <f t="shared" si="113"/>
        <v>2344.5160000000001</v>
      </c>
      <c r="W62" s="536">
        <f t="shared" si="113"/>
        <v>0</v>
      </c>
      <c r="X62" s="536">
        <f t="shared" si="113"/>
        <v>476.27300000000002</v>
      </c>
      <c r="Y62" s="536">
        <f t="shared" si="113"/>
        <v>0</v>
      </c>
      <c r="Z62" s="536">
        <f t="shared" si="113"/>
        <v>657.37800000000004</v>
      </c>
      <c r="AA62" s="536">
        <f t="shared" si="113"/>
        <v>0</v>
      </c>
      <c r="AB62" s="536">
        <f t="shared" si="113"/>
        <v>552.96559999999999</v>
      </c>
      <c r="AC62" s="536">
        <f t="shared" si="113"/>
        <v>0</v>
      </c>
      <c r="AD62" s="536">
        <f t="shared" si="113"/>
        <v>418.56010000000003</v>
      </c>
      <c r="AE62" s="561">
        <f t="shared" si="113"/>
        <v>0</v>
      </c>
      <c r="AF62" s="431"/>
      <c r="AG62" s="574">
        <f t="shared" si="112"/>
        <v>278.75047999999992</v>
      </c>
    </row>
    <row r="63" spans="1:33" x14ac:dyDescent="0.35">
      <c r="A63" s="554" t="s">
        <v>33</v>
      </c>
      <c r="B63" s="534">
        <f>B38+B55</f>
        <v>20625.300000000003</v>
      </c>
      <c r="C63" s="534">
        <f>C38+C55</f>
        <v>1435.65915</v>
      </c>
      <c r="D63" s="534">
        <f t="shared" ref="D63:E63" si="114">D38</f>
        <v>1366.4191499999999</v>
      </c>
      <c r="E63" s="534">
        <f t="shared" si="114"/>
        <v>1039.7180000000001</v>
      </c>
      <c r="F63" s="572">
        <f>E63/B63</f>
        <v>5.0409836462984775E-2</v>
      </c>
      <c r="G63" s="572">
        <f>E63/C63</f>
        <v>0.72420950334903667</v>
      </c>
      <c r="H63" s="536">
        <f>H38+H55</f>
        <v>31.614999999999998</v>
      </c>
      <c r="I63" s="536">
        <f t="shared" ref="I63:AE63" si="115">I38+I55</f>
        <v>13</v>
      </c>
      <c r="J63" s="536">
        <f t="shared" si="115"/>
        <v>929.40485999999999</v>
      </c>
      <c r="K63" s="536">
        <f t="shared" si="115"/>
        <v>543.86300000000006</v>
      </c>
      <c r="L63" s="536">
        <f t="shared" si="115"/>
        <v>474.63929000000002</v>
      </c>
      <c r="M63" s="536">
        <f t="shared" si="115"/>
        <v>482.85500000000002</v>
      </c>
      <c r="N63" s="536">
        <f t="shared" si="115"/>
        <v>1047.3108099999999</v>
      </c>
      <c r="O63" s="536">
        <f t="shared" si="115"/>
        <v>0</v>
      </c>
      <c r="P63" s="536">
        <f t="shared" si="115"/>
        <v>498.51928999999996</v>
      </c>
      <c r="Q63" s="536">
        <f t="shared" si="115"/>
        <v>0</v>
      </c>
      <c r="R63" s="536">
        <f t="shared" si="115"/>
        <v>8070.2516700000006</v>
      </c>
      <c r="S63" s="536">
        <f t="shared" si="115"/>
        <v>0</v>
      </c>
      <c r="T63" s="536">
        <f t="shared" si="115"/>
        <v>5283.1526700000004</v>
      </c>
      <c r="U63" s="536">
        <f t="shared" si="115"/>
        <v>0</v>
      </c>
      <c r="V63" s="536">
        <f t="shared" si="115"/>
        <v>2776.71857</v>
      </c>
      <c r="W63" s="536">
        <f t="shared" si="115"/>
        <v>0</v>
      </c>
      <c r="X63" s="536">
        <f t="shared" si="115"/>
        <v>422.83929000000001</v>
      </c>
      <c r="Y63" s="536">
        <f t="shared" si="115"/>
        <v>0</v>
      </c>
      <c r="Z63" s="536">
        <f t="shared" si="115"/>
        <v>441.01429000000002</v>
      </c>
      <c r="AA63" s="536">
        <f t="shared" si="115"/>
        <v>0</v>
      </c>
      <c r="AB63" s="536">
        <f t="shared" si="115"/>
        <v>461.21426000000002</v>
      </c>
      <c r="AC63" s="536">
        <f t="shared" si="115"/>
        <v>0</v>
      </c>
      <c r="AD63" s="536">
        <f t="shared" si="115"/>
        <v>188.62</v>
      </c>
      <c r="AE63" s="561">
        <f t="shared" si="115"/>
        <v>0</v>
      </c>
      <c r="AF63" s="431"/>
      <c r="AG63" s="574">
        <f t="shared" si="112"/>
        <v>395.94114999999988</v>
      </c>
    </row>
    <row r="64" spans="1:33" s="418" customFormat="1" ht="37.5" x14ac:dyDescent="0.3">
      <c r="A64" s="554" t="s">
        <v>67</v>
      </c>
      <c r="B64" s="557"/>
      <c r="C64" s="557"/>
      <c r="D64" s="557"/>
      <c r="E64" s="557"/>
      <c r="F64" s="534"/>
      <c r="G64" s="534"/>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429"/>
      <c r="AG64" s="575"/>
    </row>
    <row r="65" spans="1:33" s="418" customFormat="1" ht="20.25" x14ac:dyDescent="0.3">
      <c r="A65" s="562" t="s">
        <v>31</v>
      </c>
      <c r="B65" s="568">
        <f>B66+B67</f>
        <v>33380.600000000006</v>
      </c>
      <c r="C65" s="568">
        <f t="shared" ref="C65:E65" si="116">C66+C67</f>
        <v>3098.7894500000002</v>
      </c>
      <c r="D65" s="568">
        <f t="shared" si="116"/>
        <v>2750.7907800000003</v>
      </c>
      <c r="E65" s="568">
        <f t="shared" si="116"/>
        <v>2424.09782</v>
      </c>
      <c r="F65" s="571">
        <f>E65/B65</f>
        <v>7.2619959497432621E-2</v>
      </c>
      <c r="G65" s="571">
        <f>E65/C65</f>
        <v>0.78227251612722504</v>
      </c>
      <c r="H65" s="569">
        <f>H66+H67</f>
        <v>584.71630000000005</v>
      </c>
      <c r="I65" s="569">
        <f t="shared" ref="I65:AE65" si="117">I66+I67</f>
        <v>269.75177000000002</v>
      </c>
      <c r="J65" s="569">
        <f t="shared" si="117"/>
        <v>1521.7508600000001</v>
      </c>
      <c r="K65" s="569">
        <f t="shared" si="117"/>
        <v>1190.29105</v>
      </c>
      <c r="L65" s="569">
        <f t="shared" si="117"/>
        <v>992.32229000000007</v>
      </c>
      <c r="M65" s="569">
        <f t="shared" si="117"/>
        <v>964.05500000000006</v>
      </c>
      <c r="N65" s="569">
        <f t="shared" si="117"/>
        <v>1849.8998099999999</v>
      </c>
      <c r="O65" s="569">
        <f t="shared" si="117"/>
        <v>0</v>
      </c>
      <c r="P65" s="569">
        <f t="shared" si="117"/>
        <v>1057.6452899999999</v>
      </c>
      <c r="Q65" s="569">
        <f t="shared" si="117"/>
        <v>0</v>
      </c>
      <c r="R65" s="569">
        <f t="shared" si="117"/>
        <v>10837.934670000001</v>
      </c>
      <c r="S65" s="569">
        <f t="shared" si="117"/>
        <v>0</v>
      </c>
      <c r="T65" s="569">
        <f t="shared" si="117"/>
        <v>7796.2316700000001</v>
      </c>
      <c r="U65" s="569">
        <f t="shared" si="117"/>
        <v>0</v>
      </c>
      <c r="V65" s="569">
        <f t="shared" si="117"/>
        <v>5121.2345700000005</v>
      </c>
      <c r="W65" s="569">
        <f t="shared" si="117"/>
        <v>0</v>
      </c>
      <c r="X65" s="569">
        <f t="shared" si="117"/>
        <v>899.11229000000003</v>
      </c>
      <c r="Y65" s="569">
        <f t="shared" si="117"/>
        <v>0</v>
      </c>
      <c r="Z65" s="569">
        <f t="shared" si="117"/>
        <v>1098.39229</v>
      </c>
      <c r="AA65" s="569">
        <f t="shared" si="117"/>
        <v>0</v>
      </c>
      <c r="AB65" s="569">
        <f t="shared" si="117"/>
        <v>1014.17986</v>
      </c>
      <c r="AC65" s="569">
        <f t="shared" si="117"/>
        <v>0</v>
      </c>
      <c r="AD65" s="569">
        <f t="shared" si="117"/>
        <v>607.18010000000004</v>
      </c>
      <c r="AE65" s="569">
        <f t="shared" si="117"/>
        <v>0</v>
      </c>
      <c r="AF65" s="429"/>
      <c r="AG65" s="575"/>
    </row>
    <row r="66" spans="1:33" s="418" customFormat="1" ht="20.25" x14ac:dyDescent="0.3">
      <c r="A66" s="533" t="s">
        <v>32</v>
      </c>
      <c r="B66" s="555">
        <f t="shared" ref="B66:E67" si="118">B62</f>
        <v>12755.300000000001</v>
      </c>
      <c r="C66" s="555">
        <f t="shared" si="118"/>
        <v>1663.1303</v>
      </c>
      <c r="D66" s="555">
        <f t="shared" si="118"/>
        <v>1384.3716300000001</v>
      </c>
      <c r="E66" s="555">
        <f t="shared" si="118"/>
        <v>1384.3798200000001</v>
      </c>
      <c r="F66" s="572">
        <f>E66/B66</f>
        <v>0.10853369344507773</v>
      </c>
      <c r="G66" s="572">
        <f>E66/C66</f>
        <v>0.83239408241194335</v>
      </c>
      <c r="H66" s="556">
        <f>H62</f>
        <v>553.10130000000004</v>
      </c>
      <c r="I66" s="556">
        <f t="shared" ref="I66:AE66" si="119">I62</f>
        <v>256.75177000000002</v>
      </c>
      <c r="J66" s="556">
        <f t="shared" si="119"/>
        <v>592.346</v>
      </c>
      <c r="K66" s="556">
        <f t="shared" si="119"/>
        <v>646.42804999999998</v>
      </c>
      <c r="L66" s="556">
        <f t="shared" si="119"/>
        <v>517.68299999999999</v>
      </c>
      <c r="M66" s="556">
        <f t="shared" si="119"/>
        <v>481.2</v>
      </c>
      <c r="N66" s="556">
        <f t="shared" si="119"/>
        <v>802.58900000000006</v>
      </c>
      <c r="O66" s="556">
        <f t="shared" si="119"/>
        <v>0</v>
      </c>
      <c r="P66" s="556">
        <f t="shared" si="119"/>
        <v>559.12599999999998</v>
      </c>
      <c r="Q66" s="556">
        <f t="shared" si="119"/>
        <v>0</v>
      </c>
      <c r="R66" s="556">
        <f t="shared" si="119"/>
        <v>2767.683</v>
      </c>
      <c r="S66" s="556">
        <f t="shared" si="119"/>
        <v>0</v>
      </c>
      <c r="T66" s="556">
        <f t="shared" si="119"/>
        <v>2513.0789999999997</v>
      </c>
      <c r="U66" s="556">
        <f t="shared" si="119"/>
        <v>0</v>
      </c>
      <c r="V66" s="556">
        <f t="shared" si="119"/>
        <v>2344.5160000000001</v>
      </c>
      <c r="W66" s="556">
        <f t="shared" si="119"/>
        <v>0</v>
      </c>
      <c r="X66" s="556">
        <f t="shared" si="119"/>
        <v>476.27300000000002</v>
      </c>
      <c r="Y66" s="556">
        <f t="shared" si="119"/>
        <v>0</v>
      </c>
      <c r="Z66" s="556">
        <f t="shared" si="119"/>
        <v>657.37800000000004</v>
      </c>
      <c r="AA66" s="556">
        <f t="shared" si="119"/>
        <v>0</v>
      </c>
      <c r="AB66" s="556">
        <f t="shared" si="119"/>
        <v>552.96559999999999</v>
      </c>
      <c r="AC66" s="556">
        <f t="shared" si="119"/>
        <v>0</v>
      </c>
      <c r="AD66" s="556">
        <f t="shared" si="119"/>
        <v>418.56010000000003</v>
      </c>
      <c r="AE66" s="556">
        <f t="shared" si="119"/>
        <v>0</v>
      </c>
      <c r="AF66" s="429"/>
      <c r="AG66" s="575"/>
    </row>
    <row r="67" spans="1:33" s="418" customFormat="1" ht="20.25" x14ac:dyDescent="0.3">
      <c r="A67" s="533" t="s">
        <v>33</v>
      </c>
      <c r="B67" s="555">
        <f t="shared" si="118"/>
        <v>20625.300000000003</v>
      </c>
      <c r="C67" s="555">
        <f t="shared" si="118"/>
        <v>1435.65915</v>
      </c>
      <c r="D67" s="555">
        <f t="shared" si="118"/>
        <v>1366.4191499999999</v>
      </c>
      <c r="E67" s="555">
        <f t="shared" si="118"/>
        <v>1039.7180000000001</v>
      </c>
      <c r="F67" s="572">
        <f>E67/B67</f>
        <v>5.0409836462984775E-2</v>
      </c>
      <c r="G67" s="572">
        <f>E67/C67</f>
        <v>0.72420950334903667</v>
      </c>
      <c r="H67" s="556">
        <f>H63</f>
        <v>31.614999999999998</v>
      </c>
      <c r="I67" s="556">
        <f t="shared" ref="I67:AE67" si="120">I63</f>
        <v>13</v>
      </c>
      <c r="J67" s="556">
        <f t="shared" si="120"/>
        <v>929.40485999999999</v>
      </c>
      <c r="K67" s="556">
        <f t="shared" si="120"/>
        <v>543.86300000000006</v>
      </c>
      <c r="L67" s="556">
        <f t="shared" si="120"/>
        <v>474.63929000000002</v>
      </c>
      <c r="M67" s="556">
        <f t="shared" si="120"/>
        <v>482.85500000000002</v>
      </c>
      <c r="N67" s="556">
        <f t="shared" si="120"/>
        <v>1047.3108099999999</v>
      </c>
      <c r="O67" s="556">
        <f t="shared" si="120"/>
        <v>0</v>
      </c>
      <c r="P67" s="556">
        <f t="shared" si="120"/>
        <v>498.51928999999996</v>
      </c>
      <c r="Q67" s="556">
        <f t="shared" si="120"/>
        <v>0</v>
      </c>
      <c r="R67" s="556">
        <f t="shared" si="120"/>
        <v>8070.2516700000006</v>
      </c>
      <c r="S67" s="556">
        <f t="shared" si="120"/>
        <v>0</v>
      </c>
      <c r="T67" s="556">
        <f t="shared" si="120"/>
        <v>5283.1526700000004</v>
      </c>
      <c r="U67" s="556">
        <f t="shared" si="120"/>
        <v>0</v>
      </c>
      <c r="V67" s="556">
        <f t="shared" si="120"/>
        <v>2776.71857</v>
      </c>
      <c r="W67" s="556">
        <f t="shared" si="120"/>
        <v>0</v>
      </c>
      <c r="X67" s="556">
        <f t="shared" si="120"/>
        <v>422.83929000000001</v>
      </c>
      <c r="Y67" s="556">
        <f t="shared" si="120"/>
        <v>0</v>
      </c>
      <c r="Z67" s="556">
        <f t="shared" si="120"/>
        <v>441.01429000000002</v>
      </c>
      <c r="AA67" s="556">
        <f t="shared" si="120"/>
        <v>0</v>
      </c>
      <c r="AB67" s="556">
        <f t="shared" si="120"/>
        <v>461.21426000000002</v>
      </c>
      <c r="AC67" s="556">
        <f t="shared" si="120"/>
        <v>0</v>
      </c>
      <c r="AD67" s="556">
        <f t="shared" si="120"/>
        <v>188.62</v>
      </c>
      <c r="AE67" s="556">
        <f t="shared" si="120"/>
        <v>0</v>
      </c>
      <c r="AF67" s="429"/>
      <c r="AG67" s="575"/>
    </row>
    <row r="68" spans="1:33" s="418" customFormat="1" ht="20.25" x14ac:dyDescent="0.3">
      <c r="F68" s="419"/>
      <c r="G68" s="419"/>
      <c r="P68" s="570"/>
      <c r="Q68" s="570"/>
      <c r="R68" s="570"/>
      <c r="S68" s="570"/>
      <c r="T68" s="570"/>
      <c r="U68" s="570"/>
      <c r="V68" s="570"/>
      <c r="AG68" s="575"/>
    </row>
    <row r="69" spans="1:33" hidden="1" x14ac:dyDescent="0.35"/>
    <row r="70" spans="1:33" hidden="1" x14ac:dyDescent="0.35"/>
    <row r="71" spans="1:33" hidden="1" x14ac:dyDescent="0.35"/>
    <row r="72" spans="1:33" hidden="1" x14ac:dyDescent="0.35"/>
    <row r="73" spans="1:33" hidden="1" x14ac:dyDescent="0.35"/>
    <row r="74" spans="1:33" ht="23.25" x14ac:dyDescent="0.35">
      <c r="E74" s="766">
        <f>C66-E66</f>
        <v>278.75047999999992</v>
      </c>
    </row>
    <row r="75" spans="1:33" ht="38.25" x14ac:dyDescent="0.35">
      <c r="A75" s="420" t="s">
        <v>496</v>
      </c>
      <c r="B75" s="421"/>
      <c r="C75" s="421"/>
      <c r="D75" s="422" t="s">
        <v>497</v>
      </c>
      <c r="E75" s="422"/>
    </row>
    <row r="76" spans="1:33" x14ac:dyDescent="0.35">
      <c r="A76" s="420"/>
      <c r="B76" s="423" t="s">
        <v>68</v>
      </c>
      <c r="C76" s="423"/>
      <c r="D76" s="424"/>
    </row>
    <row r="77" spans="1:33" ht="37.5" x14ac:dyDescent="0.35">
      <c r="A77" s="425" t="s">
        <v>498</v>
      </c>
      <c r="B77" s="425"/>
      <c r="C77" s="425"/>
      <c r="D77" s="420"/>
    </row>
  </sheetData>
  <customSheetViews>
    <customSheetView guid="{533DC55B-6AD4-4674-9488-685EF2039F3E}" scale="50" hiddenRows="1">
      <pane xSplit="1" ySplit="6" topLeftCell="B49" activePane="bottomRight" state="frozen"/>
      <selection pane="bottomRight" activeCell="E75" sqref="E75"/>
      <pageMargins left="0.7" right="0.7" top="0.75" bottom="0.75" header="0.3" footer="0.3"/>
      <pageSetup paperSize="9" orientation="portrait" r:id="rId1"/>
    </customSheetView>
    <customSheetView guid="{85F4575B-DBC5-482A-9916-255D8F0BC94E}" scale="50" hiddenRows="1">
      <pane xSplit="1" ySplit="6" topLeftCell="B49" activePane="bottomRight" state="frozen"/>
      <selection pane="bottomRight" activeCell="E75" sqref="E75"/>
      <pageMargins left="0.7" right="0.7" top="0.75" bottom="0.75" header="0.3" footer="0.3"/>
      <pageSetup paperSize="9" orientation="portrait" r:id="rId2"/>
    </customSheetView>
    <customSheetView guid="{B1BF08D1-D416-4B47-ADD0-4F59132DC9E8}" scale="50" hiddenRows="1">
      <pane xSplit="1" ySplit="6" topLeftCell="B49" activePane="bottomRight" state="frozen"/>
      <selection pane="bottomRight" activeCell="E75" sqref="E75"/>
      <pageMargins left="0.7" right="0.7" top="0.75" bottom="0.75" header="0.3" footer="0.3"/>
      <pageSetup paperSize="9" orientation="portrait" r:id="rId3"/>
    </customSheetView>
    <customSheetView guid="{4F41B9CC-959D-442C-80B0-1F0DB2C76D27}" scale="50" hiddenRows="1">
      <pane xSplit="1" ySplit="6" topLeftCell="B49" activePane="bottomRight" state="frozen"/>
      <selection pane="bottomRight" activeCell="E75" sqref="E75"/>
      <pageMargins left="0.7" right="0.7" top="0.75" bottom="0.75" header="0.3" footer="0.3"/>
      <pageSetup paperSize="9" orientation="portrait" r:id="rId4"/>
    </customSheetView>
    <customSheetView guid="{602C8EDB-B9EF-4C85-B0D5-0558C3A0ABAB}" scale="50" hiddenRows="1">
      <pane xSplit="1" ySplit="6" topLeftCell="B49" activePane="bottomRight" state="frozen"/>
      <selection pane="bottomRight" activeCell="AF46" sqref="AF46"/>
      <pageMargins left="0.7" right="0.7" top="0.75" bottom="0.75" header="0.3" footer="0.3"/>
      <pageSetup paperSize="9" orientation="portrait" r:id="rId5"/>
    </customSheetView>
    <customSheetView guid="{D01FA037-9AEC-4167-ADB8-2F327C01ECE6}" scale="85" hiddenRows="1">
      <pane xSplit="1" ySplit="6" topLeftCell="B7" activePane="bottomRight" state="frozen"/>
      <selection pane="bottomRight" activeCell="D7" sqref="D7"/>
      <pageMargins left="0.7" right="0.7" top="0.75" bottom="0.75" header="0.3" footer="0.3"/>
      <pageSetup paperSize="9" orientation="portrait" r:id="rId6"/>
    </customSheetView>
    <customSheetView guid="{84867370-1F3E-4368-AF79-FBCE46FFFE92}" scale="85" hiddenRows="1">
      <pane xSplit="1" ySplit="6" topLeftCell="B7" activePane="bottomRight" state="frozen"/>
      <selection pane="bottomRight" activeCell="C6" sqref="C6"/>
      <pageMargins left="0.7" right="0.7" top="0.75" bottom="0.75" header="0.3" footer="0.3"/>
      <pageSetup paperSize="9" orientation="portrait" r:id="rId7"/>
    </customSheetView>
    <customSheetView guid="{0C2B9C2A-7B94-41EF-A2E6-F8AC9A67DE25}" scale="85" hiddenRows="1">
      <pane xSplit="1" ySplit="6" topLeftCell="P36" activePane="bottomRight" state="frozen"/>
      <selection pane="bottomRight" activeCell="Y39" sqref="Y39"/>
      <pageMargins left="0.7" right="0.7" top="0.75" bottom="0.75" header="0.3" footer="0.3"/>
      <pageSetup paperSize="9" orientation="portrait" r:id="rId8"/>
    </customSheetView>
    <customSheetView guid="{47B983AB-FE5F-4725-860C-A2F29420596D}" scale="85" hiddenRows="1">
      <pane xSplit="1" ySplit="6" topLeftCell="P36" activePane="bottomRight" state="frozen"/>
      <selection pane="bottomRight" activeCell="Y39" sqref="Y39"/>
      <pageMargins left="0.7" right="0.7" top="0.75" bottom="0.75" header="0.3" footer="0.3"/>
      <pageSetup paperSize="9" orientation="portrait" r:id="rId9"/>
    </customSheetView>
    <customSheetView guid="{DAA8A688-7558-4B5B-8DBD-E2629BD9E9A8}" scale="85" hiddenRows="1">
      <pane xSplit="1" ySplit="6" topLeftCell="B45" activePane="bottomRight" state="frozen"/>
      <selection pane="bottomRight" activeCell="I48" sqref="I48"/>
      <pageMargins left="0.7" right="0.7" top="0.75" bottom="0.75" header="0.3" footer="0.3"/>
      <pageSetup paperSize="9" orientation="portrait" r:id="rId10"/>
    </customSheetView>
    <customSheetView guid="{BCD82A82-B724-4763-8580-D765356E09BA}" scale="60">
      <pane xSplit="1" ySplit="6" topLeftCell="B7" activePane="bottomRight" state="frozen"/>
      <selection pane="bottomRight" activeCell="O23" sqref="O23"/>
      <pageMargins left="0.7" right="0.7" top="0.75" bottom="0.75" header="0.3" footer="0.3"/>
      <pageSetup paperSize="9" orientation="portrait" r:id="rId11"/>
    </customSheetView>
    <customSheetView guid="{C236B307-BD63-48C4-A75F-B3F3717BF55C}" scale="85" hiddenRows="1">
      <pane xSplit="1" ySplit="6" topLeftCell="B45" activePane="bottomRight" state="frozen"/>
      <selection pane="bottomRight" activeCell="I48" sqref="I48"/>
      <pageMargins left="0.7" right="0.7" top="0.75" bottom="0.75" header="0.3" footer="0.3"/>
      <pageSetup paperSize="9" orientation="portrait" r:id="rId12"/>
    </customSheetView>
    <customSheetView guid="{87218168-6C8E-4D5B-A5E5-DCCC26803AA3}" scale="85" hiddenRows="1">
      <pane xSplit="1" ySplit="6" topLeftCell="B45" activePane="bottomRight" state="frozen"/>
      <selection pane="bottomRight" activeCell="I48" sqref="I48"/>
      <pageMargins left="0.7" right="0.7" top="0.75" bottom="0.75" header="0.3" footer="0.3"/>
      <pageSetup paperSize="9" orientation="portrait" r:id="rId13"/>
    </customSheetView>
    <customSheetView guid="{874882D1-E741-4CCA-BF0D-E72FA60B771D}" scale="85" hiddenRows="1">
      <pane xSplit="1" ySplit="6" topLeftCell="B45" activePane="bottomRight" state="frozen"/>
      <selection pane="bottomRight" activeCell="I48" sqref="I48"/>
      <pageMargins left="0.7" right="0.7" top="0.75" bottom="0.75" header="0.3" footer="0.3"/>
      <pageSetup paperSize="9" orientation="portrait" r:id="rId14"/>
    </customSheetView>
    <customSheetView guid="{B82BA08A-1A30-4F4D-A478-74A6BD09EA97}" scale="85" hiddenRows="1">
      <pane xSplit="1" ySplit="6" topLeftCell="B45" activePane="bottomRight" state="frozen"/>
      <selection pane="bottomRight" activeCell="I48" sqref="I48"/>
      <pageMargins left="0.7" right="0.7" top="0.75" bottom="0.75" header="0.3" footer="0.3"/>
      <pageSetup paperSize="9" orientation="portrait" r:id="rId15"/>
    </customSheetView>
    <customSheetView guid="{4D0DFB57-2CBA-42F2-9A97-C453A6851FBA}" scale="85" hiddenRows="1">
      <pane xSplit="1" ySplit="6" topLeftCell="B12" activePane="bottomRight" state="frozen"/>
      <selection pane="bottomRight" activeCell="K17" sqref="K17"/>
      <pageMargins left="0.7" right="0.7" top="0.75" bottom="0.75" header="0.3" footer="0.3"/>
      <pageSetup paperSize="9" orientation="portrait" r:id="rId16"/>
    </customSheetView>
    <customSheetView guid="{770624BF-07F3-44B6-94C3-4CC447CDD45C}" scale="85" hiddenRows="1">
      <pane xSplit="1" ySplit="6" topLeftCell="P36" activePane="bottomRight" state="frozen"/>
      <selection pane="bottomRight" activeCell="Y39" sqref="Y39"/>
      <pageMargins left="0.7" right="0.7" top="0.75" bottom="0.75" header="0.3" footer="0.3"/>
      <pageSetup paperSize="9" orientation="portrait" r:id="rId17"/>
    </customSheetView>
    <customSheetView guid="{E508E171-4ED9-4B07-84DF-DA28C60E1969}" scale="85" hiddenRows="1">
      <pane xSplit="1" ySplit="6" topLeftCell="P36" activePane="bottomRight" state="frozen"/>
      <selection pane="bottomRight" activeCell="Y39" sqref="Y39"/>
      <pageMargins left="0.7" right="0.7" top="0.75" bottom="0.75" header="0.3" footer="0.3"/>
      <pageSetup paperSize="9" orientation="portrait" r:id="rId18"/>
    </customSheetView>
    <customSheetView guid="{74870EE6-26B9-40F7-9DC9-260EF16D8959}" scale="85" hiddenRows="1">
      <pane xSplit="1" ySplit="6" topLeftCell="P36" activePane="bottomRight" state="frozen"/>
      <selection pane="bottomRight" activeCell="Y39" sqref="Y39"/>
      <pageMargins left="0.7" right="0.7" top="0.75" bottom="0.75" header="0.3" footer="0.3"/>
      <pageSetup paperSize="9" orientation="portrait" r:id="rId19"/>
    </customSheetView>
    <customSheetView guid="{009B3074-D8EC-4952-BF50-43CD64449612}" scale="85" hiddenRows="1">
      <pane xSplit="1" ySplit="6" topLeftCell="P36" activePane="bottomRight" state="frozen"/>
      <selection pane="bottomRight" activeCell="Y39" sqref="Y39"/>
      <pageMargins left="0.7" right="0.7" top="0.75" bottom="0.75" header="0.3" footer="0.3"/>
      <pageSetup paperSize="9" orientation="portrait" r:id="rId20"/>
    </customSheetView>
    <customSheetView guid="{F679EF4A-C5FD-4B86-B87B-D85968E0F2CA}" scale="50" hiddenRows="1">
      <pane xSplit="1" ySplit="6" topLeftCell="B49" activePane="bottomRight" state="frozen"/>
      <selection pane="bottomRight" activeCell="E75" sqref="E75"/>
      <pageMargins left="0.7" right="0.7" top="0.75" bottom="0.75" header="0.3" footer="0.3"/>
      <pageSetup paperSize="9" orientation="portrait" r:id="rId21"/>
    </customSheetView>
    <customSheetView guid="{959E901C-5DDE-42EE-AE94-AB8976B5E00B}" scale="50" hiddenRows="1">
      <pane xSplit="1" ySplit="6" topLeftCell="B49" activePane="bottomRight" state="frozen"/>
      <selection pane="bottomRight" activeCell="E75" sqref="E75"/>
      <pageMargins left="0.7" right="0.7" top="0.75" bottom="0.75" header="0.3" footer="0.3"/>
      <pageSetup paperSize="9" orientation="portrait" r:id="rId22"/>
    </customSheetView>
    <customSheetView guid="{69DABE6F-6182-4403-A4A2-969F10F1C13A}" scale="50" hiddenRows="1">
      <pane xSplit="1" ySplit="6" topLeftCell="B49" activePane="bottomRight" state="frozen"/>
      <selection pane="bottomRight" activeCell="E75" sqref="E75"/>
      <pageMargins left="0.7" right="0.7" top="0.75" bottom="0.75" header="0.3" footer="0.3"/>
      <pageSetup paperSize="9" orientation="portrait" r:id="rId23"/>
    </customSheetView>
    <customSheetView guid="{09C3E205-981E-4A4E-BE89-8B7044192060}" scale="50" hiddenRows="1">
      <pane xSplit="1" ySplit="6" topLeftCell="B49" activePane="bottomRight" state="frozen"/>
      <selection pane="bottomRight" activeCell="E75" sqref="E75"/>
      <pageMargins left="0.7" right="0.7" top="0.75" bottom="0.75" header="0.3" footer="0.3"/>
      <pageSetup paperSize="9" orientation="portrait" r:id="rId24"/>
    </customSheetView>
    <customSheetView guid="{6A602CB8-B24C-4ED4-B378-B27354BE0A1A}" scale="50" hiddenRows="1">
      <pane xSplit="1" ySplit="6" topLeftCell="B49" activePane="bottomRight" state="frozen"/>
      <selection pane="bottomRight" activeCell="E75" sqref="E75"/>
      <pageMargins left="0.7" right="0.7" top="0.75" bottom="0.75" header="0.3" footer="0.3"/>
      <pageSetup paperSize="9" orientation="portrait" r:id="rId25"/>
    </customSheetView>
    <customSheetView guid="{7C130984-112A-4861-AA43-E2940708E3DC}" scale="50" hiddenRows="1" state="hidden">
      <pane xSplit="1" ySplit="6" topLeftCell="B34" activePane="bottomRight" state="frozen"/>
      <selection pane="bottomRight" activeCell="AF39" sqref="AF39"/>
      <pageMargins left="0.7" right="0.7" top="0.75" bottom="0.75" header="0.3" footer="0.3"/>
      <pageSetup paperSize="9" orientation="portrait" r:id="rId26"/>
    </customSheetView>
  </customSheetViews>
  <mergeCells count="21">
    <mergeCell ref="A1:AF1"/>
    <mergeCell ref="A2:AE2"/>
    <mergeCell ref="A3:A4"/>
    <mergeCell ref="AF3:AF5"/>
    <mergeCell ref="T3:U4"/>
    <mergeCell ref="V3:W4"/>
    <mergeCell ref="X3:Y4"/>
    <mergeCell ref="Z3:AA4"/>
    <mergeCell ref="AB3:AC4"/>
    <mergeCell ref="AD3:AE4"/>
    <mergeCell ref="H3:I4"/>
    <mergeCell ref="J3:K4"/>
    <mergeCell ref="L3:M4"/>
    <mergeCell ref="N3:O4"/>
    <mergeCell ref="P3:Q4"/>
    <mergeCell ref="R3:S4"/>
    <mergeCell ref="B3:B4"/>
    <mergeCell ref="C3:C4"/>
    <mergeCell ref="D3:D4"/>
    <mergeCell ref="E3:E4"/>
    <mergeCell ref="F3:G4"/>
  </mergeCells>
  <hyperlinks>
    <hyperlink ref="A2:AE2" location="Оглавление!A1" display=" &quot;Содействие занятости населения города Когалыма&quot;"/>
  </hyperlinks>
  <pageMargins left="0.7" right="0.7" top="0.75" bottom="0.75" header="0.3" footer="0.3"/>
  <pageSetup paperSize="9" orientation="portrait" r:id="rId27"/>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80" zoomScaleNormal="80" workbookViewId="0">
      <pane ySplit="5" topLeftCell="A57" activePane="bottomLeft" state="frozen"/>
      <selection activeCell="A54" activeCellId="2" sqref="A17 A48 A54"/>
      <selection pane="bottomLeft" activeCell="A54" activeCellId="2" sqref="A17 A48 A54"/>
    </sheetView>
  </sheetViews>
  <sheetFormatPr defaultColWidth="9.140625" defaultRowHeight="15" x14ac:dyDescent="0.25"/>
  <cols>
    <col min="1" max="1" width="43.140625" style="228" customWidth="1"/>
    <col min="2" max="7" width="12.42578125" style="228" customWidth="1"/>
    <col min="8" max="20" width="11.5703125" style="228" customWidth="1"/>
    <col min="21" max="31" width="11.85546875" style="228" customWidth="1"/>
    <col min="32" max="32" width="53.85546875" style="228" customWidth="1"/>
    <col min="33" max="16384" width="9.140625" style="228"/>
  </cols>
  <sheetData>
    <row r="1" spans="1:32" ht="25.5" x14ac:dyDescent="0.25">
      <c r="A1" s="984" t="s">
        <v>0</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237"/>
      <c r="AF1" s="237"/>
    </row>
    <row r="2" spans="1:32" ht="18.75" x14ac:dyDescent="0.25">
      <c r="A2" s="986" t="s">
        <v>382</v>
      </c>
      <c r="B2" s="987"/>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237"/>
      <c r="AF2" s="237" t="s">
        <v>383</v>
      </c>
    </row>
    <row r="3" spans="1:32" ht="22.5" x14ac:dyDescent="0.25">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7"/>
      <c r="AF3" s="237"/>
    </row>
    <row r="4" spans="1:32" ht="37.5" x14ac:dyDescent="0.25">
      <c r="A4" s="988" t="s">
        <v>384</v>
      </c>
      <c r="B4" s="988" t="s">
        <v>385</v>
      </c>
      <c r="C4" s="990" t="s">
        <v>531</v>
      </c>
      <c r="D4" s="990" t="s">
        <v>532</v>
      </c>
      <c r="E4" s="990" t="s">
        <v>533</v>
      </c>
      <c r="F4" s="980" t="s">
        <v>386</v>
      </c>
      <c r="G4" s="980"/>
      <c r="H4" s="980" t="s">
        <v>7</v>
      </c>
      <c r="I4" s="980"/>
      <c r="J4" s="980" t="s">
        <v>8</v>
      </c>
      <c r="K4" s="980"/>
      <c r="L4" s="980" t="s">
        <v>9</v>
      </c>
      <c r="M4" s="980"/>
      <c r="N4" s="980" t="s">
        <v>10</v>
      </c>
      <c r="O4" s="980"/>
      <c r="P4" s="980" t="s">
        <v>11</v>
      </c>
      <c r="Q4" s="980"/>
      <c r="R4" s="980" t="s">
        <v>12</v>
      </c>
      <c r="S4" s="980"/>
      <c r="T4" s="980" t="s">
        <v>13</v>
      </c>
      <c r="U4" s="980"/>
      <c r="V4" s="980" t="s">
        <v>14</v>
      </c>
      <c r="W4" s="980"/>
      <c r="X4" s="980" t="s">
        <v>15</v>
      </c>
      <c r="Y4" s="980"/>
      <c r="Z4" s="980" t="s">
        <v>16</v>
      </c>
      <c r="AA4" s="980"/>
      <c r="AB4" s="980" t="s">
        <v>17</v>
      </c>
      <c r="AC4" s="980"/>
      <c r="AD4" s="980" t="s">
        <v>18</v>
      </c>
      <c r="AE4" s="980"/>
      <c r="AF4" s="240" t="s">
        <v>19</v>
      </c>
    </row>
    <row r="5" spans="1:32" ht="56.25" x14ac:dyDescent="0.25">
      <c r="A5" s="989"/>
      <c r="B5" s="989"/>
      <c r="C5" s="991"/>
      <c r="D5" s="991"/>
      <c r="E5" s="991"/>
      <c r="F5" s="241" t="s">
        <v>20</v>
      </c>
      <c r="G5" s="241" t="s">
        <v>21</v>
      </c>
      <c r="H5" s="241" t="s">
        <v>165</v>
      </c>
      <c r="I5" s="241" t="s">
        <v>23</v>
      </c>
      <c r="J5" s="241" t="s">
        <v>165</v>
      </c>
      <c r="K5" s="241" t="s">
        <v>23</v>
      </c>
      <c r="L5" s="241" t="s">
        <v>165</v>
      </c>
      <c r="M5" s="241" t="s">
        <v>23</v>
      </c>
      <c r="N5" s="241" t="s">
        <v>165</v>
      </c>
      <c r="O5" s="241" t="s">
        <v>23</v>
      </c>
      <c r="P5" s="241" t="s">
        <v>165</v>
      </c>
      <c r="Q5" s="241" t="s">
        <v>23</v>
      </c>
      <c r="R5" s="241" t="s">
        <v>165</v>
      </c>
      <c r="S5" s="241" t="s">
        <v>23</v>
      </c>
      <c r="T5" s="241" t="s">
        <v>165</v>
      </c>
      <c r="U5" s="241" t="s">
        <v>23</v>
      </c>
      <c r="V5" s="241" t="s">
        <v>165</v>
      </c>
      <c r="W5" s="241" t="s">
        <v>23</v>
      </c>
      <c r="X5" s="241" t="s">
        <v>165</v>
      </c>
      <c r="Y5" s="241" t="s">
        <v>23</v>
      </c>
      <c r="Z5" s="241" t="s">
        <v>165</v>
      </c>
      <c r="AA5" s="241" t="s">
        <v>23</v>
      </c>
      <c r="AB5" s="241" t="s">
        <v>165</v>
      </c>
      <c r="AC5" s="241" t="s">
        <v>23</v>
      </c>
      <c r="AD5" s="241" t="s">
        <v>165</v>
      </c>
      <c r="AE5" s="241" t="s">
        <v>23</v>
      </c>
      <c r="AF5" s="240"/>
    </row>
    <row r="6" spans="1:32" ht="18.75" x14ac:dyDescent="0.25">
      <c r="A6" s="981" t="s">
        <v>387</v>
      </c>
      <c r="B6" s="982"/>
      <c r="C6" s="982"/>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3"/>
    </row>
    <row r="7" spans="1:32" ht="18.75" x14ac:dyDescent="0.25">
      <c r="A7" s="971" t="s">
        <v>167</v>
      </c>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9"/>
    </row>
    <row r="8" spans="1:32" ht="16.5" x14ac:dyDescent="0.25">
      <c r="A8" s="964" t="s">
        <v>388</v>
      </c>
      <c r="B8" s="965"/>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6"/>
    </row>
    <row r="9" spans="1:32" ht="16.5" x14ac:dyDescent="0.25">
      <c r="A9" s="242" t="s">
        <v>31</v>
      </c>
      <c r="B9" s="243">
        <f t="shared" ref="B9:E9" si="0">B10+B11+B12+B14</f>
        <v>0</v>
      </c>
      <c r="C9" s="243">
        <f>C10+C11+C12+C14</f>
        <v>0</v>
      </c>
      <c r="D9" s="243">
        <f t="shared" si="0"/>
        <v>0</v>
      </c>
      <c r="E9" s="243">
        <f t="shared" si="0"/>
        <v>0</v>
      </c>
      <c r="F9" s="243">
        <f>IFERROR(E9/B9*100,0)</f>
        <v>0</v>
      </c>
      <c r="G9" s="243">
        <f t="shared" ref="G9:G14" si="1">IFERROR(E9/C9*100,0)</f>
        <v>0</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967"/>
    </row>
    <row r="10" spans="1:32" ht="16.5" x14ac:dyDescent="0.25">
      <c r="A10" s="244" t="s">
        <v>169</v>
      </c>
      <c r="B10" s="245">
        <f>H10+J10+L10+N10+P10+R10+T10+V10+X10+Z10+AB10+AD10</f>
        <v>0</v>
      </c>
      <c r="C10" s="246">
        <f>C17</f>
        <v>0</v>
      </c>
      <c r="D10" s="246">
        <f t="shared" ref="C10:E14" si="2">D17</f>
        <v>0</v>
      </c>
      <c r="E10" s="246">
        <f t="shared" si="2"/>
        <v>0</v>
      </c>
      <c r="F10" s="245">
        <f t="shared" ref="F10:F14" si="3">IFERROR(E10/B10*100,0)</f>
        <v>0</v>
      </c>
      <c r="G10" s="245">
        <f t="shared" si="1"/>
        <v>0</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968"/>
    </row>
    <row r="11" spans="1:32" ht="16.5" x14ac:dyDescent="0.25">
      <c r="A11" s="244" t="s">
        <v>32</v>
      </c>
      <c r="B11" s="245">
        <f>H11+J11+L11+N11+P11+R11+T11+V11+X11+Z11+AB11+AD11</f>
        <v>0</v>
      </c>
      <c r="C11" s="246">
        <f t="shared" si="2"/>
        <v>0</v>
      </c>
      <c r="D11" s="246">
        <f t="shared" si="2"/>
        <v>0</v>
      </c>
      <c r="E11" s="246">
        <f>E18</f>
        <v>0</v>
      </c>
      <c r="F11" s="245">
        <f t="shared" si="3"/>
        <v>0</v>
      </c>
      <c r="G11" s="245">
        <f t="shared" si="1"/>
        <v>0</v>
      </c>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968"/>
    </row>
    <row r="12" spans="1:32" ht="16.5" x14ac:dyDescent="0.25">
      <c r="A12" s="244" t="s">
        <v>33</v>
      </c>
      <c r="B12" s="245">
        <f>H12+J12+L12+N12+P12+R12+T12+V12+X12+Z12+AB12+AD12</f>
        <v>0</v>
      </c>
      <c r="C12" s="246">
        <f t="shared" si="2"/>
        <v>0</v>
      </c>
      <c r="D12" s="246">
        <f>D19</f>
        <v>0</v>
      </c>
      <c r="E12" s="246">
        <f t="shared" si="2"/>
        <v>0</v>
      </c>
      <c r="F12" s="245">
        <f t="shared" si="3"/>
        <v>0</v>
      </c>
      <c r="G12" s="245">
        <f t="shared" si="1"/>
        <v>0</v>
      </c>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968"/>
    </row>
    <row r="13" spans="1:32" ht="33" x14ac:dyDescent="0.25">
      <c r="A13" s="247" t="s">
        <v>174</v>
      </c>
      <c r="B13" s="248">
        <f>H13+J13+L13+N13+P13+R13+T13+V13+X13+Z13+AB13+AD13</f>
        <v>0</v>
      </c>
      <c r="C13" s="249">
        <f t="shared" si="2"/>
        <v>0</v>
      </c>
      <c r="D13" s="249">
        <f t="shared" si="2"/>
        <v>0</v>
      </c>
      <c r="E13" s="249">
        <f t="shared" si="2"/>
        <v>0</v>
      </c>
      <c r="F13" s="248">
        <f t="shared" si="3"/>
        <v>0</v>
      </c>
      <c r="G13" s="248">
        <f t="shared" si="1"/>
        <v>0</v>
      </c>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968"/>
    </row>
    <row r="14" spans="1:32" ht="16.5" x14ac:dyDescent="0.25">
      <c r="A14" s="250" t="s">
        <v>389</v>
      </c>
      <c r="B14" s="245">
        <f>H14+J14+L14+N14+P14+R14+T14+V14+X14+Z14+AB14+AD14</f>
        <v>0</v>
      </c>
      <c r="C14" s="246">
        <f t="shared" si="2"/>
        <v>0</v>
      </c>
      <c r="D14" s="246">
        <f t="shared" si="2"/>
        <v>0</v>
      </c>
      <c r="E14" s="246">
        <f t="shared" si="2"/>
        <v>0</v>
      </c>
      <c r="F14" s="245">
        <f t="shared" si="3"/>
        <v>0</v>
      </c>
      <c r="G14" s="245">
        <f t="shared" si="1"/>
        <v>0</v>
      </c>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969"/>
    </row>
    <row r="15" spans="1:32" ht="16.5" x14ac:dyDescent="0.25">
      <c r="A15" s="964" t="s">
        <v>390</v>
      </c>
      <c r="B15" s="965"/>
      <c r="C15" s="965"/>
      <c r="D15" s="965"/>
      <c r="E15" s="965"/>
      <c r="F15" s="965"/>
      <c r="G15" s="965"/>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6"/>
    </row>
    <row r="16" spans="1:32" ht="16.5" x14ac:dyDescent="0.25">
      <c r="A16" s="242" t="s">
        <v>31</v>
      </c>
      <c r="B16" s="243">
        <f>B17+B18+B19+B21</f>
        <v>0</v>
      </c>
      <c r="C16" s="243">
        <f>C17+C18+C19+C21</f>
        <v>0</v>
      </c>
      <c r="D16" s="243">
        <f t="shared" ref="D16:E16" si="4">D17+D18+D19+D21</f>
        <v>0</v>
      </c>
      <c r="E16" s="243">
        <f t="shared" si="4"/>
        <v>0</v>
      </c>
      <c r="F16" s="243">
        <f t="shared" ref="F16:F21" si="5">IFERROR(E16/B16*100,0)</f>
        <v>0</v>
      </c>
      <c r="G16" s="243">
        <f t="shared" ref="G16:G21" si="6">IFERROR(E16/C16*100,0)</f>
        <v>0</v>
      </c>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970"/>
    </row>
    <row r="17" spans="1:32" ht="16.5" x14ac:dyDescent="0.25">
      <c r="A17" s="244" t="s">
        <v>169</v>
      </c>
      <c r="B17" s="245">
        <f t="shared" ref="B17:B59" si="7">H17+J17+L17+N17+P17+R17+T17+V17+X17+Z17+AB17+AD17</f>
        <v>0</v>
      </c>
      <c r="C17" s="245">
        <f>H17</f>
        <v>0</v>
      </c>
      <c r="D17" s="245">
        <f>E17</f>
        <v>0</v>
      </c>
      <c r="E17" s="245">
        <f>I17+K17+M17+O17+Q17+S17+U17+W17+Y17+AA17+AC17+AE17</f>
        <v>0</v>
      </c>
      <c r="F17" s="245">
        <f t="shared" si="5"/>
        <v>0</v>
      </c>
      <c r="G17" s="245">
        <f t="shared" si="6"/>
        <v>0</v>
      </c>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970"/>
    </row>
    <row r="18" spans="1:32" ht="16.5" x14ac:dyDescent="0.25">
      <c r="A18" s="244" t="s">
        <v>32</v>
      </c>
      <c r="B18" s="245">
        <f t="shared" si="7"/>
        <v>0</v>
      </c>
      <c r="C18" s="245">
        <f t="shared" ref="C18:C21" si="8">H18</f>
        <v>0</v>
      </c>
      <c r="D18" s="245">
        <f>E18</f>
        <v>0</v>
      </c>
      <c r="E18" s="245">
        <f t="shared" ref="E18:E21" si="9">I18+K18+M18+O18+Q18+S18+U18+W18+Y18+AA18+AC18+AE18</f>
        <v>0</v>
      </c>
      <c r="F18" s="245">
        <f t="shared" si="5"/>
        <v>0</v>
      </c>
      <c r="G18" s="245">
        <f t="shared" si="6"/>
        <v>0</v>
      </c>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970"/>
    </row>
    <row r="19" spans="1:32" ht="16.5" x14ac:dyDescent="0.25">
      <c r="A19" s="252" t="s">
        <v>33</v>
      </c>
      <c r="B19" s="245">
        <f t="shared" si="7"/>
        <v>0</v>
      </c>
      <c r="C19" s="245">
        <f t="shared" si="8"/>
        <v>0</v>
      </c>
      <c r="D19" s="245">
        <f>E19</f>
        <v>0</v>
      </c>
      <c r="E19" s="245">
        <f t="shared" si="9"/>
        <v>0</v>
      </c>
      <c r="F19" s="245">
        <f t="shared" si="5"/>
        <v>0</v>
      </c>
      <c r="G19" s="245">
        <f t="shared" si="6"/>
        <v>0</v>
      </c>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970"/>
    </row>
    <row r="20" spans="1:32" ht="33" x14ac:dyDescent="0.25">
      <c r="A20" s="247" t="s">
        <v>174</v>
      </c>
      <c r="B20" s="248">
        <f t="shared" si="7"/>
        <v>0</v>
      </c>
      <c r="C20" s="245">
        <f t="shared" si="8"/>
        <v>0</v>
      </c>
      <c r="D20" s="248">
        <f>E20</f>
        <v>0</v>
      </c>
      <c r="E20" s="248">
        <f t="shared" si="9"/>
        <v>0</v>
      </c>
      <c r="F20" s="248">
        <f t="shared" si="5"/>
        <v>0</v>
      </c>
      <c r="G20" s="248">
        <f t="shared" si="6"/>
        <v>0</v>
      </c>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970"/>
    </row>
    <row r="21" spans="1:32" ht="16.5" x14ac:dyDescent="0.25">
      <c r="A21" s="250" t="s">
        <v>389</v>
      </c>
      <c r="B21" s="245">
        <f t="shared" si="7"/>
        <v>0</v>
      </c>
      <c r="C21" s="245">
        <f t="shared" si="8"/>
        <v>0</v>
      </c>
      <c r="D21" s="245">
        <f>E21</f>
        <v>0</v>
      </c>
      <c r="E21" s="245">
        <f t="shared" si="9"/>
        <v>0</v>
      </c>
      <c r="F21" s="245">
        <f t="shared" si="5"/>
        <v>0</v>
      </c>
      <c r="G21" s="245">
        <f t="shared" si="6"/>
        <v>0</v>
      </c>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970"/>
    </row>
    <row r="22" spans="1:32" ht="18.75" x14ac:dyDescent="0.25">
      <c r="A22" s="971" t="s">
        <v>54</v>
      </c>
      <c r="B22" s="972"/>
      <c r="C22" s="972"/>
      <c r="D22" s="972"/>
      <c r="E22" s="972"/>
      <c r="F22" s="972"/>
      <c r="G22" s="972"/>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253"/>
    </row>
    <row r="23" spans="1:32" ht="16.5" x14ac:dyDescent="0.25">
      <c r="A23" s="964" t="s">
        <v>391</v>
      </c>
      <c r="B23" s="965"/>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6"/>
    </row>
    <row r="24" spans="1:32" ht="16.5" x14ac:dyDescent="0.25">
      <c r="A24" s="254" t="s">
        <v>31</v>
      </c>
      <c r="B24" s="255">
        <f t="shared" ref="B24:AE24" si="10">B25+B26+B27+B29</f>
        <v>10.800000000000002</v>
      </c>
      <c r="C24" s="255">
        <f t="shared" si="10"/>
        <v>0.9</v>
      </c>
      <c r="D24" s="255">
        <f t="shared" si="10"/>
        <v>0</v>
      </c>
      <c r="E24" s="255">
        <f t="shared" si="10"/>
        <v>0</v>
      </c>
      <c r="F24" s="243">
        <f>IFERROR(E24/B24*100,0)</f>
        <v>0</v>
      </c>
      <c r="G24" s="243">
        <f>IFERROR(E24/C24*100,0)</f>
        <v>0</v>
      </c>
      <c r="H24" s="255">
        <f t="shared" si="10"/>
        <v>0</v>
      </c>
      <c r="I24" s="255">
        <f t="shared" si="10"/>
        <v>0</v>
      </c>
      <c r="J24" s="255">
        <f t="shared" si="10"/>
        <v>0.9</v>
      </c>
      <c r="K24" s="255">
        <f t="shared" si="10"/>
        <v>0</v>
      </c>
      <c r="L24" s="255">
        <f t="shared" si="10"/>
        <v>0.9</v>
      </c>
      <c r="M24" s="255">
        <f t="shared" si="10"/>
        <v>0</v>
      </c>
      <c r="N24" s="255">
        <f t="shared" si="10"/>
        <v>0.9</v>
      </c>
      <c r="O24" s="255">
        <f t="shared" si="10"/>
        <v>0</v>
      </c>
      <c r="P24" s="255">
        <f t="shared" si="10"/>
        <v>0.9</v>
      </c>
      <c r="Q24" s="255">
        <f t="shared" si="10"/>
        <v>0</v>
      </c>
      <c r="R24" s="255">
        <f t="shared" si="10"/>
        <v>0.9</v>
      </c>
      <c r="S24" s="255">
        <f t="shared" si="10"/>
        <v>0</v>
      </c>
      <c r="T24" s="255">
        <f t="shared" si="10"/>
        <v>0.9</v>
      </c>
      <c r="U24" s="255">
        <f t="shared" si="10"/>
        <v>0</v>
      </c>
      <c r="V24" s="255">
        <f t="shared" si="10"/>
        <v>0.9</v>
      </c>
      <c r="W24" s="255">
        <f t="shared" si="10"/>
        <v>0</v>
      </c>
      <c r="X24" s="255">
        <f t="shared" si="10"/>
        <v>0.9</v>
      </c>
      <c r="Y24" s="255">
        <f t="shared" si="10"/>
        <v>0</v>
      </c>
      <c r="Z24" s="255">
        <f t="shared" si="10"/>
        <v>0.9</v>
      </c>
      <c r="AA24" s="255">
        <f t="shared" si="10"/>
        <v>0</v>
      </c>
      <c r="AB24" s="255">
        <f t="shared" si="10"/>
        <v>0.9</v>
      </c>
      <c r="AC24" s="255">
        <f t="shared" si="10"/>
        <v>0</v>
      </c>
      <c r="AD24" s="255">
        <f t="shared" si="10"/>
        <v>1.8</v>
      </c>
      <c r="AE24" s="255">
        <f t="shared" si="10"/>
        <v>0</v>
      </c>
      <c r="AF24" s="973" t="s">
        <v>483</v>
      </c>
    </row>
    <row r="25" spans="1:32" ht="16.5" x14ac:dyDescent="0.25">
      <c r="A25" s="252" t="s">
        <v>169</v>
      </c>
      <c r="B25" s="245">
        <f t="shared" si="7"/>
        <v>0</v>
      </c>
      <c r="C25" s="245">
        <f>H25</f>
        <v>0</v>
      </c>
      <c r="D25" s="245">
        <f>E25</f>
        <v>0</v>
      </c>
      <c r="E25" s="245">
        <f>I25+K25+M25+O25+Q25+S25+U25+W25+Y25+AA25+AC25+AE25</f>
        <v>0</v>
      </c>
      <c r="F25" s="245">
        <f t="shared" ref="F25:F43" si="11">IFERROR(E25/B25*100,0)</f>
        <v>0</v>
      </c>
      <c r="G25" s="245">
        <f t="shared" ref="G25:G43" si="12">IFERROR(E25/C25*100,0)</f>
        <v>0</v>
      </c>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974"/>
    </row>
    <row r="26" spans="1:32" ht="16.5" x14ac:dyDescent="0.25">
      <c r="A26" s="252" t="s">
        <v>32</v>
      </c>
      <c r="B26" s="245">
        <f t="shared" si="7"/>
        <v>0</v>
      </c>
      <c r="C26" s="245">
        <f t="shared" ref="C26:C29" si="13">H26</f>
        <v>0</v>
      </c>
      <c r="D26" s="245">
        <f t="shared" ref="D26:D29" si="14">E26</f>
        <v>0</v>
      </c>
      <c r="E26" s="245">
        <f t="shared" ref="E26:E29" si="15">I26+K26+M26+O26+Q26+S26+U26+W26+Y26+AA26+AC26+AE26</f>
        <v>0</v>
      </c>
      <c r="F26" s="245">
        <f t="shared" si="11"/>
        <v>0</v>
      </c>
      <c r="G26" s="245">
        <f t="shared" si="12"/>
        <v>0</v>
      </c>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974"/>
    </row>
    <row r="27" spans="1:32" ht="16.5" x14ac:dyDescent="0.25">
      <c r="A27" s="252" t="s">
        <v>33</v>
      </c>
      <c r="B27" s="245">
        <f>H27+J27+L27+N27+P27+R27+T27+V27+X27+Z27+AB27+AD27</f>
        <v>10.800000000000002</v>
      </c>
      <c r="C27" s="245">
        <f>H27+J27</f>
        <v>0.9</v>
      </c>
      <c r="D27" s="245">
        <f t="shared" si="14"/>
        <v>0</v>
      </c>
      <c r="E27" s="245">
        <f t="shared" si="15"/>
        <v>0</v>
      </c>
      <c r="F27" s="245">
        <v>0</v>
      </c>
      <c r="G27" s="245">
        <v>0</v>
      </c>
      <c r="H27" s="245">
        <v>0</v>
      </c>
      <c r="I27" s="245">
        <v>0</v>
      </c>
      <c r="J27" s="245">
        <v>0.9</v>
      </c>
      <c r="K27" s="245">
        <v>0</v>
      </c>
      <c r="L27" s="245">
        <v>0.9</v>
      </c>
      <c r="M27" s="245">
        <v>0</v>
      </c>
      <c r="N27" s="245">
        <v>0.9</v>
      </c>
      <c r="O27" s="245">
        <v>0</v>
      </c>
      <c r="P27" s="245">
        <v>0.9</v>
      </c>
      <c r="Q27" s="245">
        <v>0</v>
      </c>
      <c r="R27" s="245">
        <v>0.9</v>
      </c>
      <c r="S27" s="245">
        <v>0</v>
      </c>
      <c r="T27" s="245">
        <v>0.9</v>
      </c>
      <c r="U27" s="245">
        <v>0</v>
      </c>
      <c r="V27" s="245">
        <v>0.9</v>
      </c>
      <c r="W27" s="245">
        <v>0</v>
      </c>
      <c r="X27" s="245">
        <v>0.9</v>
      </c>
      <c r="Y27" s="245">
        <v>0</v>
      </c>
      <c r="Z27" s="245">
        <v>0.9</v>
      </c>
      <c r="AA27" s="245">
        <v>0</v>
      </c>
      <c r="AB27" s="245">
        <v>0.9</v>
      </c>
      <c r="AC27" s="245">
        <v>0</v>
      </c>
      <c r="AD27" s="245">
        <v>1.8</v>
      </c>
      <c r="AE27" s="245">
        <v>0</v>
      </c>
      <c r="AF27" s="974"/>
    </row>
    <row r="28" spans="1:32" ht="33" x14ac:dyDescent="0.25">
      <c r="A28" s="247" t="s">
        <v>174</v>
      </c>
      <c r="B28" s="248">
        <f t="shared" si="7"/>
        <v>0</v>
      </c>
      <c r="C28" s="245">
        <f t="shared" si="13"/>
        <v>0</v>
      </c>
      <c r="D28" s="245">
        <f t="shared" si="14"/>
        <v>0</v>
      </c>
      <c r="E28" s="245">
        <f t="shared" si="15"/>
        <v>0</v>
      </c>
      <c r="F28" s="245">
        <f t="shared" si="11"/>
        <v>0</v>
      </c>
      <c r="G28" s="245">
        <f t="shared" si="12"/>
        <v>0</v>
      </c>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974"/>
    </row>
    <row r="29" spans="1:32" ht="16.5" x14ac:dyDescent="0.25">
      <c r="A29" s="250" t="s">
        <v>389</v>
      </c>
      <c r="B29" s="245">
        <f t="shared" si="7"/>
        <v>0</v>
      </c>
      <c r="C29" s="245">
        <f t="shared" si="13"/>
        <v>0</v>
      </c>
      <c r="D29" s="245">
        <f t="shared" si="14"/>
        <v>0</v>
      </c>
      <c r="E29" s="245">
        <f t="shared" si="15"/>
        <v>0</v>
      </c>
      <c r="F29" s="245">
        <f t="shared" si="11"/>
        <v>0</v>
      </c>
      <c r="G29" s="245">
        <f t="shared" si="12"/>
        <v>0</v>
      </c>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975"/>
    </row>
    <row r="30" spans="1:32" ht="16.5" x14ac:dyDescent="0.25">
      <c r="A30" s="964" t="s">
        <v>392</v>
      </c>
      <c r="B30" s="965"/>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6"/>
    </row>
    <row r="31" spans="1:32" ht="16.5" x14ac:dyDescent="0.25">
      <c r="A31" s="257" t="s">
        <v>31</v>
      </c>
      <c r="B31" s="255">
        <f>B32+B33+B34+B36</f>
        <v>0</v>
      </c>
      <c r="C31" s="255">
        <f t="shared" ref="C31:E31" si="16">C32+C33+C34+C36</f>
        <v>0</v>
      </c>
      <c r="D31" s="255">
        <f t="shared" si="16"/>
        <v>0</v>
      </c>
      <c r="E31" s="255">
        <f t="shared" si="16"/>
        <v>0</v>
      </c>
      <c r="F31" s="243">
        <f>IFERROR(E31/B31*100,0)</f>
        <v>0</v>
      </c>
      <c r="G31" s="243">
        <f>IFERROR(E31/C31*100,0)</f>
        <v>0</v>
      </c>
      <c r="H31" s="255">
        <f>H32+H33+H34+H36</f>
        <v>0</v>
      </c>
      <c r="I31" s="255">
        <f t="shared" ref="I31:AE31" si="17">I32+I33+I34+I36</f>
        <v>0</v>
      </c>
      <c r="J31" s="255">
        <f t="shared" si="17"/>
        <v>0</v>
      </c>
      <c r="K31" s="255">
        <f t="shared" si="17"/>
        <v>0</v>
      </c>
      <c r="L31" s="255">
        <f t="shared" si="17"/>
        <v>0</v>
      </c>
      <c r="M31" s="255">
        <f t="shared" si="17"/>
        <v>0</v>
      </c>
      <c r="N31" s="255">
        <f t="shared" si="17"/>
        <v>0</v>
      </c>
      <c r="O31" s="255">
        <f t="shared" si="17"/>
        <v>0</v>
      </c>
      <c r="P31" s="255">
        <f t="shared" si="17"/>
        <v>0</v>
      </c>
      <c r="Q31" s="255">
        <f t="shared" si="17"/>
        <v>0</v>
      </c>
      <c r="R31" s="255">
        <f t="shared" si="17"/>
        <v>0</v>
      </c>
      <c r="S31" s="255">
        <f t="shared" si="17"/>
        <v>0</v>
      </c>
      <c r="T31" s="255">
        <f t="shared" si="17"/>
        <v>0</v>
      </c>
      <c r="U31" s="255">
        <f t="shared" si="17"/>
        <v>0</v>
      </c>
      <c r="V31" s="255">
        <f t="shared" si="17"/>
        <v>0</v>
      </c>
      <c r="W31" s="255">
        <f t="shared" si="17"/>
        <v>0</v>
      </c>
      <c r="X31" s="255">
        <f t="shared" si="17"/>
        <v>0</v>
      </c>
      <c r="Y31" s="255">
        <f t="shared" si="17"/>
        <v>0</v>
      </c>
      <c r="Z31" s="255">
        <f t="shared" si="17"/>
        <v>0</v>
      </c>
      <c r="AA31" s="255">
        <f t="shared" si="17"/>
        <v>0</v>
      </c>
      <c r="AB31" s="255">
        <f t="shared" si="17"/>
        <v>0</v>
      </c>
      <c r="AC31" s="255">
        <f t="shared" si="17"/>
        <v>0</v>
      </c>
      <c r="AD31" s="255">
        <f t="shared" si="17"/>
        <v>0</v>
      </c>
      <c r="AE31" s="255">
        <f t="shared" si="17"/>
        <v>0</v>
      </c>
      <c r="AF31" s="256"/>
    </row>
    <row r="32" spans="1:32" ht="16.5" x14ac:dyDescent="0.25">
      <c r="A32" s="252" t="s">
        <v>169</v>
      </c>
      <c r="B32" s="245">
        <f>H32+J32+L32+N32+P32+R32+T32+V32+X32+Z32+AB32+AD32</f>
        <v>0</v>
      </c>
      <c r="C32" s="245">
        <f>H32</f>
        <v>0</v>
      </c>
      <c r="D32" s="245">
        <f>E32</f>
        <v>0</v>
      </c>
      <c r="E32" s="245">
        <f>I32+K32+M32+O32+Q32+S32+U32+W32+Y32+AA32+AC32+AE32</f>
        <v>0</v>
      </c>
      <c r="F32" s="245">
        <f t="shared" ref="F32:F36" si="18">IFERROR(E32/B32*100,0)</f>
        <v>0</v>
      </c>
      <c r="G32" s="245">
        <f t="shared" ref="G32:G36" si="19">IFERROR(E32/C32*100,0)</f>
        <v>0</v>
      </c>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56"/>
    </row>
    <row r="33" spans="1:32" ht="16.5" x14ac:dyDescent="0.25">
      <c r="A33" s="252" t="s">
        <v>32</v>
      </c>
      <c r="B33" s="245">
        <f t="shared" ref="B33:B36" si="20">H33+J33+L33+N33+P33+R33+T33+V33+X33+Z33+AB33+AD33</f>
        <v>0</v>
      </c>
      <c r="C33" s="245">
        <f t="shared" ref="C33:C36" si="21">H33</f>
        <v>0</v>
      </c>
      <c r="D33" s="245">
        <f t="shared" ref="D33" si="22">E33</f>
        <v>0</v>
      </c>
      <c r="E33" s="245">
        <f t="shared" ref="E33:E36" si="23">I33+K33+M33+O33+Q33+S33+U33+W33+Y33+AA33+AC33+AE33</f>
        <v>0</v>
      </c>
      <c r="F33" s="245">
        <f t="shared" si="18"/>
        <v>0</v>
      </c>
      <c r="G33" s="245">
        <f t="shared" si="19"/>
        <v>0</v>
      </c>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56"/>
    </row>
    <row r="34" spans="1:32" ht="16.5" x14ac:dyDescent="0.25">
      <c r="A34" s="252" t="s">
        <v>33</v>
      </c>
      <c r="B34" s="245">
        <f t="shared" si="20"/>
        <v>0</v>
      </c>
      <c r="C34" s="245">
        <f t="shared" si="21"/>
        <v>0</v>
      </c>
      <c r="D34" s="245">
        <f>E34</f>
        <v>0</v>
      </c>
      <c r="E34" s="245">
        <f t="shared" si="23"/>
        <v>0</v>
      </c>
      <c r="F34" s="245">
        <f t="shared" si="18"/>
        <v>0</v>
      </c>
      <c r="G34" s="245">
        <f t="shared" si="19"/>
        <v>0</v>
      </c>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56"/>
    </row>
    <row r="35" spans="1:32" ht="33" x14ac:dyDescent="0.25">
      <c r="A35" s="247" t="s">
        <v>174</v>
      </c>
      <c r="B35" s="248">
        <f t="shared" si="20"/>
        <v>0</v>
      </c>
      <c r="C35" s="245">
        <f t="shared" si="21"/>
        <v>0</v>
      </c>
      <c r="D35" s="248">
        <f t="shared" ref="D35:D36" si="24">E35</f>
        <v>0</v>
      </c>
      <c r="E35" s="248">
        <f t="shared" si="23"/>
        <v>0</v>
      </c>
      <c r="F35" s="245">
        <f t="shared" si="18"/>
        <v>0</v>
      </c>
      <c r="G35" s="245">
        <f t="shared" si="19"/>
        <v>0</v>
      </c>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56"/>
    </row>
    <row r="36" spans="1:32" ht="16.5" x14ac:dyDescent="0.25">
      <c r="A36" s="250" t="s">
        <v>389</v>
      </c>
      <c r="B36" s="245">
        <f t="shared" si="20"/>
        <v>0</v>
      </c>
      <c r="C36" s="245">
        <f t="shared" si="21"/>
        <v>0</v>
      </c>
      <c r="D36" s="245">
        <f t="shared" si="24"/>
        <v>0</v>
      </c>
      <c r="E36" s="245">
        <f t="shared" si="23"/>
        <v>0</v>
      </c>
      <c r="F36" s="245">
        <f t="shared" si="18"/>
        <v>0</v>
      </c>
      <c r="G36" s="245">
        <f t="shared" si="19"/>
        <v>0</v>
      </c>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56"/>
    </row>
    <row r="37" spans="1:32" ht="16.5" x14ac:dyDescent="0.25">
      <c r="A37" s="258" t="s">
        <v>53</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56"/>
    </row>
    <row r="38" spans="1:32" ht="16.5" x14ac:dyDescent="0.25">
      <c r="A38" s="259" t="s">
        <v>31</v>
      </c>
      <c r="B38" s="255">
        <f>B39+B40+B41+B43</f>
        <v>10.800000000000002</v>
      </c>
      <c r="C38" s="255">
        <f>C39+C40+C41+C43</f>
        <v>0.9</v>
      </c>
      <c r="D38" s="255">
        <f>D39+D40+D41+D43</f>
        <v>0</v>
      </c>
      <c r="E38" s="255">
        <f>E39+E40+E41+E43</f>
        <v>0</v>
      </c>
      <c r="F38" s="243">
        <f t="shared" si="11"/>
        <v>0</v>
      </c>
      <c r="G38" s="243">
        <f t="shared" si="12"/>
        <v>0</v>
      </c>
      <c r="H38" s="255">
        <f t="shared" ref="H38:AE38" si="25">H39+H40+H41+H43</f>
        <v>0</v>
      </c>
      <c r="I38" s="255">
        <f t="shared" si="25"/>
        <v>0</v>
      </c>
      <c r="J38" s="255">
        <f t="shared" si="25"/>
        <v>0.9</v>
      </c>
      <c r="K38" s="255">
        <f t="shared" si="25"/>
        <v>0</v>
      </c>
      <c r="L38" s="255">
        <f t="shared" si="25"/>
        <v>0.9</v>
      </c>
      <c r="M38" s="255">
        <f t="shared" si="25"/>
        <v>0</v>
      </c>
      <c r="N38" s="255">
        <f t="shared" si="25"/>
        <v>0.9</v>
      </c>
      <c r="O38" s="255">
        <f t="shared" si="25"/>
        <v>0</v>
      </c>
      <c r="P38" s="255">
        <f t="shared" si="25"/>
        <v>0.9</v>
      </c>
      <c r="Q38" s="255">
        <f t="shared" si="25"/>
        <v>0</v>
      </c>
      <c r="R38" s="255">
        <f t="shared" si="25"/>
        <v>0.9</v>
      </c>
      <c r="S38" s="255">
        <f t="shared" si="25"/>
        <v>0</v>
      </c>
      <c r="T38" s="255">
        <f t="shared" si="25"/>
        <v>0.9</v>
      </c>
      <c r="U38" s="255">
        <f t="shared" si="25"/>
        <v>0</v>
      </c>
      <c r="V38" s="255">
        <f t="shared" si="25"/>
        <v>0.9</v>
      </c>
      <c r="W38" s="255">
        <f t="shared" si="25"/>
        <v>0</v>
      </c>
      <c r="X38" s="255">
        <f t="shared" si="25"/>
        <v>0.9</v>
      </c>
      <c r="Y38" s="255">
        <f t="shared" si="25"/>
        <v>0</v>
      </c>
      <c r="Z38" s="255">
        <f t="shared" si="25"/>
        <v>0.9</v>
      </c>
      <c r="AA38" s="255">
        <f t="shared" si="25"/>
        <v>0</v>
      </c>
      <c r="AB38" s="255">
        <f t="shared" si="25"/>
        <v>0.9</v>
      </c>
      <c r="AC38" s="255">
        <f t="shared" si="25"/>
        <v>0</v>
      </c>
      <c r="AD38" s="255">
        <f t="shared" si="25"/>
        <v>1.8</v>
      </c>
      <c r="AE38" s="255">
        <f t="shared" si="25"/>
        <v>0</v>
      </c>
      <c r="AF38" s="961"/>
    </row>
    <row r="39" spans="1:32" ht="16.5" x14ac:dyDescent="0.25">
      <c r="A39" s="261" t="s">
        <v>169</v>
      </c>
      <c r="B39" s="245">
        <f t="shared" si="7"/>
        <v>0</v>
      </c>
      <c r="C39" s="245">
        <f t="shared" ref="C39:E43" si="26">C25+C10+C32</f>
        <v>0</v>
      </c>
      <c r="D39" s="245">
        <f t="shared" si="26"/>
        <v>0</v>
      </c>
      <c r="E39" s="245">
        <f t="shared" si="26"/>
        <v>0</v>
      </c>
      <c r="F39" s="245">
        <f t="shared" si="11"/>
        <v>0</v>
      </c>
      <c r="G39" s="245">
        <f t="shared" si="12"/>
        <v>0</v>
      </c>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961"/>
    </row>
    <row r="40" spans="1:32" ht="16.5" x14ac:dyDescent="0.25">
      <c r="A40" s="261" t="s">
        <v>32</v>
      </c>
      <c r="B40" s="245">
        <f t="shared" si="7"/>
        <v>0</v>
      </c>
      <c r="C40" s="245">
        <f t="shared" si="26"/>
        <v>0</v>
      </c>
      <c r="D40" s="245">
        <f t="shared" si="26"/>
        <v>0</v>
      </c>
      <c r="E40" s="245">
        <f t="shared" si="26"/>
        <v>0</v>
      </c>
      <c r="F40" s="245">
        <f t="shared" si="11"/>
        <v>0</v>
      </c>
      <c r="G40" s="245">
        <f t="shared" si="12"/>
        <v>0</v>
      </c>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961"/>
    </row>
    <row r="41" spans="1:32" ht="16.5" x14ac:dyDescent="0.25">
      <c r="A41" s="261" t="s">
        <v>33</v>
      </c>
      <c r="B41" s="245">
        <f t="shared" si="7"/>
        <v>10.800000000000002</v>
      </c>
      <c r="C41" s="245">
        <f t="shared" si="26"/>
        <v>0.9</v>
      </c>
      <c r="D41" s="245">
        <f t="shared" si="26"/>
        <v>0</v>
      </c>
      <c r="E41" s="245">
        <f t="shared" si="26"/>
        <v>0</v>
      </c>
      <c r="F41" s="245">
        <f t="shared" si="11"/>
        <v>0</v>
      </c>
      <c r="G41" s="245">
        <f t="shared" si="12"/>
        <v>0</v>
      </c>
      <c r="H41" s="245">
        <f t="shared" ref="H41:AE41" si="27">H27+H12+H34</f>
        <v>0</v>
      </c>
      <c r="I41" s="245">
        <f t="shared" si="27"/>
        <v>0</v>
      </c>
      <c r="J41" s="245">
        <f t="shared" si="27"/>
        <v>0.9</v>
      </c>
      <c r="K41" s="245">
        <f t="shared" si="27"/>
        <v>0</v>
      </c>
      <c r="L41" s="245">
        <f t="shared" si="27"/>
        <v>0.9</v>
      </c>
      <c r="M41" s="245">
        <f t="shared" si="27"/>
        <v>0</v>
      </c>
      <c r="N41" s="245">
        <f t="shared" si="27"/>
        <v>0.9</v>
      </c>
      <c r="O41" s="245">
        <f t="shared" si="27"/>
        <v>0</v>
      </c>
      <c r="P41" s="245">
        <f t="shared" si="27"/>
        <v>0.9</v>
      </c>
      <c r="Q41" s="245">
        <f t="shared" si="27"/>
        <v>0</v>
      </c>
      <c r="R41" s="245">
        <f t="shared" si="27"/>
        <v>0.9</v>
      </c>
      <c r="S41" s="245">
        <f t="shared" si="27"/>
        <v>0</v>
      </c>
      <c r="T41" s="245">
        <f t="shared" si="27"/>
        <v>0.9</v>
      </c>
      <c r="U41" s="245">
        <f t="shared" si="27"/>
        <v>0</v>
      </c>
      <c r="V41" s="245">
        <f t="shared" si="27"/>
        <v>0.9</v>
      </c>
      <c r="W41" s="245">
        <f t="shared" si="27"/>
        <v>0</v>
      </c>
      <c r="X41" s="245">
        <f t="shared" si="27"/>
        <v>0.9</v>
      </c>
      <c r="Y41" s="245">
        <f t="shared" si="27"/>
        <v>0</v>
      </c>
      <c r="Z41" s="245">
        <f t="shared" si="27"/>
        <v>0.9</v>
      </c>
      <c r="AA41" s="245">
        <f t="shared" si="27"/>
        <v>0</v>
      </c>
      <c r="AB41" s="245">
        <f t="shared" si="27"/>
        <v>0.9</v>
      </c>
      <c r="AC41" s="245">
        <f t="shared" si="27"/>
        <v>0</v>
      </c>
      <c r="AD41" s="245">
        <f t="shared" si="27"/>
        <v>1.8</v>
      </c>
      <c r="AE41" s="245">
        <f t="shared" si="27"/>
        <v>0</v>
      </c>
      <c r="AF41" s="961"/>
    </row>
    <row r="42" spans="1:32" ht="33" x14ac:dyDescent="0.25">
      <c r="A42" s="262" t="s">
        <v>174</v>
      </c>
      <c r="B42" s="245">
        <f t="shared" si="7"/>
        <v>0</v>
      </c>
      <c r="C42" s="245">
        <f t="shared" si="26"/>
        <v>0</v>
      </c>
      <c r="D42" s="245">
        <f t="shared" si="26"/>
        <v>0</v>
      </c>
      <c r="E42" s="245">
        <f t="shared" si="26"/>
        <v>0</v>
      </c>
      <c r="F42" s="245">
        <f t="shared" si="11"/>
        <v>0</v>
      </c>
      <c r="G42" s="245">
        <f t="shared" si="12"/>
        <v>0</v>
      </c>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961"/>
    </row>
    <row r="43" spans="1:32" ht="16.5" x14ac:dyDescent="0.25">
      <c r="A43" s="263" t="s">
        <v>389</v>
      </c>
      <c r="B43" s="245">
        <f t="shared" si="7"/>
        <v>0</v>
      </c>
      <c r="C43" s="245">
        <f t="shared" si="26"/>
        <v>0</v>
      </c>
      <c r="D43" s="245">
        <f t="shared" si="26"/>
        <v>0</v>
      </c>
      <c r="E43" s="245">
        <f t="shared" si="26"/>
        <v>0</v>
      </c>
      <c r="F43" s="245">
        <f t="shared" si="11"/>
        <v>0</v>
      </c>
      <c r="G43" s="245">
        <f t="shared" si="12"/>
        <v>0</v>
      </c>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961"/>
    </row>
    <row r="44" spans="1:32" ht="18.75" x14ac:dyDescent="0.25">
      <c r="A44" s="976" t="s">
        <v>393</v>
      </c>
      <c r="B44" s="977"/>
      <c r="C44" s="977"/>
      <c r="D44" s="977"/>
      <c r="E44" s="977"/>
      <c r="F44" s="977"/>
      <c r="G44" s="977"/>
      <c r="H44" s="977"/>
      <c r="I44" s="977"/>
      <c r="J44" s="977"/>
      <c r="K44" s="977"/>
      <c r="L44" s="977"/>
      <c r="M44" s="977"/>
      <c r="N44" s="977"/>
      <c r="O44" s="977"/>
      <c r="P44" s="977"/>
      <c r="Q44" s="977"/>
      <c r="R44" s="977"/>
      <c r="S44" s="977"/>
      <c r="T44" s="977"/>
      <c r="U44" s="977"/>
      <c r="V44" s="977"/>
      <c r="W44" s="977"/>
      <c r="X44" s="977"/>
      <c r="Y44" s="977"/>
      <c r="Z44" s="977"/>
      <c r="AA44" s="977"/>
      <c r="AB44" s="977"/>
      <c r="AC44" s="977"/>
      <c r="AD44" s="977"/>
      <c r="AE44" s="977"/>
      <c r="AF44" s="978"/>
    </row>
    <row r="45" spans="1:32" ht="18.75" x14ac:dyDescent="0.25">
      <c r="A45" s="962" t="s">
        <v>54</v>
      </c>
      <c r="B45" s="963"/>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264"/>
    </row>
    <row r="46" spans="1:32" ht="16.5" x14ac:dyDescent="0.25">
      <c r="A46" s="964" t="s">
        <v>394</v>
      </c>
      <c r="B46" s="965"/>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6"/>
    </row>
    <row r="47" spans="1:32" ht="16.5" x14ac:dyDescent="0.25">
      <c r="A47" s="265" t="s">
        <v>31</v>
      </c>
      <c r="B47" s="255">
        <f>B48+B49+B50+B52</f>
        <v>159.89999999999998</v>
      </c>
      <c r="C47" s="255">
        <f>C48+C49+C50+C52</f>
        <v>25.189999999999998</v>
      </c>
      <c r="D47" s="255">
        <f t="shared" ref="D47:E47" si="28">D48+D49+D50+D52</f>
        <v>23.93</v>
      </c>
      <c r="E47" s="255">
        <f t="shared" si="28"/>
        <v>23.93</v>
      </c>
      <c r="F47" s="243">
        <f>IFERROR(E47/B47*100,0)</f>
        <v>14.96560350218887</v>
      </c>
      <c r="G47" s="243">
        <f>IFERROR(E47/C47*100,0)</f>
        <v>94.998015085351341</v>
      </c>
      <c r="H47" s="255">
        <f t="shared" ref="H47:AE47" si="29">H48+H49+H50+H52</f>
        <v>0</v>
      </c>
      <c r="I47" s="255">
        <f t="shared" si="29"/>
        <v>0</v>
      </c>
      <c r="J47" s="255">
        <f t="shared" si="29"/>
        <v>12.6</v>
      </c>
      <c r="K47" s="255">
        <f t="shared" si="29"/>
        <v>12.6</v>
      </c>
      <c r="L47" s="255">
        <f t="shared" si="29"/>
        <v>12.59</v>
      </c>
      <c r="M47" s="255">
        <f t="shared" si="29"/>
        <v>11.33</v>
      </c>
      <c r="N47" s="255">
        <f t="shared" si="29"/>
        <v>12.6</v>
      </c>
      <c r="O47" s="255">
        <f t="shared" si="29"/>
        <v>0</v>
      </c>
      <c r="P47" s="255">
        <f t="shared" si="29"/>
        <v>12.6</v>
      </c>
      <c r="Q47" s="255">
        <f t="shared" si="29"/>
        <v>0</v>
      </c>
      <c r="R47" s="255">
        <f t="shared" si="29"/>
        <v>12.59</v>
      </c>
      <c r="S47" s="255">
        <f t="shared" si="29"/>
        <v>0</v>
      </c>
      <c r="T47" s="255">
        <f t="shared" si="29"/>
        <v>12.6</v>
      </c>
      <c r="U47" s="255">
        <f t="shared" si="29"/>
        <v>0</v>
      </c>
      <c r="V47" s="255">
        <f t="shared" si="29"/>
        <v>12.6</v>
      </c>
      <c r="W47" s="255">
        <f t="shared" si="29"/>
        <v>0</v>
      </c>
      <c r="X47" s="255">
        <f t="shared" si="29"/>
        <v>12.59</v>
      </c>
      <c r="Y47" s="255">
        <f t="shared" si="29"/>
        <v>0</v>
      </c>
      <c r="Z47" s="255">
        <f t="shared" si="29"/>
        <v>12.6</v>
      </c>
      <c r="AA47" s="255">
        <f t="shared" si="29"/>
        <v>0</v>
      </c>
      <c r="AB47" s="255">
        <f t="shared" si="29"/>
        <v>12.6</v>
      </c>
      <c r="AC47" s="255">
        <f t="shared" si="29"/>
        <v>0</v>
      </c>
      <c r="AD47" s="255">
        <f t="shared" si="29"/>
        <v>33.93</v>
      </c>
      <c r="AE47" s="255">
        <f t="shared" si="29"/>
        <v>0</v>
      </c>
      <c r="AF47" s="958" t="s">
        <v>534</v>
      </c>
    </row>
    <row r="48" spans="1:32" ht="16.5" x14ac:dyDescent="0.25">
      <c r="A48" s="252" t="s">
        <v>169</v>
      </c>
      <c r="B48" s="245">
        <f t="shared" si="7"/>
        <v>0</v>
      </c>
      <c r="C48" s="245">
        <f>H48+J48+L48+N48+P48+R48+T48+V48+X48+Z48</f>
        <v>0</v>
      </c>
      <c r="D48" s="245">
        <f>E48</f>
        <v>0</v>
      </c>
      <c r="E48" s="245">
        <f>I48+K48+M48+O48+Q48+S48+U48+W48+Y48+AA48+AC48+AE48</f>
        <v>0</v>
      </c>
      <c r="F48" s="245">
        <f>IFERROR(E48/B48*100,0)</f>
        <v>0</v>
      </c>
      <c r="G48" s="245">
        <f>IFERROR(E48/C48*100,0)</f>
        <v>0</v>
      </c>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959"/>
    </row>
    <row r="49" spans="1:32" ht="16.5" x14ac:dyDescent="0.25">
      <c r="A49" s="252" t="s">
        <v>32</v>
      </c>
      <c r="B49" s="245">
        <f>H49+J49+L49+N49+P49+R49+T49+V49+X49+Z49+AB49+AD49</f>
        <v>159.89999999999998</v>
      </c>
      <c r="C49" s="245">
        <f>H49+J49+L49</f>
        <v>25.189999999999998</v>
      </c>
      <c r="D49" s="245">
        <f>E49</f>
        <v>23.93</v>
      </c>
      <c r="E49" s="245">
        <f>I49+K49+M49+O49+Q49+S49+U49+W49+Y49+AA49+AC49+AE49</f>
        <v>23.93</v>
      </c>
      <c r="F49" s="245">
        <f t="shared" ref="F49:F65" si="30">IFERROR(E49/B49*100,0)</f>
        <v>14.96560350218887</v>
      </c>
      <c r="G49" s="245">
        <f t="shared" ref="G49:G65" si="31">IFERROR(E49/C49*100,0)</f>
        <v>94.998015085351341</v>
      </c>
      <c r="H49" s="246">
        <v>0</v>
      </c>
      <c r="I49" s="246">
        <v>0</v>
      </c>
      <c r="J49" s="266">
        <v>12.6</v>
      </c>
      <c r="K49" s="266">
        <v>12.6</v>
      </c>
      <c r="L49" s="266">
        <v>12.59</v>
      </c>
      <c r="M49" s="706">
        <v>11.33</v>
      </c>
      <c r="N49" s="266">
        <v>12.6</v>
      </c>
      <c r="O49" s="266">
        <v>0</v>
      </c>
      <c r="P49" s="266">
        <v>12.6</v>
      </c>
      <c r="Q49" s="266">
        <v>0</v>
      </c>
      <c r="R49" s="266">
        <v>12.59</v>
      </c>
      <c r="S49" s="266">
        <v>0</v>
      </c>
      <c r="T49" s="266">
        <v>12.6</v>
      </c>
      <c r="U49" s="266">
        <v>0</v>
      </c>
      <c r="V49" s="266">
        <v>12.6</v>
      </c>
      <c r="W49" s="266">
        <v>0</v>
      </c>
      <c r="X49" s="266">
        <v>12.59</v>
      </c>
      <c r="Y49" s="267">
        <v>0</v>
      </c>
      <c r="Z49" s="266">
        <v>12.6</v>
      </c>
      <c r="AA49" s="266">
        <v>0</v>
      </c>
      <c r="AB49" s="266">
        <v>12.6</v>
      </c>
      <c r="AC49" s="266">
        <v>0</v>
      </c>
      <c r="AD49" s="266">
        <v>33.93</v>
      </c>
      <c r="AE49" s="266">
        <v>0</v>
      </c>
      <c r="AF49" s="959"/>
    </row>
    <row r="50" spans="1:32" ht="16.5" x14ac:dyDescent="0.25">
      <c r="A50" s="252" t="s">
        <v>33</v>
      </c>
      <c r="B50" s="245">
        <f t="shared" si="7"/>
        <v>0</v>
      </c>
      <c r="C50" s="245">
        <f t="shared" ref="C50:C52" si="32">H50+J50+L50+N50+P50+R50+T50+V50+X50+Z50</f>
        <v>0</v>
      </c>
      <c r="D50" s="245">
        <f t="shared" ref="D50:D52" si="33">E50</f>
        <v>0</v>
      </c>
      <c r="E50" s="245">
        <f t="shared" ref="E50:E52" si="34">I50+K50+M50+O50+Q50+S50+U50+W50+Y50+AA50+AC50+AE50</f>
        <v>0</v>
      </c>
      <c r="F50" s="245">
        <f t="shared" si="30"/>
        <v>0</v>
      </c>
      <c r="G50" s="245">
        <f t="shared" si="31"/>
        <v>0</v>
      </c>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v>0</v>
      </c>
      <c r="AF50" s="959"/>
    </row>
    <row r="51" spans="1:32" ht="33" x14ac:dyDescent="0.25">
      <c r="A51" s="247" t="s">
        <v>174</v>
      </c>
      <c r="B51" s="248">
        <f t="shared" si="7"/>
        <v>0</v>
      </c>
      <c r="C51" s="268">
        <f t="shared" si="32"/>
        <v>0</v>
      </c>
      <c r="D51" s="248">
        <f t="shared" si="33"/>
        <v>0</v>
      </c>
      <c r="E51" s="248">
        <f t="shared" si="34"/>
        <v>0</v>
      </c>
      <c r="F51" s="245">
        <f t="shared" si="30"/>
        <v>0</v>
      </c>
      <c r="G51" s="245">
        <f t="shared" si="31"/>
        <v>0</v>
      </c>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v>0</v>
      </c>
      <c r="AF51" s="959"/>
    </row>
    <row r="52" spans="1:32" ht="16.5" x14ac:dyDescent="0.25">
      <c r="A52" s="250" t="s">
        <v>389</v>
      </c>
      <c r="B52" s="245">
        <f t="shared" si="7"/>
        <v>0</v>
      </c>
      <c r="C52" s="245">
        <f t="shared" si="32"/>
        <v>0</v>
      </c>
      <c r="D52" s="245">
        <f t="shared" si="33"/>
        <v>0</v>
      </c>
      <c r="E52" s="245">
        <f t="shared" si="34"/>
        <v>0</v>
      </c>
      <c r="F52" s="245">
        <f t="shared" si="30"/>
        <v>0</v>
      </c>
      <c r="G52" s="245">
        <f t="shared" si="31"/>
        <v>0</v>
      </c>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v>0</v>
      </c>
      <c r="AF52" s="960"/>
    </row>
    <row r="53" spans="1:32" ht="16.5" x14ac:dyDescent="0.25">
      <c r="A53" s="258" t="s">
        <v>35</v>
      </c>
      <c r="B53" s="245"/>
      <c r="C53" s="245"/>
      <c r="D53" s="245"/>
      <c r="E53" s="245"/>
      <c r="F53" s="245"/>
      <c r="G53" s="245"/>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69"/>
    </row>
    <row r="54" spans="1:32" ht="16.5" x14ac:dyDescent="0.25">
      <c r="A54" s="259" t="s">
        <v>31</v>
      </c>
      <c r="B54" s="255">
        <f>B55+B56+B57+B59</f>
        <v>159.89999999999998</v>
      </c>
      <c r="C54" s="255">
        <f>C55+C56+C57+C59</f>
        <v>25.189999999999998</v>
      </c>
      <c r="D54" s="255">
        <f t="shared" ref="D54:E54" si="35">D55+D56+D57+D59</f>
        <v>23.93</v>
      </c>
      <c r="E54" s="255">
        <f t="shared" si="35"/>
        <v>23.93</v>
      </c>
      <c r="F54" s="243">
        <f t="shared" si="30"/>
        <v>14.96560350218887</v>
      </c>
      <c r="G54" s="243">
        <f t="shared" si="31"/>
        <v>94.998015085351341</v>
      </c>
      <c r="H54" s="255">
        <f t="shared" ref="H54:AE54" si="36">H56+H57</f>
        <v>0</v>
      </c>
      <c r="I54" s="255">
        <f t="shared" si="36"/>
        <v>0</v>
      </c>
      <c r="J54" s="255">
        <f t="shared" si="36"/>
        <v>12.6</v>
      </c>
      <c r="K54" s="255">
        <f t="shared" si="36"/>
        <v>12.6</v>
      </c>
      <c r="L54" s="255">
        <f t="shared" si="36"/>
        <v>12.59</v>
      </c>
      <c r="M54" s="255">
        <f t="shared" si="36"/>
        <v>11.33</v>
      </c>
      <c r="N54" s="255">
        <f t="shared" si="36"/>
        <v>12.6</v>
      </c>
      <c r="O54" s="255">
        <f t="shared" si="36"/>
        <v>0</v>
      </c>
      <c r="P54" s="255">
        <f t="shared" si="36"/>
        <v>12.6</v>
      </c>
      <c r="Q54" s="255">
        <f t="shared" si="36"/>
        <v>0</v>
      </c>
      <c r="R54" s="255">
        <f t="shared" si="36"/>
        <v>12.59</v>
      </c>
      <c r="S54" s="255">
        <f t="shared" si="36"/>
        <v>0</v>
      </c>
      <c r="T54" s="255">
        <f t="shared" si="36"/>
        <v>12.6</v>
      </c>
      <c r="U54" s="255">
        <f t="shared" si="36"/>
        <v>0</v>
      </c>
      <c r="V54" s="255">
        <f t="shared" si="36"/>
        <v>12.6</v>
      </c>
      <c r="W54" s="255">
        <f t="shared" si="36"/>
        <v>0</v>
      </c>
      <c r="X54" s="255">
        <f t="shared" si="36"/>
        <v>12.59</v>
      </c>
      <c r="Y54" s="255">
        <f t="shared" si="36"/>
        <v>0</v>
      </c>
      <c r="Z54" s="255">
        <f t="shared" si="36"/>
        <v>12.6</v>
      </c>
      <c r="AA54" s="255">
        <f t="shared" si="36"/>
        <v>0</v>
      </c>
      <c r="AB54" s="255">
        <f t="shared" si="36"/>
        <v>12.6</v>
      </c>
      <c r="AC54" s="255">
        <f t="shared" si="36"/>
        <v>0</v>
      </c>
      <c r="AD54" s="255">
        <f t="shared" si="36"/>
        <v>33.93</v>
      </c>
      <c r="AE54" s="255">
        <f t="shared" si="36"/>
        <v>0</v>
      </c>
      <c r="AF54" s="961"/>
    </row>
    <row r="55" spans="1:32" ht="16.5" x14ac:dyDescent="0.25">
      <c r="A55" s="261" t="s">
        <v>169</v>
      </c>
      <c r="B55" s="245">
        <f>H55+J55+L55+N55+P55+R55+T55+V55+X55+Z55+AB55+AD55</f>
        <v>0</v>
      </c>
      <c r="C55" s="246">
        <f t="shared" ref="C55:E59" si="37">C48</f>
        <v>0</v>
      </c>
      <c r="D55" s="246">
        <f t="shared" si="37"/>
        <v>0</v>
      </c>
      <c r="E55" s="246">
        <f t="shared" si="37"/>
        <v>0</v>
      </c>
      <c r="F55" s="245">
        <f t="shared" si="30"/>
        <v>0</v>
      </c>
      <c r="G55" s="245">
        <f t="shared" si="31"/>
        <v>0</v>
      </c>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961"/>
    </row>
    <row r="56" spans="1:32" ht="16.5" x14ac:dyDescent="0.25">
      <c r="A56" s="261" t="s">
        <v>32</v>
      </c>
      <c r="B56" s="245">
        <f>B49</f>
        <v>159.89999999999998</v>
      </c>
      <c r="C56" s="245">
        <f t="shared" si="37"/>
        <v>25.189999999999998</v>
      </c>
      <c r="D56" s="245">
        <f t="shared" si="37"/>
        <v>23.93</v>
      </c>
      <c r="E56" s="245">
        <f t="shared" si="37"/>
        <v>23.93</v>
      </c>
      <c r="F56" s="245">
        <f t="shared" si="30"/>
        <v>14.96560350218887</v>
      </c>
      <c r="G56" s="245">
        <f t="shared" si="31"/>
        <v>94.998015085351341</v>
      </c>
      <c r="H56" s="246">
        <f t="shared" ref="H56:AE56" si="38">H49</f>
        <v>0</v>
      </c>
      <c r="I56" s="246">
        <f t="shared" si="38"/>
        <v>0</v>
      </c>
      <c r="J56" s="246">
        <f t="shared" si="38"/>
        <v>12.6</v>
      </c>
      <c r="K56" s="246">
        <f t="shared" si="38"/>
        <v>12.6</v>
      </c>
      <c r="L56" s="246">
        <f t="shared" si="38"/>
        <v>12.59</v>
      </c>
      <c r="M56" s="246">
        <f t="shared" si="38"/>
        <v>11.33</v>
      </c>
      <c r="N56" s="246">
        <f t="shared" si="38"/>
        <v>12.6</v>
      </c>
      <c r="O56" s="246">
        <f t="shared" si="38"/>
        <v>0</v>
      </c>
      <c r="P56" s="246">
        <f t="shared" si="38"/>
        <v>12.6</v>
      </c>
      <c r="Q56" s="246">
        <f t="shared" si="38"/>
        <v>0</v>
      </c>
      <c r="R56" s="246">
        <f t="shared" si="38"/>
        <v>12.59</v>
      </c>
      <c r="S56" s="246">
        <f t="shared" si="38"/>
        <v>0</v>
      </c>
      <c r="T56" s="246">
        <f t="shared" si="38"/>
        <v>12.6</v>
      </c>
      <c r="U56" s="246">
        <f t="shared" si="38"/>
        <v>0</v>
      </c>
      <c r="V56" s="246">
        <f t="shared" si="38"/>
        <v>12.6</v>
      </c>
      <c r="W56" s="246">
        <f t="shared" si="38"/>
        <v>0</v>
      </c>
      <c r="X56" s="246">
        <f t="shared" si="38"/>
        <v>12.59</v>
      </c>
      <c r="Y56" s="246">
        <f t="shared" si="38"/>
        <v>0</v>
      </c>
      <c r="Z56" s="246">
        <f t="shared" si="38"/>
        <v>12.6</v>
      </c>
      <c r="AA56" s="246">
        <f t="shared" si="38"/>
        <v>0</v>
      </c>
      <c r="AB56" s="246">
        <f t="shared" si="38"/>
        <v>12.6</v>
      </c>
      <c r="AC56" s="246">
        <v>0</v>
      </c>
      <c r="AD56" s="246">
        <f t="shared" si="38"/>
        <v>33.93</v>
      </c>
      <c r="AE56" s="246">
        <f t="shared" si="38"/>
        <v>0</v>
      </c>
      <c r="AF56" s="961"/>
    </row>
    <row r="57" spans="1:32" ht="16.5" x14ac:dyDescent="0.25">
      <c r="A57" s="261" t="s">
        <v>33</v>
      </c>
      <c r="B57" s="245">
        <f t="shared" si="7"/>
        <v>0</v>
      </c>
      <c r="C57" s="246">
        <f t="shared" si="37"/>
        <v>0</v>
      </c>
      <c r="D57" s="246">
        <f t="shared" si="37"/>
        <v>0</v>
      </c>
      <c r="E57" s="246">
        <f t="shared" si="37"/>
        <v>0</v>
      </c>
      <c r="F57" s="245">
        <f t="shared" si="30"/>
        <v>0</v>
      </c>
      <c r="G57" s="245">
        <f t="shared" si="31"/>
        <v>0</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961"/>
    </row>
    <row r="58" spans="1:32" ht="33" x14ac:dyDescent="0.25">
      <c r="A58" s="262" t="s">
        <v>174</v>
      </c>
      <c r="B58" s="248">
        <f t="shared" si="7"/>
        <v>0</v>
      </c>
      <c r="C58" s="249">
        <f t="shared" si="37"/>
        <v>0</v>
      </c>
      <c r="D58" s="249">
        <f t="shared" si="37"/>
        <v>0</v>
      </c>
      <c r="E58" s="249">
        <f t="shared" si="37"/>
        <v>0</v>
      </c>
      <c r="F58" s="245">
        <f t="shared" si="30"/>
        <v>0</v>
      </c>
      <c r="G58" s="245">
        <f t="shared" si="31"/>
        <v>0</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961"/>
    </row>
    <row r="59" spans="1:32" ht="16.5" x14ac:dyDescent="0.25">
      <c r="A59" s="263" t="s">
        <v>389</v>
      </c>
      <c r="B59" s="245">
        <f t="shared" si="7"/>
        <v>0</v>
      </c>
      <c r="C59" s="246">
        <f t="shared" si="37"/>
        <v>0</v>
      </c>
      <c r="D59" s="246">
        <f t="shared" si="37"/>
        <v>0</v>
      </c>
      <c r="E59" s="246">
        <f t="shared" si="37"/>
        <v>0</v>
      </c>
      <c r="F59" s="245">
        <f t="shared" si="30"/>
        <v>0</v>
      </c>
      <c r="G59" s="245">
        <f t="shared" si="31"/>
        <v>0</v>
      </c>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961"/>
    </row>
    <row r="60" spans="1:32" ht="33" x14ac:dyDescent="0.25">
      <c r="A60" s="270" t="s">
        <v>66</v>
      </c>
      <c r="B60" s="614">
        <f>B61+B62+B63+B65</f>
        <v>170.7</v>
      </c>
      <c r="C60" s="614">
        <f t="shared" ref="C60:AE60" si="39">C61+C62+C63+C65</f>
        <v>26.089999999999996</v>
      </c>
      <c r="D60" s="614">
        <f t="shared" si="39"/>
        <v>23.93</v>
      </c>
      <c r="E60" s="614">
        <f t="shared" si="39"/>
        <v>23.93</v>
      </c>
      <c r="F60" s="243">
        <f t="shared" si="30"/>
        <v>14.018746338605743</v>
      </c>
      <c r="G60" s="243">
        <f t="shared" si="31"/>
        <v>91.720965887313156</v>
      </c>
      <c r="H60" s="255">
        <f t="shared" si="39"/>
        <v>0</v>
      </c>
      <c r="I60" s="255">
        <f t="shared" si="39"/>
        <v>0</v>
      </c>
      <c r="J60" s="255">
        <f t="shared" si="39"/>
        <v>13.5</v>
      </c>
      <c r="K60" s="255">
        <f t="shared" si="39"/>
        <v>12.6</v>
      </c>
      <c r="L60" s="255">
        <f t="shared" si="39"/>
        <v>13.49</v>
      </c>
      <c r="M60" s="255">
        <f t="shared" si="39"/>
        <v>11.33</v>
      </c>
      <c r="N60" s="255">
        <f t="shared" si="39"/>
        <v>13.5</v>
      </c>
      <c r="O60" s="255">
        <f t="shared" si="39"/>
        <v>0</v>
      </c>
      <c r="P60" s="255">
        <f t="shared" si="39"/>
        <v>13.5</v>
      </c>
      <c r="Q60" s="255">
        <f t="shared" si="39"/>
        <v>0</v>
      </c>
      <c r="R60" s="255">
        <f t="shared" si="39"/>
        <v>13.49</v>
      </c>
      <c r="S60" s="255">
        <f t="shared" si="39"/>
        <v>0</v>
      </c>
      <c r="T60" s="255">
        <f t="shared" si="39"/>
        <v>13.5</v>
      </c>
      <c r="U60" s="255">
        <f t="shared" si="39"/>
        <v>0</v>
      </c>
      <c r="V60" s="255">
        <f t="shared" si="39"/>
        <v>13.5</v>
      </c>
      <c r="W60" s="255">
        <f t="shared" si="39"/>
        <v>0</v>
      </c>
      <c r="X60" s="255">
        <f t="shared" si="39"/>
        <v>13.49</v>
      </c>
      <c r="Y60" s="255">
        <f t="shared" si="39"/>
        <v>0</v>
      </c>
      <c r="Z60" s="255">
        <f t="shared" si="39"/>
        <v>13.5</v>
      </c>
      <c r="AA60" s="255">
        <f t="shared" si="39"/>
        <v>0</v>
      </c>
      <c r="AB60" s="255">
        <f t="shared" si="39"/>
        <v>13.5</v>
      </c>
      <c r="AC60" s="255">
        <f t="shared" si="39"/>
        <v>0</v>
      </c>
      <c r="AD60" s="255">
        <f t="shared" si="39"/>
        <v>35.729999999999997</v>
      </c>
      <c r="AE60" s="255">
        <f t="shared" si="39"/>
        <v>0</v>
      </c>
      <c r="AF60" s="961"/>
    </row>
    <row r="61" spans="1:32" ht="16.5" x14ac:dyDescent="0.25">
      <c r="A61" s="252" t="s">
        <v>169</v>
      </c>
      <c r="B61" s="245">
        <f t="shared" ref="B61:B65" si="40">H61+J61+L61+N61+P61+R61+T61+V61+X61+Z61+AB61+AD61</f>
        <v>0</v>
      </c>
      <c r="C61" s="246">
        <f t="shared" ref="C61:E65" si="41">C55+C39</f>
        <v>0</v>
      </c>
      <c r="D61" s="246">
        <f t="shared" si="41"/>
        <v>0</v>
      </c>
      <c r="E61" s="246">
        <f t="shared" si="41"/>
        <v>0</v>
      </c>
      <c r="F61" s="245">
        <f t="shared" si="30"/>
        <v>0</v>
      </c>
      <c r="G61" s="245">
        <f t="shared" si="31"/>
        <v>0</v>
      </c>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961"/>
    </row>
    <row r="62" spans="1:32" ht="16.5" x14ac:dyDescent="0.25">
      <c r="A62" s="252" t="s">
        <v>32</v>
      </c>
      <c r="B62" s="245">
        <f>B56+B40</f>
        <v>159.89999999999998</v>
      </c>
      <c r="C62" s="245">
        <f t="shared" si="41"/>
        <v>25.189999999999998</v>
      </c>
      <c r="D62" s="245">
        <f t="shared" si="41"/>
        <v>23.93</v>
      </c>
      <c r="E62" s="245">
        <f t="shared" si="41"/>
        <v>23.93</v>
      </c>
      <c r="F62" s="245">
        <f t="shared" si="30"/>
        <v>14.96560350218887</v>
      </c>
      <c r="G62" s="245">
        <f t="shared" si="31"/>
        <v>94.998015085351341</v>
      </c>
      <c r="H62" s="246">
        <f t="shared" ref="H62:AE63" si="42">H56+H40</f>
        <v>0</v>
      </c>
      <c r="I62" s="246">
        <f t="shared" si="42"/>
        <v>0</v>
      </c>
      <c r="J62" s="246">
        <f t="shared" si="42"/>
        <v>12.6</v>
      </c>
      <c r="K62" s="246">
        <f t="shared" si="42"/>
        <v>12.6</v>
      </c>
      <c r="L62" s="246">
        <f t="shared" si="42"/>
        <v>12.59</v>
      </c>
      <c r="M62" s="246">
        <f t="shared" si="42"/>
        <v>11.33</v>
      </c>
      <c r="N62" s="246">
        <f t="shared" si="42"/>
        <v>12.6</v>
      </c>
      <c r="O62" s="246">
        <f t="shared" si="42"/>
        <v>0</v>
      </c>
      <c r="P62" s="246">
        <f t="shared" si="42"/>
        <v>12.6</v>
      </c>
      <c r="Q62" s="246">
        <f t="shared" si="42"/>
        <v>0</v>
      </c>
      <c r="R62" s="246">
        <f t="shared" si="42"/>
        <v>12.59</v>
      </c>
      <c r="S62" s="246">
        <f t="shared" si="42"/>
        <v>0</v>
      </c>
      <c r="T62" s="246">
        <f t="shared" si="42"/>
        <v>12.6</v>
      </c>
      <c r="U62" s="246">
        <f t="shared" si="42"/>
        <v>0</v>
      </c>
      <c r="V62" s="246">
        <f t="shared" si="42"/>
        <v>12.6</v>
      </c>
      <c r="W62" s="246">
        <f t="shared" si="42"/>
        <v>0</v>
      </c>
      <c r="X62" s="246">
        <f t="shared" si="42"/>
        <v>12.59</v>
      </c>
      <c r="Y62" s="246">
        <f t="shared" si="42"/>
        <v>0</v>
      </c>
      <c r="Z62" s="246">
        <f t="shared" si="42"/>
        <v>12.6</v>
      </c>
      <c r="AA62" s="246">
        <f t="shared" si="42"/>
        <v>0</v>
      </c>
      <c r="AB62" s="246">
        <f t="shared" si="42"/>
        <v>12.6</v>
      </c>
      <c r="AC62" s="246">
        <f t="shared" si="42"/>
        <v>0</v>
      </c>
      <c r="AD62" s="246">
        <f t="shared" si="42"/>
        <v>33.93</v>
      </c>
      <c r="AE62" s="246">
        <f t="shared" si="42"/>
        <v>0</v>
      </c>
      <c r="AF62" s="961"/>
    </row>
    <row r="63" spans="1:32" ht="16.5" x14ac:dyDescent="0.25">
      <c r="A63" s="252" t="s">
        <v>33</v>
      </c>
      <c r="B63" s="245">
        <f>B57+B41</f>
        <v>10.800000000000002</v>
      </c>
      <c r="C63" s="245">
        <f t="shared" si="41"/>
        <v>0.9</v>
      </c>
      <c r="D63" s="245">
        <f t="shared" si="41"/>
        <v>0</v>
      </c>
      <c r="E63" s="245">
        <f t="shared" si="41"/>
        <v>0</v>
      </c>
      <c r="F63" s="245">
        <f t="shared" si="30"/>
        <v>0</v>
      </c>
      <c r="G63" s="245">
        <f t="shared" si="31"/>
        <v>0</v>
      </c>
      <c r="H63" s="246">
        <f t="shared" si="42"/>
        <v>0</v>
      </c>
      <c r="I63" s="246">
        <f t="shared" si="42"/>
        <v>0</v>
      </c>
      <c r="J63" s="246">
        <f t="shared" si="42"/>
        <v>0.9</v>
      </c>
      <c r="K63" s="246">
        <f t="shared" si="42"/>
        <v>0</v>
      </c>
      <c r="L63" s="246">
        <f t="shared" si="42"/>
        <v>0.9</v>
      </c>
      <c r="M63" s="246">
        <f t="shared" si="42"/>
        <v>0</v>
      </c>
      <c r="N63" s="246">
        <f t="shared" si="42"/>
        <v>0.9</v>
      </c>
      <c r="O63" s="246">
        <f t="shared" si="42"/>
        <v>0</v>
      </c>
      <c r="P63" s="246">
        <f t="shared" si="42"/>
        <v>0.9</v>
      </c>
      <c r="Q63" s="246">
        <f t="shared" si="42"/>
        <v>0</v>
      </c>
      <c r="R63" s="246">
        <f t="shared" si="42"/>
        <v>0.9</v>
      </c>
      <c r="S63" s="246">
        <f t="shared" si="42"/>
        <v>0</v>
      </c>
      <c r="T63" s="246">
        <f t="shared" si="42"/>
        <v>0.9</v>
      </c>
      <c r="U63" s="246">
        <f t="shared" si="42"/>
        <v>0</v>
      </c>
      <c r="V63" s="246">
        <f t="shared" si="42"/>
        <v>0.9</v>
      </c>
      <c r="W63" s="246">
        <f t="shared" si="42"/>
        <v>0</v>
      </c>
      <c r="X63" s="246">
        <f t="shared" si="42"/>
        <v>0.9</v>
      </c>
      <c r="Y63" s="246">
        <f t="shared" si="42"/>
        <v>0</v>
      </c>
      <c r="Z63" s="246">
        <f t="shared" si="42"/>
        <v>0.9</v>
      </c>
      <c r="AA63" s="246">
        <f t="shared" si="42"/>
        <v>0</v>
      </c>
      <c r="AB63" s="246">
        <f t="shared" si="42"/>
        <v>0.9</v>
      </c>
      <c r="AC63" s="246">
        <f t="shared" si="42"/>
        <v>0</v>
      </c>
      <c r="AD63" s="246">
        <f t="shared" si="42"/>
        <v>1.8</v>
      </c>
      <c r="AE63" s="246">
        <f t="shared" si="42"/>
        <v>0</v>
      </c>
      <c r="AF63" s="961"/>
    </row>
    <row r="64" spans="1:32" ht="33" x14ac:dyDescent="0.25">
      <c r="A64" s="247" t="s">
        <v>174</v>
      </c>
      <c r="B64" s="245">
        <f t="shared" si="40"/>
        <v>0</v>
      </c>
      <c r="C64" s="246">
        <f t="shared" si="41"/>
        <v>0</v>
      </c>
      <c r="D64" s="246">
        <f t="shared" si="41"/>
        <v>0</v>
      </c>
      <c r="E64" s="246">
        <f t="shared" si="41"/>
        <v>0</v>
      </c>
      <c r="F64" s="245">
        <f t="shared" si="30"/>
        <v>0</v>
      </c>
      <c r="G64" s="245">
        <f t="shared" si="31"/>
        <v>0</v>
      </c>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961"/>
    </row>
    <row r="65" spans="1:32" ht="16.5" x14ac:dyDescent="0.25">
      <c r="A65" s="250" t="s">
        <v>389</v>
      </c>
      <c r="B65" s="245">
        <f t="shared" si="40"/>
        <v>0</v>
      </c>
      <c r="C65" s="246">
        <f t="shared" si="41"/>
        <v>0</v>
      </c>
      <c r="D65" s="246">
        <f t="shared" si="41"/>
        <v>0</v>
      </c>
      <c r="E65" s="246">
        <f t="shared" si="41"/>
        <v>0</v>
      </c>
      <c r="F65" s="245">
        <f t="shared" si="30"/>
        <v>0</v>
      </c>
      <c r="G65" s="245">
        <f t="shared" si="31"/>
        <v>0</v>
      </c>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961"/>
    </row>
    <row r="66" spans="1:32" ht="18.75" x14ac:dyDescent="0.25">
      <c r="A66" s="962" t="s">
        <v>395</v>
      </c>
      <c r="B66" s="963"/>
      <c r="C66" s="963"/>
      <c r="D66" s="963"/>
      <c r="E66" s="963"/>
      <c r="F66" s="963"/>
      <c r="G66" s="963"/>
      <c r="H66" s="963"/>
      <c r="I66" s="963"/>
      <c r="J66" s="963"/>
      <c r="K66" s="963"/>
      <c r="L66" s="963"/>
      <c r="M66" s="963"/>
      <c r="N66" s="963"/>
      <c r="O66" s="963"/>
      <c r="P66" s="963"/>
      <c r="Q66" s="963"/>
      <c r="R66" s="963"/>
      <c r="S66" s="963"/>
      <c r="T66" s="963"/>
      <c r="U66" s="963"/>
      <c r="V66" s="963"/>
      <c r="W66" s="963"/>
      <c r="X66" s="963"/>
      <c r="Y66" s="963"/>
      <c r="Z66" s="963"/>
      <c r="AA66" s="963"/>
      <c r="AB66" s="963"/>
      <c r="AC66" s="963"/>
      <c r="AD66" s="963"/>
      <c r="AE66" s="963"/>
      <c r="AF66" s="260"/>
    </row>
    <row r="67" spans="1:32" ht="16.5" x14ac:dyDescent="0.25">
      <c r="A67" s="265" t="s">
        <v>31</v>
      </c>
      <c r="B67" s="243">
        <f>B68+B69+B70+B72</f>
        <v>0</v>
      </c>
      <c r="C67" s="243">
        <f t="shared" ref="C67:AE67" si="43">C68+C69+C70+C72</f>
        <v>0</v>
      </c>
      <c r="D67" s="243">
        <f t="shared" si="43"/>
        <v>0</v>
      </c>
      <c r="E67" s="243">
        <f t="shared" si="43"/>
        <v>0</v>
      </c>
      <c r="F67" s="243">
        <f>IFERROR(E67/B67*100,0)</f>
        <v>0</v>
      </c>
      <c r="G67" s="243">
        <f>IFERROR(E67/C67*100,0)</f>
        <v>0</v>
      </c>
      <c r="H67" s="243">
        <f t="shared" si="43"/>
        <v>0</v>
      </c>
      <c r="I67" s="243">
        <f t="shared" si="43"/>
        <v>0</v>
      </c>
      <c r="J67" s="243">
        <f t="shared" si="43"/>
        <v>0</v>
      </c>
      <c r="K67" s="243">
        <f t="shared" si="43"/>
        <v>0</v>
      </c>
      <c r="L67" s="243">
        <f t="shared" si="43"/>
        <v>0</v>
      </c>
      <c r="M67" s="243">
        <f t="shared" si="43"/>
        <v>0</v>
      </c>
      <c r="N67" s="243">
        <f t="shared" si="43"/>
        <v>0</v>
      </c>
      <c r="O67" s="243">
        <f t="shared" si="43"/>
        <v>0</v>
      </c>
      <c r="P67" s="243">
        <f t="shared" si="43"/>
        <v>0</v>
      </c>
      <c r="Q67" s="243">
        <f t="shared" si="43"/>
        <v>0</v>
      </c>
      <c r="R67" s="243">
        <f t="shared" si="43"/>
        <v>0</v>
      </c>
      <c r="S67" s="243">
        <f t="shared" si="43"/>
        <v>0</v>
      </c>
      <c r="T67" s="243">
        <f t="shared" si="43"/>
        <v>0</v>
      </c>
      <c r="U67" s="243">
        <f t="shared" si="43"/>
        <v>0</v>
      </c>
      <c r="V67" s="243">
        <f t="shared" si="43"/>
        <v>0</v>
      </c>
      <c r="W67" s="243">
        <f t="shared" si="43"/>
        <v>0</v>
      </c>
      <c r="X67" s="243">
        <f t="shared" si="43"/>
        <v>0</v>
      </c>
      <c r="Y67" s="243">
        <f t="shared" si="43"/>
        <v>0</v>
      </c>
      <c r="Z67" s="243">
        <f t="shared" si="43"/>
        <v>0</v>
      </c>
      <c r="AA67" s="243">
        <f t="shared" si="43"/>
        <v>0</v>
      </c>
      <c r="AB67" s="243">
        <f t="shared" si="43"/>
        <v>0</v>
      </c>
      <c r="AC67" s="243">
        <f t="shared" si="43"/>
        <v>0</v>
      </c>
      <c r="AD67" s="243">
        <f t="shared" si="43"/>
        <v>0</v>
      </c>
      <c r="AE67" s="243">
        <f t="shared" si="43"/>
        <v>0</v>
      </c>
      <c r="AF67" s="260"/>
    </row>
    <row r="68" spans="1:32" ht="16.5" x14ac:dyDescent="0.25">
      <c r="A68" s="252" t="s">
        <v>169</v>
      </c>
      <c r="B68" s="245">
        <f>B10+B17</f>
        <v>0</v>
      </c>
      <c r="C68" s="245">
        <f t="shared" ref="C68:E68" si="44">C10+C17</f>
        <v>0</v>
      </c>
      <c r="D68" s="245">
        <f t="shared" si="44"/>
        <v>0</v>
      </c>
      <c r="E68" s="245">
        <f t="shared" si="44"/>
        <v>0</v>
      </c>
      <c r="F68" s="245">
        <f t="shared" ref="F68:F72" si="45">IFERROR(E68/B68*100,0)</f>
        <v>0</v>
      </c>
      <c r="G68" s="245">
        <f t="shared" ref="G68:G72" si="46">IFERROR(E68/C68*100,0)</f>
        <v>0</v>
      </c>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51"/>
    </row>
    <row r="69" spans="1:32" ht="16.5" x14ac:dyDescent="0.25">
      <c r="A69" s="252" t="s">
        <v>32</v>
      </c>
      <c r="B69" s="245">
        <f t="shared" ref="B69:E72" si="47">B11+B18</f>
        <v>0</v>
      </c>
      <c r="C69" s="245">
        <f t="shared" si="47"/>
        <v>0</v>
      </c>
      <c r="D69" s="245">
        <f t="shared" si="47"/>
        <v>0</v>
      </c>
      <c r="E69" s="245">
        <f t="shared" si="47"/>
        <v>0</v>
      </c>
      <c r="F69" s="245">
        <f t="shared" si="45"/>
        <v>0</v>
      </c>
      <c r="G69" s="245">
        <f t="shared" si="46"/>
        <v>0</v>
      </c>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51"/>
    </row>
    <row r="70" spans="1:32" ht="16.5" x14ac:dyDescent="0.25">
      <c r="A70" s="252" t="s">
        <v>33</v>
      </c>
      <c r="B70" s="245">
        <f t="shared" si="47"/>
        <v>0</v>
      </c>
      <c r="C70" s="245">
        <f t="shared" si="47"/>
        <v>0</v>
      </c>
      <c r="D70" s="245">
        <f t="shared" si="47"/>
        <v>0</v>
      </c>
      <c r="E70" s="245">
        <f t="shared" si="47"/>
        <v>0</v>
      </c>
      <c r="F70" s="245">
        <f t="shared" si="45"/>
        <v>0</v>
      </c>
      <c r="G70" s="245">
        <f t="shared" si="46"/>
        <v>0</v>
      </c>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51"/>
    </row>
    <row r="71" spans="1:32" ht="33" x14ac:dyDescent="0.25">
      <c r="A71" s="247" t="s">
        <v>174</v>
      </c>
      <c r="B71" s="245">
        <f t="shared" si="47"/>
        <v>0</v>
      </c>
      <c r="C71" s="245">
        <f t="shared" si="47"/>
        <v>0</v>
      </c>
      <c r="D71" s="245">
        <f t="shared" si="47"/>
        <v>0</v>
      </c>
      <c r="E71" s="245">
        <f t="shared" si="47"/>
        <v>0</v>
      </c>
      <c r="F71" s="245">
        <f t="shared" si="45"/>
        <v>0</v>
      </c>
      <c r="G71" s="245">
        <f t="shared" si="46"/>
        <v>0</v>
      </c>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51"/>
    </row>
    <row r="72" spans="1:32" ht="16.5" x14ac:dyDescent="0.25">
      <c r="A72" s="250" t="s">
        <v>389</v>
      </c>
      <c r="B72" s="245">
        <f t="shared" si="47"/>
        <v>0</v>
      </c>
      <c r="C72" s="245">
        <f t="shared" si="47"/>
        <v>0</v>
      </c>
      <c r="D72" s="245">
        <f t="shared" si="47"/>
        <v>0</v>
      </c>
      <c r="E72" s="245">
        <f t="shared" si="47"/>
        <v>0</v>
      </c>
      <c r="F72" s="245">
        <f t="shared" si="45"/>
        <v>0</v>
      </c>
      <c r="G72" s="245">
        <f t="shared" si="46"/>
        <v>0</v>
      </c>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51"/>
    </row>
    <row r="73" spans="1:32" ht="18.75" x14ac:dyDescent="0.25">
      <c r="A73" s="962" t="s">
        <v>396</v>
      </c>
      <c r="B73" s="963"/>
      <c r="C73" s="963"/>
      <c r="D73" s="963"/>
      <c r="E73" s="963"/>
      <c r="F73" s="963"/>
      <c r="G73" s="963"/>
      <c r="H73" s="963"/>
      <c r="I73" s="963"/>
      <c r="J73" s="963"/>
      <c r="K73" s="963"/>
      <c r="L73" s="963"/>
      <c r="M73" s="963"/>
      <c r="N73" s="963"/>
      <c r="O73" s="963"/>
      <c r="P73" s="963"/>
      <c r="Q73" s="963"/>
      <c r="R73" s="963"/>
      <c r="S73" s="963"/>
      <c r="T73" s="963"/>
      <c r="U73" s="963"/>
      <c r="V73" s="963"/>
      <c r="W73" s="963"/>
      <c r="X73" s="963"/>
      <c r="Y73" s="963"/>
      <c r="Z73" s="963"/>
      <c r="AA73" s="963"/>
      <c r="AB73" s="963"/>
      <c r="AC73" s="963"/>
      <c r="AD73" s="963"/>
      <c r="AE73" s="963"/>
      <c r="AF73" s="271"/>
    </row>
    <row r="74" spans="1:32" ht="18.75" x14ac:dyDescent="0.25">
      <c r="A74" s="265" t="s">
        <v>31</v>
      </c>
      <c r="B74" s="229">
        <f>B75+B76+B77+B79</f>
        <v>170.7</v>
      </c>
      <c r="C74" s="272">
        <f t="shared" ref="C74:E74" si="48">C75+C76+C77+C79</f>
        <v>26.089999999999996</v>
      </c>
      <c r="D74" s="272">
        <f t="shared" si="48"/>
        <v>23.93</v>
      </c>
      <c r="E74" s="272">
        <f t="shared" si="48"/>
        <v>23.93</v>
      </c>
      <c r="F74" s="272">
        <f>IFERROR(E74/B74*100,0)</f>
        <v>14.018746338605743</v>
      </c>
      <c r="G74" s="272">
        <f>IFERROR(E74/C74*100,0)</f>
        <v>91.720965887313156</v>
      </c>
      <c r="H74" s="229">
        <f t="shared" ref="H74:AE74" si="49">H75+H76+H77+H79</f>
        <v>0</v>
      </c>
      <c r="I74" s="229">
        <f t="shared" si="49"/>
        <v>0</v>
      </c>
      <c r="J74" s="229">
        <f t="shared" si="49"/>
        <v>13.5</v>
      </c>
      <c r="K74" s="229">
        <f t="shared" si="49"/>
        <v>12.6</v>
      </c>
      <c r="L74" s="229">
        <f t="shared" si="49"/>
        <v>13.49</v>
      </c>
      <c r="M74" s="229">
        <f t="shared" si="49"/>
        <v>11.33</v>
      </c>
      <c r="N74" s="229">
        <f t="shared" si="49"/>
        <v>13.5</v>
      </c>
      <c r="O74" s="229">
        <f t="shared" si="49"/>
        <v>0</v>
      </c>
      <c r="P74" s="229">
        <f t="shared" si="49"/>
        <v>13.5</v>
      </c>
      <c r="Q74" s="229">
        <f t="shared" si="49"/>
        <v>0</v>
      </c>
      <c r="R74" s="229">
        <f t="shared" si="49"/>
        <v>13.49</v>
      </c>
      <c r="S74" s="229">
        <f t="shared" si="49"/>
        <v>0</v>
      </c>
      <c r="T74" s="229">
        <f t="shared" si="49"/>
        <v>13.5</v>
      </c>
      <c r="U74" s="229">
        <f t="shared" si="49"/>
        <v>0</v>
      </c>
      <c r="V74" s="229">
        <f t="shared" si="49"/>
        <v>13.5</v>
      </c>
      <c r="W74" s="229">
        <f t="shared" si="49"/>
        <v>0</v>
      </c>
      <c r="X74" s="229">
        <f t="shared" si="49"/>
        <v>13.49</v>
      </c>
      <c r="Y74" s="229">
        <f t="shared" si="49"/>
        <v>0</v>
      </c>
      <c r="Z74" s="229">
        <f t="shared" si="49"/>
        <v>13.5</v>
      </c>
      <c r="AA74" s="229">
        <f t="shared" si="49"/>
        <v>0</v>
      </c>
      <c r="AB74" s="229">
        <f t="shared" si="49"/>
        <v>13.5</v>
      </c>
      <c r="AC74" s="229">
        <f t="shared" si="49"/>
        <v>0</v>
      </c>
      <c r="AD74" s="229">
        <f t="shared" si="49"/>
        <v>35.729999999999997</v>
      </c>
      <c r="AE74" s="273">
        <f t="shared" si="49"/>
        <v>0</v>
      </c>
      <c r="AF74" s="271"/>
    </row>
    <row r="75" spans="1:32" ht="18.75" x14ac:dyDescent="0.25">
      <c r="A75" s="252" t="s">
        <v>169</v>
      </c>
      <c r="B75" s="274">
        <f t="shared" ref="B75:E79" si="50">B61</f>
        <v>0</v>
      </c>
      <c r="C75" s="274">
        <f t="shared" si="50"/>
        <v>0</v>
      </c>
      <c r="D75" s="274">
        <f t="shared" si="50"/>
        <v>0</v>
      </c>
      <c r="E75" s="274">
        <f t="shared" si="50"/>
        <v>0</v>
      </c>
      <c r="F75" s="274">
        <f t="shared" ref="F75:F79" si="51">IFERROR(E75/B75*100,0)</f>
        <v>0</v>
      </c>
      <c r="G75" s="274">
        <f t="shared" ref="G75:G79" si="52">IFERROR(E75/C75*100,0)</f>
        <v>0</v>
      </c>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5"/>
      <c r="AF75" s="271"/>
    </row>
    <row r="76" spans="1:32" ht="18.75" x14ac:dyDescent="0.25">
      <c r="A76" s="252" t="s">
        <v>32</v>
      </c>
      <c r="B76" s="274">
        <f t="shared" si="50"/>
        <v>159.89999999999998</v>
      </c>
      <c r="C76" s="274">
        <f t="shared" si="50"/>
        <v>25.189999999999998</v>
      </c>
      <c r="D76" s="274">
        <f t="shared" si="50"/>
        <v>23.93</v>
      </c>
      <c r="E76" s="274">
        <f t="shared" si="50"/>
        <v>23.93</v>
      </c>
      <c r="F76" s="274">
        <f t="shared" si="51"/>
        <v>14.96560350218887</v>
      </c>
      <c r="G76" s="274">
        <f t="shared" si="52"/>
        <v>94.998015085351341</v>
      </c>
      <c r="H76" s="274">
        <f t="shared" ref="H76:AE77" si="53">H62</f>
        <v>0</v>
      </c>
      <c r="I76" s="274">
        <f t="shared" si="53"/>
        <v>0</v>
      </c>
      <c r="J76" s="274">
        <f t="shared" si="53"/>
        <v>12.6</v>
      </c>
      <c r="K76" s="274">
        <f t="shared" si="53"/>
        <v>12.6</v>
      </c>
      <c r="L76" s="274">
        <f t="shared" si="53"/>
        <v>12.59</v>
      </c>
      <c r="M76" s="274">
        <f t="shared" si="53"/>
        <v>11.33</v>
      </c>
      <c r="N76" s="274">
        <f t="shared" si="53"/>
        <v>12.6</v>
      </c>
      <c r="O76" s="274">
        <f t="shared" si="53"/>
        <v>0</v>
      </c>
      <c r="P76" s="274">
        <f t="shared" si="53"/>
        <v>12.6</v>
      </c>
      <c r="Q76" s="274">
        <f t="shared" si="53"/>
        <v>0</v>
      </c>
      <c r="R76" s="274">
        <f t="shared" si="53"/>
        <v>12.59</v>
      </c>
      <c r="S76" s="274">
        <f t="shared" si="53"/>
        <v>0</v>
      </c>
      <c r="T76" s="274">
        <f t="shared" si="53"/>
        <v>12.6</v>
      </c>
      <c r="U76" s="274">
        <f t="shared" si="53"/>
        <v>0</v>
      </c>
      <c r="V76" s="274">
        <f t="shared" si="53"/>
        <v>12.6</v>
      </c>
      <c r="W76" s="274">
        <f t="shared" si="53"/>
        <v>0</v>
      </c>
      <c r="X76" s="274">
        <f t="shared" si="53"/>
        <v>12.59</v>
      </c>
      <c r="Y76" s="274">
        <f t="shared" si="53"/>
        <v>0</v>
      </c>
      <c r="Z76" s="274">
        <f t="shared" si="53"/>
        <v>12.6</v>
      </c>
      <c r="AA76" s="274">
        <f t="shared" si="53"/>
        <v>0</v>
      </c>
      <c r="AB76" s="274">
        <f t="shared" si="53"/>
        <v>12.6</v>
      </c>
      <c r="AC76" s="274">
        <f t="shared" si="53"/>
        <v>0</v>
      </c>
      <c r="AD76" s="274">
        <f t="shared" si="53"/>
        <v>33.93</v>
      </c>
      <c r="AE76" s="275">
        <f t="shared" si="53"/>
        <v>0</v>
      </c>
      <c r="AF76" s="271"/>
    </row>
    <row r="77" spans="1:32" ht="18.75" x14ac:dyDescent="0.25">
      <c r="A77" s="252" t="s">
        <v>33</v>
      </c>
      <c r="B77" s="274">
        <f t="shared" si="50"/>
        <v>10.800000000000002</v>
      </c>
      <c r="C77" s="274">
        <f t="shared" si="50"/>
        <v>0.9</v>
      </c>
      <c r="D77" s="274">
        <f t="shared" si="50"/>
        <v>0</v>
      </c>
      <c r="E77" s="274">
        <f t="shared" si="50"/>
        <v>0</v>
      </c>
      <c r="F77" s="274">
        <f t="shared" si="51"/>
        <v>0</v>
      </c>
      <c r="G77" s="274">
        <f t="shared" si="52"/>
        <v>0</v>
      </c>
      <c r="H77" s="274">
        <f t="shared" si="53"/>
        <v>0</v>
      </c>
      <c r="I77" s="274">
        <f t="shared" si="53"/>
        <v>0</v>
      </c>
      <c r="J77" s="274">
        <f t="shared" si="53"/>
        <v>0.9</v>
      </c>
      <c r="K77" s="274">
        <f t="shared" si="53"/>
        <v>0</v>
      </c>
      <c r="L77" s="274">
        <f t="shared" si="53"/>
        <v>0.9</v>
      </c>
      <c r="M77" s="274">
        <f t="shared" si="53"/>
        <v>0</v>
      </c>
      <c r="N77" s="274">
        <f t="shared" si="53"/>
        <v>0.9</v>
      </c>
      <c r="O77" s="274">
        <f t="shared" si="53"/>
        <v>0</v>
      </c>
      <c r="P77" s="274">
        <f t="shared" si="53"/>
        <v>0.9</v>
      </c>
      <c r="Q77" s="274">
        <f t="shared" si="53"/>
        <v>0</v>
      </c>
      <c r="R77" s="274">
        <f t="shared" si="53"/>
        <v>0.9</v>
      </c>
      <c r="S77" s="274">
        <f t="shared" si="53"/>
        <v>0</v>
      </c>
      <c r="T77" s="274">
        <f t="shared" si="53"/>
        <v>0.9</v>
      </c>
      <c r="U77" s="274">
        <f t="shared" si="53"/>
        <v>0</v>
      </c>
      <c r="V77" s="274">
        <f t="shared" si="53"/>
        <v>0.9</v>
      </c>
      <c r="W77" s="274">
        <f t="shared" si="53"/>
        <v>0</v>
      </c>
      <c r="X77" s="274">
        <f t="shared" si="53"/>
        <v>0.9</v>
      </c>
      <c r="Y77" s="274">
        <f t="shared" si="53"/>
        <v>0</v>
      </c>
      <c r="Z77" s="274">
        <f t="shared" si="53"/>
        <v>0.9</v>
      </c>
      <c r="AA77" s="274">
        <f t="shared" si="53"/>
        <v>0</v>
      </c>
      <c r="AB77" s="274">
        <f t="shared" si="53"/>
        <v>0.9</v>
      </c>
      <c r="AC77" s="274">
        <f t="shared" si="53"/>
        <v>0</v>
      </c>
      <c r="AD77" s="274">
        <f t="shared" si="53"/>
        <v>1.8</v>
      </c>
      <c r="AE77" s="275">
        <f t="shared" si="53"/>
        <v>0</v>
      </c>
      <c r="AF77" s="271"/>
    </row>
    <row r="78" spans="1:32" ht="33" x14ac:dyDescent="0.25">
      <c r="A78" s="247" t="s">
        <v>174</v>
      </c>
      <c r="B78" s="274">
        <f t="shared" si="50"/>
        <v>0</v>
      </c>
      <c r="C78" s="274">
        <f t="shared" si="50"/>
        <v>0</v>
      </c>
      <c r="D78" s="274">
        <f t="shared" si="50"/>
        <v>0</v>
      </c>
      <c r="E78" s="274">
        <f t="shared" si="50"/>
        <v>0</v>
      </c>
      <c r="F78" s="274">
        <f t="shared" si="51"/>
        <v>0</v>
      </c>
      <c r="G78" s="274">
        <f t="shared" si="52"/>
        <v>0</v>
      </c>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5"/>
      <c r="AF78" s="271"/>
    </row>
    <row r="79" spans="1:32" ht="18.75" x14ac:dyDescent="0.25">
      <c r="A79" s="250" t="s">
        <v>389</v>
      </c>
      <c r="B79" s="274">
        <f t="shared" si="50"/>
        <v>0</v>
      </c>
      <c r="C79" s="274">
        <f t="shared" si="50"/>
        <v>0</v>
      </c>
      <c r="D79" s="274">
        <f t="shared" si="50"/>
        <v>0</v>
      </c>
      <c r="E79" s="274">
        <f t="shared" si="50"/>
        <v>0</v>
      </c>
      <c r="F79" s="274">
        <f t="shared" si="51"/>
        <v>0</v>
      </c>
      <c r="G79" s="274">
        <f t="shared" si="52"/>
        <v>0</v>
      </c>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5"/>
      <c r="AF79" s="271"/>
    </row>
  </sheetData>
  <customSheetViews>
    <customSheetView guid="{533DC55B-6AD4-4674-9488-685EF2039F3E}" scale="80">
      <pane ySplit="5" topLeftCell="A57" activePane="bottomLeft" state="frozen"/>
      <selection pane="bottomLeft" activeCell="A23" sqref="A23:AF23"/>
      <pageMargins left="0.7" right="0.7" top="0.75" bottom="0.75" header="0.3" footer="0.3"/>
    </customSheetView>
    <customSheetView guid="{85F4575B-DBC5-482A-9916-255D8F0BC94E}" scale="80">
      <pane ySplit="5" topLeftCell="A57" activePane="bottomLeft" state="frozen"/>
      <selection pane="bottomLeft" activeCell="A23" sqref="A23:AF23"/>
      <pageMargins left="0.7" right="0.7" top="0.75" bottom="0.75" header="0.3" footer="0.3"/>
    </customSheetView>
    <customSheetView guid="{B1BF08D1-D416-4B47-ADD0-4F59132DC9E8}" scale="80">
      <pane ySplit="5" topLeftCell="A57" activePane="bottomLeft" state="frozen"/>
      <selection pane="bottomLeft" activeCell="D58" sqref="D58"/>
      <pageMargins left="0.7" right="0.7" top="0.75" bottom="0.75" header="0.3" footer="0.3"/>
    </customSheetView>
    <customSheetView guid="{4F41B9CC-959D-442C-80B0-1F0DB2C76D27}" scale="80">
      <pane ySplit="5" topLeftCell="A57" activePane="bottomLeft" state="frozen"/>
      <selection pane="bottomLeft" activeCell="D58" sqref="D58"/>
      <pageMargins left="0.7" right="0.7" top="0.75" bottom="0.75" header="0.3" footer="0.3"/>
    </customSheetView>
    <customSheetView guid="{602C8EDB-B9EF-4C85-B0D5-0558C3A0ABAB}" scale="80">
      <pane ySplit="5" topLeftCell="A57" activePane="bottomLeft" state="frozen"/>
      <selection pane="bottomLeft" activeCell="D58" sqref="D58"/>
      <pageMargins left="0.7" right="0.7" top="0.75" bottom="0.75" header="0.3" footer="0.3"/>
    </customSheetView>
    <customSheetView guid="{D01FA037-9AEC-4167-ADB8-2F327C01ECE6}" scale="80">
      <pane ySplit="5" topLeftCell="A57" activePane="bottomLeft" state="frozen"/>
      <selection pane="bottomLeft" activeCell="D58" sqref="D58"/>
      <pageMargins left="0.7" right="0.7" top="0.75" bottom="0.75" header="0.3" footer="0.3"/>
    </customSheetView>
    <customSheetView guid="{84867370-1F3E-4368-AF79-FBCE46FFFE92}" scale="80">
      <pane ySplit="5" topLeftCell="A57" activePane="bottomLeft" state="frozen"/>
      <selection pane="bottomLeft" activeCell="D58" sqref="D58"/>
      <pageMargins left="0.7" right="0.7" top="0.75" bottom="0.75" header="0.3" footer="0.3"/>
    </customSheetView>
    <customSheetView guid="{0C2B9C2A-7B94-41EF-A2E6-F8AC9A67DE25}" scale="80">
      <pane ySplit="5" topLeftCell="A57" activePane="bottomLeft" state="frozen"/>
      <selection pane="bottomLeft" activeCell="D58" sqref="D58"/>
      <pageMargins left="0.7" right="0.7" top="0.75" bottom="0.75" header="0.3" footer="0.3"/>
    </customSheetView>
    <customSheetView guid="{47B983AB-FE5F-4725-860C-A2F29420596D}" scale="80">
      <pane ySplit="5" topLeftCell="A57" activePane="bottomLeft" state="frozen"/>
      <selection pane="bottomLeft" activeCell="D58" sqref="D58"/>
      <pageMargins left="0.7" right="0.7" top="0.75" bottom="0.75" header="0.3" footer="0.3"/>
    </customSheetView>
    <customSheetView guid="{DAA8A688-7558-4B5B-8DBD-E2629BD9E9A8}" scale="80">
      <selection activeCell="AF47" sqref="AF47:AF52"/>
      <pageMargins left="0.7" right="0.7" top="0.75" bottom="0.75" header="0.3" footer="0.3"/>
    </customSheetView>
    <customSheetView guid="{BCD82A82-B724-4763-8580-D765356E09BA}" scale="70">
      <selection activeCell="A2" sqref="A2:AD2"/>
      <pageMargins left="0.7" right="0.7" top="0.75" bottom="0.75" header="0.3" footer="0.3"/>
    </customSheetView>
    <customSheetView guid="{C236B307-BD63-48C4-A75F-B3F3717BF55C}" scale="80">
      <selection activeCell="AF47" sqref="AF47:AF52"/>
      <pageMargins left="0.7" right="0.7" top="0.75" bottom="0.75" header="0.3" footer="0.3"/>
    </customSheetView>
    <customSheetView guid="{87218168-6C8E-4D5B-A5E5-DCCC26803AA3}" scale="80">
      <selection activeCell="AF47" sqref="AF47:AF52"/>
      <pageMargins left="0.7" right="0.7" top="0.75" bottom="0.75" header="0.3" footer="0.3"/>
    </customSheetView>
    <customSheetView guid="{874882D1-E741-4CCA-BF0D-E72FA60B771D}" scale="80" showPageBreaks="1" topLeftCell="A52">
      <selection activeCell="M87" sqref="M87"/>
      <pageMargins left="0.7" right="0.7" top="0.75" bottom="0.75" header="0.3" footer="0.3"/>
      <pageSetup paperSize="9" orientation="landscape" horizontalDpi="0" verticalDpi="0" r:id="rId1"/>
    </customSheetView>
    <customSheetView guid="{B82BA08A-1A30-4F4D-A478-74A6BD09EA97}" scale="80">
      <selection activeCell="AF47" sqref="AF47:AF52"/>
      <pageMargins left="0.7" right="0.7" top="0.75" bottom="0.75" header="0.3" footer="0.3"/>
    </customSheetView>
    <customSheetView guid="{4D0DFB57-2CBA-42F2-9A97-C453A6851FBA}" scale="80">
      <pane ySplit="5" topLeftCell="A57" activePane="bottomLeft" state="frozen"/>
      <selection pane="bottomLeft" activeCell="D58" sqref="D58"/>
      <pageMargins left="0.7" right="0.7" top="0.75" bottom="0.75" header="0.3" footer="0.3"/>
    </customSheetView>
    <customSheetView guid="{770624BF-07F3-44B6-94C3-4CC447CDD45C}" scale="80">
      <pane ySplit="5" topLeftCell="A57" activePane="bottomLeft" state="frozen"/>
      <selection pane="bottomLeft" activeCell="D58" sqref="D58"/>
      <pageMargins left="0.7" right="0.7" top="0.75" bottom="0.75" header="0.3" footer="0.3"/>
    </customSheetView>
    <customSheetView guid="{E508E171-4ED9-4B07-84DF-DA28C60E1969}" scale="70">
      <pane ySplit="5" topLeftCell="A33" activePane="bottomLeft" state="frozen"/>
      <selection pane="bottomLeft" activeCell="M56" sqref="M56"/>
      <pageMargins left="0.7" right="0.7" top="0.75" bottom="0.75" header="0.3" footer="0.3"/>
    </customSheetView>
    <customSheetView guid="{74870EE6-26B9-40F7-9DC9-260EF16D8959}" scale="80">
      <pane ySplit="5" topLeftCell="A57" activePane="bottomLeft" state="frozen"/>
      <selection pane="bottomLeft" activeCell="D58" sqref="D58"/>
      <pageMargins left="0.7" right="0.7" top="0.75" bottom="0.75" header="0.3" footer="0.3"/>
    </customSheetView>
    <customSheetView guid="{009B3074-D8EC-4952-BF50-43CD64449612}" scale="80">
      <pane ySplit="5" topLeftCell="A57" activePane="bottomLeft" state="frozen"/>
      <selection pane="bottomLeft" activeCell="D58" sqref="D58"/>
      <pageMargins left="0.7" right="0.7" top="0.75" bottom="0.75" header="0.3" footer="0.3"/>
    </customSheetView>
    <customSheetView guid="{F679EF4A-C5FD-4B86-B87B-D85968E0F2CA}" scale="80">
      <pane ySplit="5" topLeftCell="A57" activePane="bottomLeft" state="frozen"/>
      <selection pane="bottomLeft" activeCell="D58" sqref="D58"/>
      <pageMargins left="0.7" right="0.7" top="0.75" bottom="0.75" header="0.3" footer="0.3"/>
    </customSheetView>
    <customSheetView guid="{959E901C-5DDE-42EE-AE94-AB8976B5E00B}" scale="80">
      <pane ySplit="5" topLeftCell="A57" activePane="bottomLeft" state="frozen"/>
      <selection pane="bottomLeft" activeCell="D58" sqref="D58"/>
      <pageMargins left="0.7" right="0.7" top="0.75" bottom="0.75" header="0.3" footer="0.3"/>
    </customSheetView>
    <customSheetView guid="{69DABE6F-6182-4403-A4A2-969F10F1C13A}" scale="80">
      <pane ySplit="5" topLeftCell="A57" activePane="bottomLeft" state="frozen"/>
      <selection pane="bottomLeft" activeCell="A23" sqref="A23:AF23"/>
      <pageMargins left="0.7" right="0.7" top="0.75" bottom="0.75" header="0.3" footer="0.3"/>
    </customSheetView>
    <customSheetView guid="{09C3E205-981E-4A4E-BE89-8B7044192060}" scale="80">
      <pane ySplit="5" topLeftCell="A57" activePane="bottomLeft" state="frozen"/>
      <selection pane="bottomLeft" activeCell="A23" sqref="A23:AF23"/>
      <pageMargins left="0.7" right="0.7" top="0.75" bottom="0.75" header="0.3" footer="0.3"/>
    </customSheetView>
    <customSheetView guid="{6A602CB8-B24C-4ED4-B378-B27354BE0A1A}" scale="80">
      <pane ySplit="5" topLeftCell="A57" activePane="bottomLeft" state="frozen"/>
      <selection pane="bottomLeft" activeCell="A23" sqref="A23:AF23"/>
      <pageMargins left="0.7" right="0.7" top="0.75" bottom="0.75" header="0.3" footer="0.3"/>
    </customSheetView>
    <customSheetView guid="{7C130984-112A-4861-AA43-E2940708E3DC}" scale="80" state="hidden">
      <pane ySplit="5" topLeftCell="A57" activePane="bottomLeft" state="frozen"/>
      <selection pane="bottomLeft" activeCell="A54" activeCellId="2" sqref="A17 A48 A54"/>
      <pageMargins left="0.7" right="0.7" top="0.75" bottom="0.75" header="0.3" footer="0.3"/>
    </customSheetView>
  </customSheetViews>
  <mergeCells count="39">
    <mergeCell ref="A1:AD1"/>
    <mergeCell ref="A2:AD2"/>
    <mergeCell ref="A4:A5"/>
    <mergeCell ref="B4:B5"/>
    <mergeCell ref="C4:C5"/>
    <mergeCell ref="D4:D5"/>
    <mergeCell ref="E4:E5"/>
    <mergeCell ref="F4:G4"/>
    <mergeCell ref="H4:I4"/>
    <mergeCell ref="J4:K4"/>
    <mergeCell ref="A7:AF7"/>
    <mergeCell ref="L4:M4"/>
    <mergeCell ref="N4:O4"/>
    <mergeCell ref="P4:Q4"/>
    <mergeCell ref="R4:S4"/>
    <mergeCell ref="T4:U4"/>
    <mergeCell ref="V4:W4"/>
    <mergeCell ref="X4:Y4"/>
    <mergeCell ref="Z4:AA4"/>
    <mergeCell ref="AB4:AC4"/>
    <mergeCell ref="AD4:AE4"/>
    <mergeCell ref="A6:AF6"/>
    <mergeCell ref="A46:AF46"/>
    <mergeCell ref="A8:AF8"/>
    <mergeCell ref="AF9:AF14"/>
    <mergeCell ref="A15:AF15"/>
    <mergeCell ref="AF16:AF21"/>
    <mergeCell ref="A22:AE22"/>
    <mergeCell ref="A23:AF23"/>
    <mergeCell ref="AF24:AF29"/>
    <mergeCell ref="A30:AF30"/>
    <mergeCell ref="AF38:AF43"/>
    <mergeCell ref="A44:AF44"/>
    <mergeCell ref="A45:AE45"/>
    <mergeCell ref="AF47:AF52"/>
    <mergeCell ref="AF54:AF59"/>
    <mergeCell ref="AF60:AF65"/>
    <mergeCell ref="A66:AE66"/>
    <mergeCell ref="A73:AE73"/>
  </mergeCells>
  <hyperlinks>
    <hyperlink ref="A2:AD2" location="Оглавление!A1" display="«Экологическая безопасность города Когалыма» "/>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75" zoomScaleNormal="75" workbookViewId="0">
      <pane ySplit="4" topLeftCell="A44" activePane="bottomLeft" state="frozen"/>
      <selection activeCell="A54" activeCellId="2" sqref="A17 A48 A54"/>
      <selection pane="bottomLeft" activeCell="A54" activeCellId="2" sqref="A17 A48 A54"/>
    </sheetView>
  </sheetViews>
  <sheetFormatPr defaultColWidth="9.140625" defaultRowHeight="15" x14ac:dyDescent="0.25"/>
  <cols>
    <col min="1" max="1" width="34.42578125" style="228" customWidth="1"/>
    <col min="2" max="5" width="14.85546875" style="228" customWidth="1"/>
    <col min="6" max="6" width="11.140625" style="228" customWidth="1"/>
    <col min="7" max="7" width="11.85546875" style="228" customWidth="1"/>
    <col min="8" max="11" width="10.5703125" style="228" customWidth="1"/>
    <col min="12" max="12" width="12.5703125" style="228" customWidth="1"/>
    <col min="13" max="22" width="10.5703125" style="228" customWidth="1"/>
    <col min="23" max="27" width="9.140625" style="228"/>
    <col min="28" max="28" width="12" style="228" customWidth="1"/>
    <col min="29" max="29" width="9.140625" style="228"/>
    <col min="30" max="30" width="13.42578125" style="228" customWidth="1"/>
    <col min="31" max="31" width="9.140625" style="228"/>
    <col min="32" max="32" width="44.140625" style="228" customWidth="1"/>
    <col min="33" max="16384" width="9.140625" style="228"/>
  </cols>
  <sheetData>
    <row r="1" spans="1:32" ht="36.75" customHeight="1" x14ac:dyDescent="0.3">
      <c r="A1" s="1003" t="s">
        <v>397</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276"/>
      <c r="AF1" s="276"/>
    </row>
    <row r="2" spans="1:32" ht="15.75" x14ac:dyDescent="0.25">
      <c r="A2" s="1004" t="s">
        <v>398</v>
      </c>
      <c r="B2" s="1004" t="s">
        <v>399</v>
      </c>
      <c r="C2" s="1004" t="s">
        <v>516</v>
      </c>
      <c r="D2" s="1004" t="s">
        <v>517</v>
      </c>
      <c r="E2" s="1004" t="s">
        <v>518</v>
      </c>
      <c r="F2" s="1006" t="s">
        <v>400</v>
      </c>
      <c r="G2" s="1007"/>
      <c r="H2" s="996" t="s">
        <v>7</v>
      </c>
      <c r="I2" s="997"/>
      <c r="J2" s="996" t="s">
        <v>8</v>
      </c>
      <c r="K2" s="997"/>
      <c r="L2" s="996" t="s">
        <v>9</v>
      </c>
      <c r="M2" s="997"/>
      <c r="N2" s="996" t="s">
        <v>10</v>
      </c>
      <c r="O2" s="997"/>
      <c r="P2" s="996" t="s">
        <v>11</v>
      </c>
      <c r="Q2" s="997"/>
      <c r="R2" s="996" t="s">
        <v>12</v>
      </c>
      <c r="S2" s="997"/>
      <c r="T2" s="996" t="s">
        <v>13</v>
      </c>
      <c r="U2" s="997"/>
      <c r="V2" s="996" t="s">
        <v>14</v>
      </c>
      <c r="W2" s="997"/>
      <c r="X2" s="996" t="s">
        <v>15</v>
      </c>
      <c r="Y2" s="997"/>
      <c r="Z2" s="996" t="s">
        <v>16</v>
      </c>
      <c r="AA2" s="997"/>
      <c r="AB2" s="996" t="s">
        <v>17</v>
      </c>
      <c r="AC2" s="997"/>
      <c r="AD2" s="996" t="s">
        <v>18</v>
      </c>
      <c r="AE2" s="997"/>
      <c r="AF2" s="1008" t="s">
        <v>19</v>
      </c>
    </row>
    <row r="3" spans="1:32" ht="47.25" x14ac:dyDescent="0.25">
      <c r="A3" s="1005"/>
      <c r="B3" s="1005"/>
      <c r="C3" s="1005"/>
      <c r="D3" s="1005"/>
      <c r="E3" s="1005"/>
      <c r="F3" s="277" t="s">
        <v>401</v>
      </c>
      <c r="G3" s="277" t="s">
        <v>21</v>
      </c>
      <c r="H3" s="278" t="s">
        <v>165</v>
      </c>
      <c r="I3" s="278" t="s">
        <v>23</v>
      </c>
      <c r="J3" s="278" t="s">
        <v>165</v>
      </c>
      <c r="K3" s="278" t="s">
        <v>23</v>
      </c>
      <c r="L3" s="278" t="s">
        <v>165</v>
      </c>
      <c r="M3" s="278" t="s">
        <v>23</v>
      </c>
      <c r="N3" s="278" t="s">
        <v>165</v>
      </c>
      <c r="O3" s="278" t="s">
        <v>23</v>
      </c>
      <c r="P3" s="278" t="s">
        <v>165</v>
      </c>
      <c r="Q3" s="278" t="s">
        <v>23</v>
      </c>
      <c r="R3" s="278" t="s">
        <v>165</v>
      </c>
      <c r="S3" s="278" t="s">
        <v>23</v>
      </c>
      <c r="T3" s="278" t="s">
        <v>165</v>
      </c>
      <c r="U3" s="278" t="s">
        <v>23</v>
      </c>
      <c r="V3" s="278" t="s">
        <v>165</v>
      </c>
      <c r="W3" s="278" t="s">
        <v>23</v>
      </c>
      <c r="X3" s="278" t="s">
        <v>165</v>
      </c>
      <c r="Y3" s="278" t="s">
        <v>23</v>
      </c>
      <c r="Z3" s="278" t="s">
        <v>165</v>
      </c>
      <c r="AA3" s="278" t="s">
        <v>23</v>
      </c>
      <c r="AB3" s="278" t="s">
        <v>165</v>
      </c>
      <c r="AC3" s="278" t="s">
        <v>23</v>
      </c>
      <c r="AD3" s="278" t="s">
        <v>165</v>
      </c>
      <c r="AE3" s="278" t="s">
        <v>23</v>
      </c>
      <c r="AF3" s="1008"/>
    </row>
    <row r="4" spans="1:32" ht="15.75" x14ac:dyDescent="0.25">
      <c r="A4" s="279">
        <v>1</v>
      </c>
      <c r="B4" s="279">
        <v>2</v>
      </c>
      <c r="C4" s="279">
        <v>3</v>
      </c>
      <c r="D4" s="279">
        <v>4</v>
      </c>
      <c r="E4" s="279">
        <v>5</v>
      </c>
      <c r="F4" s="279">
        <v>6</v>
      </c>
      <c r="G4" s="279">
        <v>7</v>
      </c>
      <c r="H4" s="278">
        <v>8</v>
      </c>
      <c r="I4" s="278">
        <v>9</v>
      </c>
      <c r="J4" s="278">
        <v>10</v>
      </c>
      <c r="K4" s="278">
        <v>11</v>
      </c>
      <c r="L4" s="278">
        <v>12</v>
      </c>
      <c r="M4" s="278">
        <v>13</v>
      </c>
      <c r="N4" s="278">
        <v>14</v>
      </c>
      <c r="O4" s="278">
        <v>15</v>
      </c>
      <c r="P4" s="278">
        <v>16</v>
      </c>
      <c r="Q4" s="278">
        <v>17</v>
      </c>
      <c r="R4" s="278">
        <v>18</v>
      </c>
      <c r="S4" s="278">
        <v>19</v>
      </c>
      <c r="T4" s="278">
        <v>20</v>
      </c>
      <c r="U4" s="278">
        <v>21</v>
      </c>
      <c r="V4" s="278">
        <v>22</v>
      </c>
      <c r="W4" s="278">
        <v>23</v>
      </c>
      <c r="X4" s="278">
        <v>24</v>
      </c>
      <c r="Y4" s="278">
        <v>25</v>
      </c>
      <c r="Z4" s="278">
        <v>26</v>
      </c>
      <c r="AA4" s="278">
        <v>27</v>
      </c>
      <c r="AB4" s="278">
        <v>28</v>
      </c>
      <c r="AC4" s="278">
        <v>29</v>
      </c>
      <c r="AD4" s="278">
        <v>30</v>
      </c>
      <c r="AE4" s="278">
        <v>31</v>
      </c>
      <c r="AF4" s="278">
        <v>32</v>
      </c>
    </row>
    <row r="5" spans="1:32" ht="15.75" x14ac:dyDescent="0.25">
      <c r="A5" s="998" t="s">
        <v>402</v>
      </c>
      <c r="B5" s="998"/>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9"/>
      <c r="AE5" s="280"/>
      <c r="AF5" s="280"/>
    </row>
    <row r="6" spans="1:32" ht="15.75" x14ac:dyDescent="0.25">
      <c r="A6" s="992" t="s">
        <v>54</v>
      </c>
      <c r="B6" s="992"/>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3"/>
      <c r="AF6" s="280"/>
    </row>
    <row r="7" spans="1:32" ht="15.75" x14ac:dyDescent="0.25">
      <c r="A7" s="281" t="s">
        <v>403</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2"/>
      <c r="AE7" s="280"/>
      <c r="AF7" s="280"/>
    </row>
    <row r="8" spans="1:32" ht="15.75" x14ac:dyDescent="0.25">
      <c r="A8" s="283" t="s">
        <v>31</v>
      </c>
      <c r="B8" s="284">
        <f>B9</f>
        <v>3453.3</v>
      </c>
      <c r="C8" s="284">
        <f>C9</f>
        <v>0</v>
      </c>
      <c r="D8" s="284">
        <f t="shared" ref="D8:E8" si="0">D9</f>
        <v>0</v>
      </c>
      <c r="E8" s="284">
        <f t="shared" si="0"/>
        <v>0</v>
      </c>
      <c r="F8" s="284">
        <f t="shared" ref="F8:F18" si="1">IFERROR(E8/B8*100,0)</f>
        <v>0</v>
      </c>
      <c r="G8" s="284">
        <f t="shared" ref="G8:G18" si="2">IFERROR(E8/C8*100,0)</f>
        <v>0</v>
      </c>
      <c r="H8" s="284">
        <f>H9</f>
        <v>0</v>
      </c>
      <c r="I8" s="284">
        <f t="shared" ref="I8:AE8" si="3">I9</f>
        <v>0</v>
      </c>
      <c r="J8" s="284">
        <f t="shared" si="3"/>
        <v>0</v>
      </c>
      <c r="K8" s="284">
        <f t="shared" si="3"/>
        <v>0</v>
      </c>
      <c r="L8" s="284">
        <f t="shared" si="3"/>
        <v>0</v>
      </c>
      <c r="M8" s="284">
        <f t="shared" si="3"/>
        <v>0</v>
      </c>
      <c r="N8" s="284">
        <f t="shared" si="3"/>
        <v>0</v>
      </c>
      <c r="O8" s="284">
        <f t="shared" si="3"/>
        <v>0</v>
      </c>
      <c r="P8" s="284">
        <f t="shared" si="3"/>
        <v>0</v>
      </c>
      <c r="Q8" s="284">
        <f t="shared" si="3"/>
        <v>0</v>
      </c>
      <c r="R8" s="284">
        <f t="shared" si="3"/>
        <v>0</v>
      </c>
      <c r="S8" s="284">
        <f t="shared" si="3"/>
        <v>0</v>
      </c>
      <c r="T8" s="284">
        <f t="shared" si="3"/>
        <v>0</v>
      </c>
      <c r="U8" s="284">
        <f t="shared" si="3"/>
        <v>0</v>
      </c>
      <c r="V8" s="284">
        <f t="shared" si="3"/>
        <v>0</v>
      </c>
      <c r="W8" s="284">
        <f t="shared" si="3"/>
        <v>0</v>
      </c>
      <c r="X8" s="284">
        <f t="shared" si="3"/>
        <v>0</v>
      </c>
      <c r="Y8" s="284">
        <f t="shared" si="3"/>
        <v>0</v>
      </c>
      <c r="Z8" s="284">
        <f t="shared" si="3"/>
        <v>0</v>
      </c>
      <c r="AA8" s="284">
        <f t="shared" si="3"/>
        <v>0</v>
      </c>
      <c r="AB8" s="284">
        <f t="shared" si="3"/>
        <v>2992.4</v>
      </c>
      <c r="AC8" s="284">
        <f t="shared" si="3"/>
        <v>0</v>
      </c>
      <c r="AD8" s="284">
        <f t="shared" si="3"/>
        <v>460.9</v>
      </c>
      <c r="AE8" s="284">
        <f t="shared" si="3"/>
        <v>0</v>
      </c>
      <c r="AF8" s="285"/>
    </row>
    <row r="9" spans="1:32" ht="15.75" x14ac:dyDescent="0.25">
      <c r="A9" s="286" t="s">
        <v>33</v>
      </c>
      <c r="B9" s="287">
        <f t="shared" ref="B9" si="4">H9+J9+L9+N9+P9+R9+T9+V9+X9+Z9+AB9+AD9</f>
        <v>3453.3</v>
      </c>
      <c r="C9" s="287">
        <f>H9+J9+L9</f>
        <v>0</v>
      </c>
      <c r="D9" s="287">
        <f>I9+K9+M9</f>
        <v>0</v>
      </c>
      <c r="E9" s="287">
        <f>I9+K9+M9+O9+Q9+S9+U9+W9+Y9+AA9+AC9+AE9</f>
        <v>0</v>
      </c>
      <c r="F9" s="287">
        <f t="shared" si="1"/>
        <v>0</v>
      </c>
      <c r="G9" s="287">
        <f t="shared" si="2"/>
        <v>0</v>
      </c>
      <c r="H9" s="287">
        <f>H12+H15</f>
        <v>0</v>
      </c>
      <c r="I9" s="287">
        <f t="shared" ref="I9:AE9" si="5">I12+I15</f>
        <v>0</v>
      </c>
      <c r="J9" s="287">
        <f>J12+J15</f>
        <v>0</v>
      </c>
      <c r="K9" s="287">
        <f t="shared" si="5"/>
        <v>0</v>
      </c>
      <c r="L9" s="287">
        <f t="shared" si="5"/>
        <v>0</v>
      </c>
      <c r="M9" s="287">
        <f t="shared" si="5"/>
        <v>0</v>
      </c>
      <c r="N9" s="287">
        <f t="shared" si="5"/>
        <v>0</v>
      </c>
      <c r="O9" s="287">
        <f t="shared" si="5"/>
        <v>0</v>
      </c>
      <c r="P9" s="287">
        <f t="shared" si="5"/>
        <v>0</v>
      </c>
      <c r="Q9" s="287">
        <f t="shared" si="5"/>
        <v>0</v>
      </c>
      <c r="R9" s="287">
        <f t="shared" si="5"/>
        <v>0</v>
      </c>
      <c r="S9" s="287">
        <f t="shared" si="5"/>
        <v>0</v>
      </c>
      <c r="T9" s="287">
        <f t="shared" si="5"/>
        <v>0</v>
      </c>
      <c r="U9" s="287">
        <f t="shared" si="5"/>
        <v>0</v>
      </c>
      <c r="V9" s="287">
        <f t="shared" si="5"/>
        <v>0</v>
      </c>
      <c r="W9" s="287">
        <f t="shared" si="5"/>
        <v>0</v>
      </c>
      <c r="X9" s="287">
        <f t="shared" si="5"/>
        <v>0</v>
      </c>
      <c r="Y9" s="287">
        <f t="shared" si="5"/>
        <v>0</v>
      </c>
      <c r="Z9" s="287">
        <f t="shared" si="5"/>
        <v>0</v>
      </c>
      <c r="AA9" s="287">
        <f t="shared" si="5"/>
        <v>0</v>
      </c>
      <c r="AB9" s="287">
        <f t="shared" si="5"/>
        <v>2992.4</v>
      </c>
      <c r="AC9" s="287">
        <f t="shared" si="5"/>
        <v>0</v>
      </c>
      <c r="AD9" s="287">
        <f t="shared" si="5"/>
        <v>460.9</v>
      </c>
      <c r="AE9" s="287">
        <f t="shared" si="5"/>
        <v>0</v>
      </c>
      <c r="AF9" s="288"/>
    </row>
    <row r="10" spans="1:32" ht="15.75" x14ac:dyDescent="0.25">
      <c r="A10" s="281" t="s">
        <v>404</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8"/>
    </row>
    <row r="11" spans="1:32" ht="15.75" x14ac:dyDescent="0.25">
      <c r="A11" s="283" t="s">
        <v>31</v>
      </c>
      <c r="B11" s="284">
        <f>B12</f>
        <v>460.9</v>
      </c>
      <c r="C11" s="284">
        <f t="shared" ref="C11:E11" si="6">C12</f>
        <v>0</v>
      </c>
      <c r="D11" s="284">
        <f t="shared" si="6"/>
        <v>0</v>
      </c>
      <c r="E11" s="284">
        <f t="shared" si="6"/>
        <v>0</v>
      </c>
      <c r="F11" s="284">
        <f t="shared" si="1"/>
        <v>0</v>
      </c>
      <c r="G11" s="284">
        <f t="shared" si="2"/>
        <v>0</v>
      </c>
      <c r="H11" s="284">
        <f>H12</f>
        <v>0</v>
      </c>
      <c r="I11" s="284">
        <f t="shared" ref="I11:AE11" si="7">I12</f>
        <v>0</v>
      </c>
      <c r="J11" s="284">
        <f t="shared" si="7"/>
        <v>0</v>
      </c>
      <c r="K11" s="284">
        <f t="shared" si="7"/>
        <v>0</v>
      </c>
      <c r="L11" s="284">
        <f t="shared" si="7"/>
        <v>0</v>
      </c>
      <c r="M11" s="284">
        <f t="shared" si="7"/>
        <v>0</v>
      </c>
      <c r="N11" s="284">
        <f t="shared" si="7"/>
        <v>0</v>
      </c>
      <c r="O11" s="284">
        <f t="shared" si="7"/>
        <v>0</v>
      </c>
      <c r="P11" s="284">
        <f t="shared" si="7"/>
        <v>0</v>
      </c>
      <c r="Q11" s="284">
        <f t="shared" si="7"/>
        <v>0</v>
      </c>
      <c r="R11" s="284">
        <f t="shared" si="7"/>
        <v>0</v>
      </c>
      <c r="S11" s="284">
        <f t="shared" si="7"/>
        <v>0</v>
      </c>
      <c r="T11" s="284">
        <f t="shared" si="7"/>
        <v>0</v>
      </c>
      <c r="U11" s="284">
        <f t="shared" si="7"/>
        <v>0</v>
      </c>
      <c r="V11" s="284">
        <f t="shared" si="7"/>
        <v>0</v>
      </c>
      <c r="W11" s="284">
        <f t="shared" si="7"/>
        <v>0</v>
      </c>
      <c r="X11" s="284">
        <f t="shared" si="7"/>
        <v>0</v>
      </c>
      <c r="Y11" s="284">
        <f t="shared" si="7"/>
        <v>0</v>
      </c>
      <c r="Z11" s="284">
        <f t="shared" si="7"/>
        <v>0</v>
      </c>
      <c r="AA11" s="284">
        <f t="shared" si="7"/>
        <v>0</v>
      </c>
      <c r="AB11" s="284">
        <f t="shared" si="7"/>
        <v>0</v>
      </c>
      <c r="AC11" s="284">
        <f t="shared" si="7"/>
        <v>0</v>
      </c>
      <c r="AD11" s="284">
        <f t="shared" si="7"/>
        <v>460.9</v>
      </c>
      <c r="AE11" s="284">
        <f t="shared" si="7"/>
        <v>0</v>
      </c>
      <c r="AF11" s="289"/>
    </row>
    <row r="12" spans="1:32" ht="15.75" x14ac:dyDescent="0.25">
      <c r="A12" s="286" t="s">
        <v>33</v>
      </c>
      <c r="B12" s="287">
        <f>H12+J12+L12+N12+P12+R12+T12+V12+X12+Z12+AB12+AD12</f>
        <v>460.9</v>
      </c>
      <c r="C12" s="287">
        <f>H12+J12+L12</f>
        <v>0</v>
      </c>
      <c r="D12" s="287">
        <f>I12+K12+M12</f>
        <v>0</v>
      </c>
      <c r="E12" s="287">
        <f>I12+K12+M12+O12+Q12+S12+U12+W12+Y12+AA12+AC12+AE12</f>
        <v>0</v>
      </c>
      <c r="F12" s="287">
        <f t="shared" si="1"/>
        <v>0</v>
      </c>
      <c r="G12" s="287">
        <f t="shared" si="2"/>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0">
        <v>0</v>
      </c>
      <c r="AD12" s="290">
        <v>460.9</v>
      </c>
      <c r="AE12" s="290">
        <v>0</v>
      </c>
      <c r="AF12" s="288"/>
    </row>
    <row r="13" spans="1:32" ht="15.75" x14ac:dyDescent="0.25">
      <c r="A13" s="281" t="s">
        <v>405</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8"/>
    </row>
    <row r="14" spans="1:32" ht="15.75" x14ac:dyDescent="0.25">
      <c r="A14" s="283" t="s">
        <v>31</v>
      </c>
      <c r="B14" s="284">
        <f>B15</f>
        <v>2992.4</v>
      </c>
      <c r="C14" s="284">
        <f t="shared" ref="C14:E14" si="8">C15</f>
        <v>0</v>
      </c>
      <c r="D14" s="284">
        <f t="shared" si="8"/>
        <v>0</v>
      </c>
      <c r="E14" s="284">
        <f t="shared" si="8"/>
        <v>0</v>
      </c>
      <c r="F14" s="284">
        <f t="shared" ref="F14:F15" si="9">IFERROR(E14/B14*100,0)</f>
        <v>0</v>
      </c>
      <c r="G14" s="284">
        <f t="shared" ref="G14:G15" si="10">IFERROR(E14/C14*100,0)</f>
        <v>0</v>
      </c>
      <c r="H14" s="284">
        <f>H15</f>
        <v>0</v>
      </c>
      <c r="I14" s="284">
        <f t="shared" ref="I14:AE14" si="11">I15</f>
        <v>0</v>
      </c>
      <c r="J14" s="284">
        <f t="shared" si="11"/>
        <v>0</v>
      </c>
      <c r="K14" s="284">
        <f t="shared" si="11"/>
        <v>0</v>
      </c>
      <c r="L14" s="284">
        <f t="shared" si="11"/>
        <v>0</v>
      </c>
      <c r="M14" s="284">
        <f t="shared" si="11"/>
        <v>0</v>
      </c>
      <c r="N14" s="284">
        <f t="shared" si="11"/>
        <v>0</v>
      </c>
      <c r="O14" s="284">
        <f t="shared" si="11"/>
        <v>0</v>
      </c>
      <c r="P14" s="284">
        <f t="shared" si="11"/>
        <v>0</v>
      </c>
      <c r="Q14" s="284">
        <f t="shared" si="11"/>
        <v>0</v>
      </c>
      <c r="R14" s="284">
        <f t="shared" si="11"/>
        <v>0</v>
      </c>
      <c r="S14" s="284">
        <f t="shared" si="11"/>
        <v>0</v>
      </c>
      <c r="T14" s="284">
        <f t="shared" si="11"/>
        <v>0</v>
      </c>
      <c r="U14" s="284">
        <f t="shared" si="11"/>
        <v>0</v>
      </c>
      <c r="V14" s="284">
        <f t="shared" si="11"/>
        <v>0</v>
      </c>
      <c r="W14" s="284">
        <f t="shared" si="11"/>
        <v>0</v>
      </c>
      <c r="X14" s="284">
        <f t="shared" si="11"/>
        <v>0</v>
      </c>
      <c r="Y14" s="284">
        <f t="shared" si="11"/>
        <v>0</v>
      </c>
      <c r="Z14" s="284">
        <f t="shared" si="11"/>
        <v>0</v>
      </c>
      <c r="AA14" s="284">
        <f t="shared" si="11"/>
        <v>0</v>
      </c>
      <c r="AB14" s="284">
        <f t="shared" si="11"/>
        <v>2992.4</v>
      </c>
      <c r="AC14" s="284">
        <f t="shared" si="11"/>
        <v>0</v>
      </c>
      <c r="AD14" s="284">
        <f t="shared" si="11"/>
        <v>0</v>
      </c>
      <c r="AE14" s="284">
        <f t="shared" si="11"/>
        <v>0</v>
      </c>
      <c r="AF14" s="289"/>
    </row>
    <row r="15" spans="1:32" ht="15.75" x14ac:dyDescent="0.25">
      <c r="A15" s="286" t="s">
        <v>33</v>
      </c>
      <c r="B15" s="287">
        <f>H15+J15+L15+N15+P15+R15+T15+V15+X15+Z15+AB15+AD15</f>
        <v>2992.4</v>
      </c>
      <c r="C15" s="287">
        <f>H15+J15+L15</f>
        <v>0</v>
      </c>
      <c r="D15" s="287">
        <f>I15+K15+M15</f>
        <v>0</v>
      </c>
      <c r="E15" s="287">
        <f>I15+K15+M15+O15+Q15+S15+U15+W15+Y15+AA15+AC15+AE15</f>
        <v>0</v>
      </c>
      <c r="F15" s="287">
        <f t="shared" si="9"/>
        <v>0</v>
      </c>
      <c r="G15" s="287">
        <f t="shared" si="1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0</v>
      </c>
      <c r="Y15" s="290">
        <v>0</v>
      </c>
      <c r="Z15" s="290">
        <v>0</v>
      </c>
      <c r="AA15" s="290">
        <v>0</v>
      </c>
      <c r="AB15" s="290">
        <v>2992.4</v>
      </c>
      <c r="AC15" s="290">
        <v>0</v>
      </c>
      <c r="AD15" s="290">
        <v>0</v>
      </c>
      <c r="AE15" s="290">
        <v>0</v>
      </c>
      <c r="AF15" s="288"/>
    </row>
    <row r="16" spans="1:32" ht="15.75" x14ac:dyDescent="0.25">
      <c r="A16" s="291" t="s">
        <v>53</v>
      </c>
      <c r="B16" s="287"/>
      <c r="C16" s="287"/>
      <c r="D16" s="287"/>
      <c r="E16" s="287"/>
      <c r="F16" s="287"/>
      <c r="G16" s="287"/>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88"/>
    </row>
    <row r="17" spans="1:32" ht="15.75" x14ac:dyDescent="0.25">
      <c r="A17" s="292" t="s">
        <v>31</v>
      </c>
      <c r="B17" s="284">
        <f>B18</f>
        <v>3453.3</v>
      </c>
      <c r="C17" s="284">
        <f t="shared" ref="C17:E17" si="12">C18</f>
        <v>0</v>
      </c>
      <c r="D17" s="284">
        <f t="shared" si="12"/>
        <v>0</v>
      </c>
      <c r="E17" s="284">
        <f t="shared" si="12"/>
        <v>0</v>
      </c>
      <c r="F17" s="284">
        <f t="shared" si="1"/>
        <v>0</v>
      </c>
      <c r="G17" s="284">
        <f t="shared" si="2"/>
        <v>0</v>
      </c>
      <c r="H17" s="284">
        <f>H18</f>
        <v>0</v>
      </c>
      <c r="I17" s="284">
        <f t="shared" ref="I17:AE17" si="13">I18</f>
        <v>0</v>
      </c>
      <c r="J17" s="284">
        <f t="shared" si="13"/>
        <v>0</v>
      </c>
      <c r="K17" s="284">
        <f t="shared" si="13"/>
        <v>0</v>
      </c>
      <c r="L17" s="284">
        <f t="shared" si="13"/>
        <v>0</v>
      </c>
      <c r="M17" s="284">
        <f t="shared" si="13"/>
        <v>0</v>
      </c>
      <c r="N17" s="284">
        <f t="shared" si="13"/>
        <v>0</v>
      </c>
      <c r="O17" s="284">
        <f t="shared" si="13"/>
        <v>0</v>
      </c>
      <c r="P17" s="284">
        <f t="shared" si="13"/>
        <v>0</v>
      </c>
      <c r="Q17" s="284">
        <f t="shared" si="13"/>
        <v>0</v>
      </c>
      <c r="R17" s="284">
        <f t="shared" si="13"/>
        <v>0</v>
      </c>
      <c r="S17" s="284">
        <f t="shared" si="13"/>
        <v>0</v>
      </c>
      <c r="T17" s="284">
        <f t="shared" si="13"/>
        <v>0</v>
      </c>
      <c r="U17" s="284">
        <f t="shared" si="13"/>
        <v>0</v>
      </c>
      <c r="V17" s="284">
        <f t="shared" si="13"/>
        <v>0</v>
      </c>
      <c r="W17" s="284">
        <f t="shared" si="13"/>
        <v>0</v>
      </c>
      <c r="X17" s="284">
        <f t="shared" si="13"/>
        <v>0</v>
      </c>
      <c r="Y17" s="284">
        <f t="shared" si="13"/>
        <v>0</v>
      </c>
      <c r="Z17" s="284">
        <f t="shared" si="13"/>
        <v>0</v>
      </c>
      <c r="AA17" s="284">
        <f t="shared" si="13"/>
        <v>0</v>
      </c>
      <c r="AB17" s="284">
        <f t="shared" si="13"/>
        <v>2992.4</v>
      </c>
      <c r="AC17" s="284">
        <f t="shared" si="13"/>
        <v>0</v>
      </c>
      <c r="AD17" s="284">
        <f t="shared" si="13"/>
        <v>460.9</v>
      </c>
      <c r="AE17" s="284">
        <f t="shared" si="13"/>
        <v>0</v>
      </c>
      <c r="AF17" s="285"/>
    </row>
    <row r="18" spans="1:32" ht="15.75" x14ac:dyDescent="0.25">
      <c r="A18" s="293" t="s">
        <v>33</v>
      </c>
      <c r="B18" s="287">
        <f>H18+J18+L18+N18+P18+R18+T18+V18+X18+Z18+AB18+AD18</f>
        <v>3453.3</v>
      </c>
      <c r="C18" s="287">
        <f>H18+J18+L18</f>
        <v>0</v>
      </c>
      <c r="D18" s="287">
        <f>I18+K18+M18</f>
        <v>0</v>
      </c>
      <c r="E18" s="287">
        <f t="shared" ref="E18" si="14">I18+K18+M18+O18+Q18+S18+U18+W18+Y18+AA18+AC18+AE18</f>
        <v>0</v>
      </c>
      <c r="F18" s="287">
        <f t="shared" si="1"/>
        <v>0</v>
      </c>
      <c r="G18" s="287">
        <f t="shared" si="2"/>
        <v>0</v>
      </c>
      <c r="H18" s="290">
        <f t="shared" ref="H18:AE18" si="15">H9</f>
        <v>0</v>
      </c>
      <c r="I18" s="290">
        <f t="shared" si="15"/>
        <v>0</v>
      </c>
      <c r="J18" s="290">
        <f t="shared" si="15"/>
        <v>0</v>
      </c>
      <c r="K18" s="290">
        <f t="shared" si="15"/>
        <v>0</v>
      </c>
      <c r="L18" s="290">
        <f t="shared" si="15"/>
        <v>0</v>
      </c>
      <c r="M18" s="290">
        <f t="shared" si="15"/>
        <v>0</v>
      </c>
      <c r="N18" s="290">
        <f t="shared" si="15"/>
        <v>0</v>
      </c>
      <c r="O18" s="290">
        <f t="shared" si="15"/>
        <v>0</v>
      </c>
      <c r="P18" s="290">
        <f t="shared" si="15"/>
        <v>0</v>
      </c>
      <c r="Q18" s="290">
        <f t="shared" si="15"/>
        <v>0</v>
      </c>
      <c r="R18" s="290">
        <f t="shared" si="15"/>
        <v>0</v>
      </c>
      <c r="S18" s="290">
        <f t="shared" si="15"/>
        <v>0</v>
      </c>
      <c r="T18" s="290">
        <f t="shared" si="15"/>
        <v>0</v>
      </c>
      <c r="U18" s="290">
        <f t="shared" si="15"/>
        <v>0</v>
      </c>
      <c r="V18" s="290">
        <f t="shared" si="15"/>
        <v>0</v>
      </c>
      <c r="W18" s="290">
        <f t="shared" si="15"/>
        <v>0</v>
      </c>
      <c r="X18" s="290">
        <f t="shared" si="15"/>
        <v>0</v>
      </c>
      <c r="Y18" s="290">
        <f t="shared" si="15"/>
        <v>0</v>
      </c>
      <c r="Z18" s="290">
        <f t="shared" si="15"/>
        <v>0</v>
      </c>
      <c r="AA18" s="290">
        <f t="shared" si="15"/>
        <v>0</v>
      </c>
      <c r="AB18" s="290">
        <f t="shared" si="15"/>
        <v>2992.4</v>
      </c>
      <c r="AC18" s="290">
        <f t="shared" si="15"/>
        <v>0</v>
      </c>
      <c r="AD18" s="290">
        <f t="shared" si="15"/>
        <v>460.9</v>
      </c>
      <c r="AE18" s="290">
        <f t="shared" si="15"/>
        <v>0</v>
      </c>
      <c r="AF18" s="288"/>
    </row>
    <row r="19" spans="1:32" ht="15.75" x14ac:dyDescent="0.25">
      <c r="A19" s="998" t="s">
        <v>406</v>
      </c>
      <c r="B19" s="998"/>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9"/>
      <c r="AE19" s="294"/>
      <c r="AF19" s="294"/>
    </row>
    <row r="20" spans="1:32" ht="15.75" x14ac:dyDescent="0.25">
      <c r="A20" s="992" t="s">
        <v>54</v>
      </c>
      <c r="B20" s="992"/>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3"/>
      <c r="AF20" s="294"/>
    </row>
    <row r="21" spans="1:32" ht="15.75" x14ac:dyDescent="0.25">
      <c r="A21" s="281" t="s">
        <v>407</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6"/>
      <c r="AF21" s="285"/>
    </row>
    <row r="22" spans="1:32" ht="15.75" x14ac:dyDescent="0.25">
      <c r="A22" s="297" t="s">
        <v>31</v>
      </c>
      <c r="B22" s="284">
        <f>B23+B24+B26</f>
        <v>57990.5</v>
      </c>
      <c r="C22" s="284">
        <f t="shared" ref="C22:E22" si="16">C23+C24+C26</f>
        <v>0</v>
      </c>
      <c r="D22" s="284">
        <f t="shared" si="16"/>
        <v>0</v>
      </c>
      <c r="E22" s="284">
        <f t="shared" si="16"/>
        <v>0</v>
      </c>
      <c r="F22" s="284">
        <f>IFERROR(E22/B22*100,0)</f>
        <v>0</v>
      </c>
      <c r="G22" s="284">
        <f>IFERROR(E22/C22*100,0)</f>
        <v>0</v>
      </c>
      <c r="H22" s="284">
        <f>H23+H24+H26</f>
        <v>0</v>
      </c>
      <c r="I22" s="284">
        <f t="shared" ref="I22:AE22" si="17">I23+I24+I26</f>
        <v>0</v>
      </c>
      <c r="J22" s="284">
        <f t="shared" si="17"/>
        <v>0</v>
      </c>
      <c r="K22" s="284">
        <f t="shared" si="17"/>
        <v>0</v>
      </c>
      <c r="L22" s="284">
        <f t="shared" si="17"/>
        <v>0</v>
      </c>
      <c r="M22" s="284">
        <f t="shared" si="17"/>
        <v>0</v>
      </c>
      <c r="N22" s="284">
        <f t="shared" si="17"/>
        <v>0</v>
      </c>
      <c r="O22" s="284">
        <f t="shared" si="17"/>
        <v>0</v>
      </c>
      <c r="P22" s="284">
        <f t="shared" si="17"/>
        <v>0</v>
      </c>
      <c r="Q22" s="284">
        <f t="shared" si="17"/>
        <v>0</v>
      </c>
      <c r="R22" s="284">
        <f t="shared" si="17"/>
        <v>0</v>
      </c>
      <c r="S22" s="284">
        <f t="shared" si="17"/>
        <v>0</v>
      </c>
      <c r="T22" s="284">
        <f t="shared" si="17"/>
        <v>0</v>
      </c>
      <c r="U22" s="284">
        <f t="shared" si="17"/>
        <v>0</v>
      </c>
      <c r="V22" s="284">
        <f t="shared" si="17"/>
        <v>0</v>
      </c>
      <c r="W22" s="284">
        <f t="shared" si="17"/>
        <v>0</v>
      </c>
      <c r="X22" s="284">
        <f t="shared" si="17"/>
        <v>0</v>
      </c>
      <c r="Y22" s="284">
        <f t="shared" si="17"/>
        <v>0</v>
      </c>
      <c r="Z22" s="284">
        <f t="shared" si="17"/>
        <v>0</v>
      </c>
      <c r="AA22" s="284">
        <f t="shared" si="17"/>
        <v>0</v>
      </c>
      <c r="AB22" s="284">
        <f t="shared" si="17"/>
        <v>0</v>
      </c>
      <c r="AC22" s="284">
        <f t="shared" si="17"/>
        <v>0</v>
      </c>
      <c r="AD22" s="284">
        <f t="shared" si="17"/>
        <v>57990.5</v>
      </c>
      <c r="AE22" s="284">
        <f t="shared" si="17"/>
        <v>0</v>
      </c>
      <c r="AF22" s="285"/>
    </row>
    <row r="23" spans="1:32" ht="15.75" x14ac:dyDescent="0.25">
      <c r="A23" s="286" t="s">
        <v>32</v>
      </c>
      <c r="B23" s="290">
        <f>B29</f>
        <v>46392.4</v>
      </c>
      <c r="C23" s="287">
        <f>H23+J23+L23</f>
        <v>0</v>
      </c>
      <c r="D23" s="287">
        <f>I23+K23+M23</f>
        <v>0</v>
      </c>
      <c r="E23" s="287">
        <f t="shared" ref="E23:E26" si="18">I23+K23+M23+O23+Q23+S23+U23+W23+Y23+AA23+AC23+AE23</f>
        <v>0</v>
      </c>
      <c r="F23" s="287">
        <f t="shared" ref="F23:F38" si="19">IFERROR(E23/B23*100,0)</f>
        <v>0</v>
      </c>
      <c r="G23" s="287">
        <f t="shared" ref="G23:G38" si="20">IFERROR(E23/C23*100,0)</f>
        <v>0</v>
      </c>
      <c r="H23" s="290">
        <f>H29</f>
        <v>0</v>
      </c>
      <c r="I23" s="290">
        <f t="shared" ref="I23:AE26" si="21">I29</f>
        <v>0</v>
      </c>
      <c r="J23" s="290">
        <f t="shared" si="21"/>
        <v>0</v>
      </c>
      <c r="K23" s="290">
        <f t="shared" si="21"/>
        <v>0</v>
      </c>
      <c r="L23" s="290">
        <f t="shared" si="21"/>
        <v>0</v>
      </c>
      <c r="M23" s="290">
        <f t="shared" si="21"/>
        <v>0</v>
      </c>
      <c r="N23" s="290">
        <f t="shared" si="21"/>
        <v>0</v>
      </c>
      <c r="O23" s="290">
        <f t="shared" si="21"/>
        <v>0</v>
      </c>
      <c r="P23" s="290">
        <f t="shared" si="21"/>
        <v>0</v>
      </c>
      <c r="Q23" s="290">
        <f t="shared" si="21"/>
        <v>0</v>
      </c>
      <c r="R23" s="290">
        <f t="shared" si="21"/>
        <v>0</v>
      </c>
      <c r="S23" s="290">
        <f t="shared" si="21"/>
        <v>0</v>
      </c>
      <c r="T23" s="290">
        <f t="shared" si="21"/>
        <v>0</v>
      </c>
      <c r="U23" s="290">
        <f t="shared" si="21"/>
        <v>0</v>
      </c>
      <c r="V23" s="290">
        <f t="shared" si="21"/>
        <v>0</v>
      </c>
      <c r="W23" s="290">
        <f t="shared" si="21"/>
        <v>0</v>
      </c>
      <c r="X23" s="290">
        <f t="shared" si="21"/>
        <v>0</v>
      </c>
      <c r="Y23" s="290">
        <f t="shared" si="21"/>
        <v>0</v>
      </c>
      <c r="Z23" s="290">
        <f t="shared" si="21"/>
        <v>0</v>
      </c>
      <c r="AA23" s="290">
        <f t="shared" si="21"/>
        <v>0</v>
      </c>
      <c r="AB23" s="290">
        <f t="shared" si="21"/>
        <v>0</v>
      </c>
      <c r="AC23" s="290">
        <f t="shared" si="21"/>
        <v>0</v>
      </c>
      <c r="AD23" s="290">
        <f t="shared" si="21"/>
        <v>46392.4</v>
      </c>
      <c r="AE23" s="290">
        <f t="shared" si="21"/>
        <v>0</v>
      </c>
      <c r="AF23" s="288"/>
    </row>
    <row r="24" spans="1:32" ht="15.75" x14ac:dyDescent="0.25">
      <c r="A24" s="286" t="s">
        <v>33</v>
      </c>
      <c r="B24" s="290">
        <f t="shared" ref="B24:B26" si="22">B30</f>
        <v>11598.1</v>
      </c>
      <c r="C24" s="287">
        <f t="shared" ref="C24:C26" si="23">H24+J24+L24</f>
        <v>0</v>
      </c>
      <c r="D24" s="287">
        <f t="shared" ref="D24:D26" si="24">I24+K24+M24</f>
        <v>0</v>
      </c>
      <c r="E24" s="287">
        <f t="shared" si="18"/>
        <v>0</v>
      </c>
      <c r="F24" s="287">
        <f t="shared" si="19"/>
        <v>0</v>
      </c>
      <c r="G24" s="287">
        <f t="shared" si="20"/>
        <v>0</v>
      </c>
      <c r="H24" s="290">
        <f>H30</f>
        <v>0</v>
      </c>
      <c r="I24" s="290">
        <f t="shared" si="21"/>
        <v>0</v>
      </c>
      <c r="J24" s="290">
        <f t="shared" si="21"/>
        <v>0</v>
      </c>
      <c r="K24" s="290">
        <f t="shared" si="21"/>
        <v>0</v>
      </c>
      <c r="L24" s="290">
        <f t="shared" si="21"/>
        <v>0</v>
      </c>
      <c r="M24" s="290">
        <f t="shared" si="21"/>
        <v>0</v>
      </c>
      <c r="N24" s="290">
        <f t="shared" si="21"/>
        <v>0</v>
      </c>
      <c r="O24" s="290">
        <f t="shared" si="21"/>
        <v>0</v>
      </c>
      <c r="P24" s="290">
        <f t="shared" si="21"/>
        <v>0</v>
      </c>
      <c r="Q24" s="290">
        <f t="shared" si="21"/>
        <v>0</v>
      </c>
      <c r="R24" s="290">
        <f t="shared" si="21"/>
        <v>0</v>
      </c>
      <c r="S24" s="290">
        <f t="shared" si="21"/>
        <v>0</v>
      </c>
      <c r="T24" s="290">
        <f t="shared" si="21"/>
        <v>0</v>
      </c>
      <c r="U24" s="290">
        <f t="shared" si="21"/>
        <v>0</v>
      </c>
      <c r="V24" s="290">
        <f t="shared" si="21"/>
        <v>0</v>
      </c>
      <c r="W24" s="290">
        <f t="shared" si="21"/>
        <v>0</v>
      </c>
      <c r="X24" s="290">
        <f t="shared" si="21"/>
        <v>0</v>
      </c>
      <c r="Y24" s="290">
        <f t="shared" si="21"/>
        <v>0</v>
      </c>
      <c r="Z24" s="290">
        <f t="shared" si="21"/>
        <v>0</v>
      </c>
      <c r="AA24" s="290">
        <f t="shared" si="21"/>
        <v>0</v>
      </c>
      <c r="AB24" s="290">
        <f t="shared" si="21"/>
        <v>0</v>
      </c>
      <c r="AC24" s="290">
        <f t="shared" si="21"/>
        <v>0</v>
      </c>
      <c r="AD24" s="290">
        <f t="shared" si="21"/>
        <v>11598.1</v>
      </c>
      <c r="AE24" s="290">
        <f t="shared" si="21"/>
        <v>0</v>
      </c>
      <c r="AF24" s="288"/>
    </row>
    <row r="25" spans="1:32" ht="31.5" x14ac:dyDescent="0.25">
      <c r="A25" s="298" t="s">
        <v>174</v>
      </c>
      <c r="B25" s="290">
        <f t="shared" si="22"/>
        <v>11598.1</v>
      </c>
      <c r="C25" s="287">
        <f t="shared" si="23"/>
        <v>0</v>
      </c>
      <c r="D25" s="287">
        <f t="shared" si="24"/>
        <v>0</v>
      </c>
      <c r="E25" s="287">
        <f t="shared" si="18"/>
        <v>0</v>
      </c>
      <c r="F25" s="287">
        <f t="shared" si="19"/>
        <v>0</v>
      </c>
      <c r="G25" s="287">
        <f t="shared" si="20"/>
        <v>0</v>
      </c>
      <c r="H25" s="287">
        <f>H31</f>
        <v>0</v>
      </c>
      <c r="I25" s="287">
        <f t="shared" si="21"/>
        <v>0</v>
      </c>
      <c r="J25" s="287">
        <f t="shared" si="21"/>
        <v>0</v>
      </c>
      <c r="K25" s="287">
        <f t="shared" si="21"/>
        <v>0</v>
      </c>
      <c r="L25" s="287">
        <f t="shared" si="21"/>
        <v>0</v>
      </c>
      <c r="M25" s="287">
        <f t="shared" si="21"/>
        <v>0</v>
      </c>
      <c r="N25" s="287">
        <f t="shared" si="21"/>
        <v>0</v>
      </c>
      <c r="O25" s="287">
        <f t="shared" si="21"/>
        <v>0</v>
      </c>
      <c r="P25" s="287">
        <f t="shared" si="21"/>
        <v>0</v>
      </c>
      <c r="Q25" s="287">
        <f t="shared" si="21"/>
        <v>0</v>
      </c>
      <c r="R25" s="287">
        <f t="shared" si="21"/>
        <v>0</v>
      </c>
      <c r="S25" s="287">
        <f t="shared" si="21"/>
        <v>0</v>
      </c>
      <c r="T25" s="287">
        <f t="shared" si="21"/>
        <v>0</v>
      </c>
      <c r="U25" s="287">
        <f t="shared" si="21"/>
        <v>0</v>
      </c>
      <c r="V25" s="287">
        <f t="shared" si="21"/>
        <v>0</v>
      </c>
      <c r="W25" s="287">
        <f t="shared" si="21"/>
        <v>0</v>
      </c>
      <c r="X25" s="287">
        <f t="shared" si="21"/>
        <v>0</v>
      </c>
      <c r="Y25" s="287">
        <f t="shared" si="21"/>
        <v>0</v>
      </c>
      <c r="Z25" s="287">
        <f t="shared" si="21"/>
        <v>0</v>
      </c>
      <c r="AA25" s="287">
        <f t="shared" si="21"/>
        <v>0</v>
      </c>
      <c r="AB25" s="287">
        <f t="shared" si="21"/>
        <v>0</v>
      </c>
      <c r="AC25" s="287">
        <f t="shared" si="21"/>
        <v>0</v>
      </c>
      <c r="AD25" s="287">
        <f t="shared" si="21"/>
        <v>11598.1</v>
      </c>
      <c r="AE25" s="287">
        <f t="shared" si="21"/>
        <v>0</v>
      </c>
      <c r="AF25" s="288"/>
    </row>
    <row r="26" spans="1:32" ht="31.5" x14ac:dyDescent="0.25">
      <c r="A26" s="286" t="s">
        <v>389</v>
      </c>
      <c r="B26" s="290">
        <f t="shared" si="22"/>
        <v>0</v>
      </c>
      <c r="C26" s="287">
        <f t="shared" si="23"/>
        <v>0</v>
      </c>
      <c r="D26" s="287">
        <f t="shared" si="24"/>
        <v>0</v>
      </c>
      <c r="E26" s="287">
        <f t="shared" si="18"/>
        <v>0</v>
      </c>
      <c r="F26" s="287">
        <f t="shared" si="19"/>
        <v>0</v>
      </c>
      <c r="G26" s="287">
        <f t="shared" si="20"/>
        <v>0</v>
      </c>
      <c r="H26" s="287">
        <f>H32</f>
        <v>0</v>
      </c>
      <c r="I26" s="287">
        <f t="shared" si="21"/>
        <v>0</v>
      </c>
      <c r="J26" s="287">
        <f t="shared" si="21"/>
        <v>0</v>
      </c>
      <c r="K26" s="287">
        <f t="shared" si="21"/>
        <v>0</v>
      </c>
      <c r="L26" s="287">
        <f t="shared" si="21"/>
        <v>0</v>
      </c>
      <c r="M26" s="287">
        <f t="shared" si="21"/>
        <v>0</v>
      </c>
      <c r="N26" s="287">
        <f t="shared" si="21"/>
        <v>0</v>
      </c>
      <c r="O26" s="287">
        <f t="shared" si="21"/>
        <v>0</v>
      </c>
      <c r="P26" s="287">
        <f t="shared" si="21"/>
        <v>0</v>
      </c>
      <c r="Q26" s="287">
        <f t="shared" si="21"/>
        <v>0</v>
      </c>
      <c r="R26" s="287">
        <f t="shared" si="21"/>
        <v>0</v>
      </c>
      <c r="S26" s="287">
        <f t="shared" si="21"/>
        <v>0</v>
      </c>
      <c r="T26" s="287">
        <f t="shared" si="21"/>
        <v>0</v>
      </c>
      <c r="U26" s="287">
        <f t="shared" si="21"/>
        <v>0</v>
      </c>
      <c r="V26" s="287">
        <f t="shared" si="21"/>
        <v>0</v>
      </c>
      <c r="W26" s="287">
        <f t="shared" si="21"/>
        <v>0</v>
      </c>
      <c r="X26" s="287">
        <f t="shared" si="21"/>
        <v>0</v>
      </c>
      <c r="Y26" s="287">
        <f t="shared" si="21"/>
        <v>0</v>
      </c>
      <c r="Z26" s="287">
        <f t="shared" si="21"/>
        <v>0</v>
      </c>
      <c r="AA26" s="287">
        <f t="shared" si="21"/>
        <v>0</v>
      </c>
      <c r="AB26" s="287">
        <f t="shared" si="21"/>
        <v>0</v>
      </c>
      <c r="AC26" s="287">
        <f t="shared" si="21"/>
        <v>0</v>
      </c>
      <c r="AD26" s="287">
        <f t="shared" si="21"/>
        <v>0</v>
      </c>
      <c r="AE26" s="287">
        <f t="shared" si="21"/>
        <v>0</v>
      </c>
      <c r="AF26" s="288"/>
    </row>
    <row r="27" spans="1:32" ht="15.75" x14ac:dyDescent="0.25">
      <c r="A27" s="281" t="s">
        <v>408</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99"/>
    </row>
    <row r="28" spans="1:32" ht="15.75" x14ac:dyDescent="0.25">
      <c r="A28" s="297" t="s">
        <v>31</v>
      </c>
      <c r="B28" s="284">
        <f>B29+B30+B32</f>
        <v>57990.5</v>
      </c>
      <c r="C28" s="284">
        <f t="shared" ref="C28:E28" si="25">C29+C30+C32</f>
        <v>0</v>
      </c>
      <c r="D28" s="284">
        <f t="shared" si="25"/>
        <v>0</v>
      </c>
      <c r="E28" s="284">
        <f t="shared" si="25"/>
        <v>0</v>
      </c>
      <c r="F28" s="284">
        <f t="shared" si="19"/>
        <v>0</v>
      </c>
      <c r="G28" s="284">
        <f t="shared" si="20"/>
        <v>0</v>
      </c>
      <c r="H28" s="284">
        <f>H29+H30+H32</f>
        <v>0</v>
      </c>
      <c r="I28" s="284">
        <f t="shared" ref="I28:AE28" si="26">I29+I30+I32</f>
        <v>0</v>
      </c>
      <c r="J28" s="284">
        <f t="shared" si="26"/>
        <v>0</v>
      </c>
      <c r="K28" s="284">
        <f t="shared" si="26"/>
        <v>0</v>
      </c>
      <c r="L28" s="284">
        <f t="shared" si="26"/>
        <v>0</v>
      </c>
      <c r="M28" s="284">
        <f t="shared" si="26"/>
        <v>0</v>
      </c>
      <c r="N28" s="284">
        <f t="shared" si="26"/>
        <v>0</v>
      </c>
      <c r="O28" s="284">
        <f t="shared" si="26"/>
        <v>0</v>
      </c>
      <c r="P28" s="284">
        <f t="shared" si="26"/>
        <v>0</v>
      </c>
      <c r="Q28" s="284">
        <f t="shared" si="26"/>
        <v>0</v>
      </c>
      <c r="R28" s="284">
        <f t="shared" si="26"/>
        <v>0</v>
      </c>
      <c r="S28" s="284">
        <f t="shared" si="26"/>
        <v>0</v>
      </c>
      <c r="T28" s="284">
        <f t="shared" si="26"/>
        <v>0</v>
      </c>
      <c r="U28" s="284">
        <f t="shared" si="26"/>
        <v>0</v>
      </c>
      <c r="V28" s="284">
        <f t="shared" si="26"/>
        <v>0</v>
      </c>
      <c r="W28" s="284">
        <f t="shared" si="26"/>
        <v>0</v>
      </c>
      <c r="X28" s="284">
        <f t="shared" si="26"/>
        <v>0</v>
      </c>
      <c r="Y28" s="284">
        <f t="shared" si="26"/>
        <v>0</v>
      </c>
      <c r="Z28" s="284">
        <f t="shared" si="26"/>
        <v>0</v>
      </c>
      <c r="AA28" s="284">
        <f t="shared" si="26"/>
        <v>0</v>
      </c>
      <c r="AB28" s="284">
        <f t="shared" si="26"/>
        <v>0</v>
      </c>
      <c r="AC28" s="284">
        <f t="shared" si="26"/>
        <v>0</v>
      </c>
      <c r="AD28" s="284">
        <f t="shared" si="26"/>
        <v>57990.5</v>
      </c>
      <c r="AE28" s="284">
        <f t="shared" si="26"/>
        <v>0</v>
      </c>
      <c r="AF28" s="1000" t="s">
        <v>409</v>
      </c>
    </row>
    <row r="29" spans="1:32" ht="15.75" x14ac:dyDescent="0.25">
      <c r="A29" s="286" t="s">
        <v>32</v>
      </c>
      <c r="B29" s="287">
        <f>H29+J29+L29+N29+P29+R29+T29+V29+X29+Z29+AB29+AD29</f>
        <v>46392.4</v>
      </c>
      <c r="C29" s="287">
        <f>H29+J29+L29</f>
        <v>0</v>
      </c>
      <c r="D29" s="287">
        <f t="shared" ref="D29:D32" si="27">I29+K29+M29</f>
        <v>0</v>
      </c>
      <c r="E29" s="287">
        <f t="shared" ref="E29:E32" si="28">I29+K29+M29+O29+Q29+S29+U29+W29+Y29+AA29+AC29+AE29</f>
        <v>0</v>
      </c>
      <c r="F29" s="287">
        <f t="shared" si="19"/>
        <v>0</v>
      </c>
      <c r="G29" s="287">
        <f t="shared" si="20"/>
        <v>0</v>
      </c>
      <c r="H29" s="290">
        <v>0</v>
      </c>
      <c r="I29" s="290">
        <v>0</v>
      </c>
      <c r="J29" s="290">
        <v>0</v>
      </c>
      <c r="K29" s="290">
        <v>0</v>
      </c>
      <c r="L29" s="290">
        <v>0</v>
      </c>
      <c r="M29" s="290">
        <v>0</v>
      </c>
      <c r="N29" s="290">
        <v>0</v>
      </c>
      <c r="O29" s="290">
        <v>0</v>
      </c>
      <c r="P29" s="290">
        <v>0</v>
      </c>
      <c r="Q29" s="290">
        <v>0</v>
      </c>
      <c r="R29" s="290">
        <v>0</v>
      </c>
      <c r="S29" s="290">
        <v>0</v>
      </c>
      <c r="T29" s="290">
        <v>0</v>
      </c>
      <c r="U29" s="290">
        <v>0</v>
      </c>
      <c r="V29" s="290">
        <v>0</v>
      </c>
      <c r="W29" s="290">
        <v>0</v>
      </c>
      <c r="X29" s="290">
        <v>0</v>
      </c>
      <c r="Y29" s="290">
        <v>0</v>
      </c>
      <c r="Z29" s="290">
        <v>0</v>
      </c>
      <c r="AA29" s="290">
        <v>0</v>
      </c>
      <c r="AB29" s="290">
        <v>0</v>
      </c>
      <c r="AC29" s="290">
        <v>0</v>
      </c>
      <c r="AD29" s="290">
        <v>46392.4</v>
      </c>
      <c r="AE29" s="290">
        <v>0</v>
      </c>
      <c r="AF29" s="1001"/>
    </row>
    <row r="30" spans="1:32" ht="15.75" x14ac:dyDescent="0.25">
      <c r="A30" s="286" t="s">
        <v>33</v>
      </c>
      <c r="B30" s="287">
        <f>H30+J30+L30+N30+P30+R30+T30+V30+X30+Z30+AB30+AD30</f>
        <v>11598.1</v>
      </c>
      <c r="C30" s="287">
        <f t="shared" ref="C30:C32" si="29">H30+J30+L30</f>
        <v>0</v>
      </c>
      <c r="D30" s="287">
        <f t="shared" si="27"/>
        <v>0</v>
      </c>
      <c r="E30" s="287">
        <f t="shared" si="28"/>
        <v>0</v>
      </c>
      <c r="F30" s="287">
        <f t="shared" si="19"/>
        <v>0</v>
      </c>
      <c r="G30" s="287">
        <f t="shared" si="20"/>
        <v>0</v>
      </c>
      <c r="H30" s="287">
        <v>0</v>
      </c>
      <c r="I30" s="287">
        <v>0</v>
      </c>
      <c r="J30" s="287">
        <v>0</v>
      </c>
      <c r="K30" s="287">
        <v>0</v>
      </c>
      <c r="L30" s="287">
        <v>0</v>
      </c>
      <c r="M30" s="287">
        <v>0</v>
      </c>
      <c r="N30" s="287">
        <v>0</v>
      </c>
      <c r="O30" s="287">
        <v>0</v>
      </c>
      <c r="P30" s="287">
        <v>0</v>
      </c>
      <c r="Q30" s="287">
        <v>0</v>
      </c>
      <c r="R30" s="287">
        <v>0</v>
      </c>
      <c r="S30" s="287">
        <v>0</v>
      </c>
      <c r="T30" s="287">
        <v>0</v>
      </c>
      <c r="U30" s="287">
        <v>0</v>
      </c>
      <c r="V30" s="287">
        <v>0</v>
      </c>
      <c r="W30" s="287">
        <v>0</v>
      </c>
      <c r="X30" s="287">
        <v>0</v>
      </c>
      <c r="Y30" s="287">
        <v>0</v>
      </c>
      <c r="Z30" s="287">
        <v>0</v>
      </c>
      <c r="AA30" s="287">
        <v>0</v>
      </c>
      <c r="AB30" s="287">
        <v>0</v>
      </c>
      <c r="AC30" s="287">
        <v>0</v>
      </c>
      <c r="AD30" s="287">
        <v>11598.1</v>
      </c>
      <c r="AE30" s="287">
        <v>0</v>
      </c>
      <c r="AF30" s="1001"/>
    </row>
    <row r="31" spans="1:32" ht="31.5" x14ac:dyDescent="0.25">
      <c r="A31" s="298" t="s">
        <v>174</v>
      </c>
      <c r="B31" s="287">
        <f>H31+J31+L31+N31+P31+R31+T31+V31+X31+Z31+AB31+AD31</f>
        <v>11598.1</v>
      </c>
      <c r="C31" s="287">
        <f t="shared" si="29"/>
        <v>0</v>
      </c>
      <c r="D31" s="287">
        <f t="shared" si="27"/>
        <v>0</v>
      </c>
      <c r="E31" s="287">
        <f t="shared" si="28"/>
        <v>0</v>
      </c>
      <c r="F31" s="287">
        <f t="shared" si="19"/>
        <v>0</v>
      </c>
      <c r="G31" s="287">
        <f t="shared" si="20"/>
        <v>0</v>
      </c>
      <c r="H31" s="287">
        <v>0</v>
      </c>
      <c r="I31" s="287">
        <v>0</v>
      </c>
      <c r="J31" s="287">
        <v>0</v>
      </c>
      <c r="K31" s="287">
        <v>0</v>
      </c>
      <c r="L31" s="287">
        <v>0</v>
      </c>
      <c r="M31" s="287">
        <v>0</v>
      </c>
      <c r="N31" s="287">
        <v>0</v>
      </c>
      <c r="O31" s="287">
        <v>0</v>
      </c>
      <c r="P31" s="287">
        <v>0</v>
      </c>
      <c r="Q31" s="287">
        <v>0</v>
      </c>
      <c r="R31" s="287">
        <v>0</v>
      </c>
      <c r="S31" s="287">
        <v>0</v>
      </c>
      <c r="T31" s="287">
        <v>0</v>
      </c>
      <c r="U31" s="287">
        <v>0</v>
      </c>
      <c r="V31" s="287">
        <v>0</v>
      </c>
      <c r="W31" s="287">
        <v>0</v>
      </c>
      <c r="X31" s="287">
        <v>0</v>
      </c>
      <c r="Y31" s="287">
        <v>0</v>
      </c>
      <c r="Z31" s="287">
        <v>0</v>
      </c>
      <c r="AA31" s="287">
        <v>0</v>
      </c>
      <c r="AB31" s="287">
        <v>0</v>
      </c>
      <c r="AC31" s="287">
        <v>0</v>
      </c>
      <c r="AD31" s="287">
        <v>11598.1</v>
      </c>
      <c r="AE31" s="287">
        <v>0</v>
      </c>
      <c r="AF31" s="1001"/>
    </row>
    <row r="32" spans="1:32" ht="31.5" x14ac:dyDescent="0.25">
      <c r="A32" s="286" t="s">
        <v>389</v>
      </c>
      <c r="B32" s="287">
        <f>H32+J32+L32+N32+P32+R32+T32+V32+X32+Z32+AB32+AD32</f>
        <v>0</v>
      </c>
      <c r="C32" s="287">
        <f t="shared" si="29"/>
        <v>0</v>
      </c>
      <c r="D32" s="287">
        <f t="shared" si="27"/>
        <v>0</v>
      </c>
      <c r="E32" s="287">
        <f t="shared" si="28"/>
        <v>0</v>
      </c>
      <c r="F32" s="287">
        <f t="shared" si="19"/>
        <v>0</v>
      </c>
      <c r="G32" s="287">
        <f t="shared" si="20"/>
        <v>0</v>
      </c>
      <c r="H32" s="287">
        <v>0</v>
      </c>
      <c r="I32" s="287">
        <v>0</v>
      </c>
      <c r="J32" s="287">
        <v>0</v>
      </c>
      <c r="K32" s="287">
        <v>0</v>
      </c>
      <c r="L32" s="287">
        <v>0</v>
      </c>
      <c r="M32" s="287">
        <v>0</v>
      </c>
      <c r="N32" s="287">
        <v>0</v>
      </c>
      <c r="O32" s="287">
        <v>0</v>
      </c>
      <c r="P32" s="287">
        <v>0</v>
      </c>
      <c r="Q32" s="287">
        <v>0</v>
      </c>
      <c r="R32" s="287">
        <v>0</v>
      </c>
      <c r="S32" s="287">
        <v>0</v>
      </c>
      <c r="T32" s="287">
        <v>0</v>
      </c>
      <c r="U32" s="287">
        <v>0</v>
      </c>
      <c r="V32" s="287">
        <v>0</v>
      </c>
      <c r="W32" s="287">
        <v>0</v>
      </c>
      <c r="X32" s="287">
        <v>0</v>
      </c>
      <c r="Y32" s="287">
        <v>0</v>
      </c>
      <c r="Z32" s="287">
        <v>0</v>
      </c>
      <c r="AA32" s="287">
        <v>0</v>
      </c>
      <c r="AB32" s="287">
        <v>0</v>
      </c>
      <c r="AC32" s="287">
        <v>0</v>
      </c>
      <c r="AD32" s="287">
        <v>0</v>
      </c>
      <c r="AE32" s="287">
        <v>0</v>
      </c>
      <c r="AF32" s="1002"/>
    </row>
    <row r="33" spans="1:32" ht="15.75" x14ac:dyDescent="0.25">
      <c r="A33" s="291" t="s">
        <v>35</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300"/>
    </row>
    <row r="34" spans="1:32" ht="15.75" x14ac:dyDescent="0.25">
      <c r="A34" s="292" t="s">
        <v>31</v>
      </c>
      <c r="B34" s="284">
        <f>B35+B36+B38</f>
        <v>57990.5</v>
      </c>
      <c r="C34" s="284">
        <f t="shared" ref="C34:E34" si="30">C35+C36+C38</f>
        <v>0</v>
      </c>
      <c r="D34" s="284">
        <f t="shared" si="30"/>
        <v>0</v>
      </c>
      <c r="E34" s="284">
        <f t="shared" si="30"/>
        <v>0</v>
      </c>
      <c r="F34" s="284">
        <f t="shared" si="19"/>
        <v>0</v>
      </c>
      <c r="G34" s="284">
        <f t="shared" si="20"/>
        <v>0</v>
      </c>
      <c r="H34" s="284">
        <f>H35+H36+H38</f>
        <v>0</v>
      </c>
      <c r="I34" s="284">
        <f t="shared" ref="I34:AE34" si="31">I35+I36+I38</f>
        <v>0</v>
      </c>
      <c r="J34" s="284">
        <f t="shared" si="31"/>
        <v>0</v>
      </c>
      <c r="K34" s="284">
        <f t="shared" si="31"/>
        <v>0</v>
      </c>
      <c r="L34" s="284">
        <f t="shared" si="31"/>
        <v>0</v>
      </c>
      <c r="M34" s="284">
        <f t="shared" si="31"/>
        <v>0</v>
      </c>
      <c r="N34" s="284">
        <f t="shared" si="31"/>
        <v>0</v>
      </c>
      <c r="O34" s="284">
        <f t="shared" si="31"/>
        <v>0</v>
      </c>
      <c r="P34" s="284">
        <f t="shared" si="31"/>
        <v>0</v>
      </c>
      <c r="Q34" s="284">
        <f t="shared" si="31"/>
        <v>0</v>
      </c>
      <c r="R34" s="284">
        <f t="shared" si="31"/>
        <v>0</v>
      </c>
      <c r="S34" s="284">
        <f t="shared" si="31"/>
        <v>0</v>
      </c>
      <c r="T34" s="284">
        <f t="shared" si="31"/>
        <v>0</v>
      </c>
      <c r="U34" s="284">
        <f t="shared" si="31"/>
        <v>0</v>
      </c>
      <c r="V34" s="284">
        <f t="shared" si="31"/>
        <v>0</v>
      </c>
      <c r="W34" s="284">
        <f t="shared" si="31"/>
        <v>0</v>
      </c>
      <c r="X34" s="284">
        <f t="shared" si="31"/>
        <v>0</v>
      </c>
      <c r="Y34" s="284">
        <f t="shared" si="31"/>
        <v>0</v>
      </c>
      <c r="Z34" s="284">
        <f t="shared" si="31"/>
        <v>0</v>
      </c>
      <c r="AA34" s="284">
        <f t="shared" si="31"/>
        <v>0</v>
      </c>
      <c r="AB34" s="284">
        <f t="shared" si="31"/>
        <v>0</v>
      </c>
      <c r="AC34" s="284">
        <f t="shared" si="31"/>
        <v>0</v>
      </c>
      <c r="AD34" s="284">
        <f t="shared" si="31"/>
        <v>57990.5</v>
      </c>
      <c r="AE34" s="284">
        <f t="shared" si="31"/>
        <v>0</v>
      </c>
      <c r="AF34" s="285"/>
    </row>
    <row r="35" spans="1:32" ht="15.75" x14ac:dyDescent="0.25">
      <c r="A35" s="293" t="s">
        <v>32</v>
      </c>
      <c r="B35" s="287">
        <f t="shared" ref="B35:B38" si="32">H35+J35+L35+N35+P35+R35+T35+V35+X35+Z35+AB35+AD35</f>
        <v>46392.4</v>
      </c>
      <c r="C35" s="287">
        <f>H35+J35+L35</f>
        <v>0</v>
      </c>
      <c r="D35" s="287">
        <f t="shared" ref="D35:D38" si="33">I35+K35+M35</f>
        <v>0</v>
      </c>
      <c r="E35" s="287">
        <f t="shared" ref="E35:E38" si="34">I35+K35+M35+O35+Q35+S35+U35+W35+Y35+AA35+AC35+AE35</f>
        <v>0</v>
      </c>
      <c r="F35" s="287">
        <f t="shared" si="19"/>
        <v>0</v>
      </c>
      <c r="G35" s="287">
        <f t="shared" si="20"/>
        <v>0</v>
      </c>
      <c r="H35" s="287">
        <f t="shared" ref="H35:AE38" si="35">H23</f>
        <v>0</v>
      </c>
      <c r="I35" s="287">
        <f t="shared" si="35"/>
        <v>0</v>
      </c>
      <c r="J35" s="287">
        <f t="shared" si="35"/>
        <v>0</v>
      </c>
      <c r="K35" s="287">
        <f t="shared" si="35"/>
        <v>0</v>
      </c>
      <c r="L35" s="287">
        <f t="shared" si="35"/>
        <v>0</v>
      </c>
      <c r="M35" s="287">
        <f t="shared" si="35"/>
        <v>0</v>
      </c>
      <c r="N35" s="287">
        <f t="shared" si="35"/>
        <v>0</v>
      </c>
      <c r="O35" s="287">
        <f t="shared" si="35"/>
        <v>0</v>
      </c>
      <c r="P35" s="287">
        <f t="shared" si="35"/>
        <v>0</v>
      </c>
      <c r="Q35" s="287">
        <f t="shared" si="35"/>
        <v>0</v>
      </c>
      <c r="R35" s="287">
        <f t="shared" si="35"/>
        <v>0</v>
      </c>
      <c r="S35" s="287">
        <f t="shared" si="35"/>
        <v>0</v>
      </c>
      <c r="T35" s="287">
        <f t="shared" si="35"/>
        <v>0</v>
      </c>
      <c r="U35" s="287">
        <f t="shared" si="35"/>
        <v>0</v>
      </c>
      <c r="V35" s="287">
        <f t="shared" si="35"/>
        <v>0</v>
      </c>
      <c r="W35" s="287">
        <f t="shared" si="35"/>
        <v>0</v>
      </c>
      <c r="X35" s="287">
        <f t="shared" si="35"/>
        <v>0</v>
      </c>
      <c r="Y35" s="287">
        <f t="shared" si="35"/>
        <v>0</v>
      </c>
      <c r="Z35" s="287">
        <f t="shared" si="35"/>
        <v>0</v>
      </c>
      <c r="AA35" s="287">
        <f t="shared" si="35"/>
        <v>0</v>
      </c>
      <c r="AB35" s="287">
        <f t="shared" si="35"/>
        <v>0</v>
      </c>
      <c r="AC35" s="287">
        <f t="shared" si="35"/>
        <v>0</v>
      </c>
      <c r="AD35" s="287">
        <f t="shared" si="35"/>
        <v>46392.4</v>
      </c>
      <c r="AE35" s="287">
        <f t="shared" si="35"/>
        <v>0</v>
      </c>
      <c r="AF35" s="288"/>
    </row>
    <row r="36" spans="1:32" ht="15.75" x14ac:dyDescent="0.25">
      <c r="A36" s="293" t="s">
        <v>33</v>
      </c>
      <c r="B36" s="287">
        <f t="shared" si="32"/>
        <v>11598.1</v>
      </c>
      <c r="C36" s="287">
        <f t="shared" ref="C36:C38" si="36">H36+J36+L36</f>
        <v>0</v>
      </c>
      <c r="D36" s="287">
        <f t="shared" si="33"/>
        <v>0</v>
      </c>
      <c r="E36" s="287">
        <f t="shared" si="34"/>
        <v>0</v>
      </c>
      <c r="F36" s="287">
        <f t="shared" si="19"/>
        <v>0</v>
      </c>
      <c r="G36" s="287">
        <f t="shared" si="20"/>
        <v>0</v>
      </c>
      <c r="H36" s="287">
        <f t="shared" si="35"/>
        <v>0</v>
      </c>
      <c r="I36" s="287">
        <f t="shared" si="35"/>
        <v>0</v>
      </c>
      <c r="J36" s="287">
        <f t="shared" si="35"/>
        <v>0</v>
      </c>
      <c r="K36" s="287">
        <f t="shared" si="35"/>
        <v>0</v>
      </c>
      <c r="L36" s="287">
        <f t="shared" si="35"/>
        <v>0</v>
      </c>
      <c r="M36" s="287">
        <f t="shared" si="35"/>
        <v>0</v>
      </c>
      <c r="N36" s="287">
        <f t="shared" si="35"/>
        <v>0</v>
      </c>
      <c r="O36" s="287">
        <f t="shared" si="35"/>
        <v>0</v>
      </c>
      <c r="P36" s="287">
        <f t="shared" si="35"/>
        <v>0</v>
      </c>
      <c r="Q36" s="287">
        <f t="shared" si="35"/>
        <v>0</v>
      </c>
      <c r="R36" s="287">
        <f t="shared" si="35"/>
        <v>0</v>
      </c>
      <c r="S36" s="287">
        <f t="shared" si="35"/>
        <v>0</v>
      </c>
      <c r="T36" s="287">
        <f t="shared" si="35"/>
        <v>0</v>
      </c>
      <c r="U36" s="287">
        <f t="shared" si="35"/>
        <v>0</v>
      </c>
      <c r="V36" s="287">
        <f t="shared" si="35"/>
        <v>0</v>
      </c>
      <c r="W36" s="287">
        <f t="shared" si="35"/>
        <v>0</v>
      </c>
      <c r="X36" s="287">
        <f t="shared" si="35"/>
        <v>0</v>
      </c>
      <c r="Y36" s="287">
        <f t="shared" si="35"/>
        <v>0</v>
      </c>
      <c r="Z36" s="287">
        <f t="shared" si="35"/>
        <v>0</v>
      </c>
      <c r="AA36" s="287">
        <f t="shared" si="35"/>
        <v>0</v>
      </c>
      <c r="AB36" s="287">
        <f t="shared" si="35"/>
        <v>0</v>
      </c>
      <c r="AC36" s="287">
        <f t="shared" si="35"/>
        <v>0</v>
      </c>
      <c r="AD36" s="287">
        <f t="shared" si="35"/>
        <v>11598.1</v>
      </c>
      <c r="AE36" s="287">
        <f t="shared" si="35"/>
        <v>0</v>
      </c>
      <c r="AF36" s="288"/>
    </row>
    <row r="37" spans="1:32" ht="31.5" x14ac:dyDescent="0.25">
      <c r="A37" s="301" t="s">
        <v>174</v>
      </c>
      <c r="B37" s="287">
        <f t="shared" si="32"/>
        <v>11598.1</v>
      </c>
      <c r="C37" s="287">
        <f t="shared" si="36"/>
        <v>0</v>
      </c>
      <c r="D37" s="287">
        <f t="shared" si="33"/>
        <v>0</v>
      </c>
      <c r="E37" s="287">
        <f t="shared" si="34"/>
        <v>0</v>
      </c>
      <c r="F37" s="287">
        <f t="shared" si="19"/>
        <v>0</v>
      </c>
      <c r="G37" s="287">
        <f t="shared" si="20"/>
        <v>0</v>
      </c>
      <c r="H37" s="287">
        <f t="shared" si="35"/>
        <v>0</v>
      </c>
      <c r="I37" s="287">
        <f t="shared" si="35"/>
        <v>0</v>
      </c>
      <c r="J37" s="287">
        <f t="shared" si="35"/>
        <v>0</v>
      </c>
      <c r="K37" s="287">
        <f t="shared" si="35"/>
        <v>0</v>
      </c>
      <c r="L37" s="287">
        <f t="shared" si="35"/>
        <v>0</v>
      </c>
      <c r="M37" s="287">
        <f t="shared" si="35"/>
        <v>0</v>
      </c>
      <c r="N37" s="287">
        <f t="shared" si="35"/>
        <v>0</v>
      </c>
      <c r="O37" s="287">
        <f t="shared" si="35"/>
        <v>0</v>
      </c>
      <c r="P37" s="287">
        <f t="shared" si="35"/>
        <v>0</v>
      </c>
      <c r="Q37" s="287">
        <f t="shared" si="35"/>
        <v>0</v>
      </c>
      <c r="R37" s="287">
        <f t="shared" si="35"/>
        <v>0</v>
      </c>
      <c r="S37" s="287">
        <f t="shared" si="35"/>
        <v>0</v>
      </c>
      <c r="T37" s="287">
        <f t="shared" si="35"/>
        <v>0</v>
      </c>
      <c r="U37" s="287">
        <f t="shared" si="35"/>
        <v>0</v>
      </c>
      <c r="V37" s="287">
        <f t="shared" si="35"/>
        <v>0</v>
      </c>
      <c r="W37" s="287">
        <f t="shared" si="35"/>
        <v>0</v>
      </c>
      <c r="X37" s="287">
        <f t="shared" si="35"/>
        <v>0</v>
      </c>
      <c r="Y37" s="287">
        <f t="shared" si="35"/>
        <v>0</v>
      </c>
      <c r="Z37" s="287">
        <f t="shared" si="35"/>
        <v>0</v>
      </c>
      <c r="AA37" s="287">
        <f t="shared" si="35"/>
        <v>0</v>
      </c>
      <c r="AB37" s="287">
        <f t="shared" si="35"/>
        <v>0</v>
      </c>
      <c r="AC37" s="287">
        <f t="shared" si="35"/>
        <v>0</v>
      </c>
      <c r="AD37" s="287">
        <f t="shared" si="35"/>
        <v>11598.1</v>
      </c>
      <c r="AE37" s="287">
        <f t="shared" si="35"/>
        <v>0</v>
      </c>
      <c r="AF37" s="288"/>
    </row>
    <row r="38" spans="1:32" ht="31.5" x14ac:dyDescent="0.25">
      <c r="A38" s="293" t="s">
        <v>389</v>
      </c>
      <c r="B38" s="287">
        <f t="shared" si="32"/>
        <v>0</v>
      </c>
      <c r="C38" s="287">
        <f t="shared" si="36"/>
        <v>0</v>
      </c>
      <c r="D38" s="287">
        <f t="shared" si="33"/>
        <v>0</v>
      </c>
      <c r="E38" s="287">
        <f t="shared" si="34"/>
        <v>0</v>
      </c>
      <c r="F38" s="287">
        <f t="shared" si="19"/>
        <v>0</v>
      </c>
      <c r="G38" s="287">
        <f t="shared" si="20"/>
        <v>0</v>
      </c>
      <c r="H38" s="287">
        <f t="shared" si="35"/>
        <v>0</v>
      </c>
      <c r="I38" s="287">
        <f t="shared" si="35"/>
        <v>0</v>
      </c>
      <c r="J38" s="287">
        <f t="shared" si="35"/>
        <v>0</v>
      </c>
      <c r="K38" s="287">
        <f t="shared" si="35"/>
        <v>0</v>
      </c>
      <c r="L38" s="287">
        <f t="shared" si="35"/>
        <v>0</v>
      </c>
      <c r="M38" s="287">
        <f t="shared" si="35"/>
        <v>0</v>
      </c>
      <c r="N38" s="287">
        <f t="shared" si="35"/>
        <v>0</v>
      </c>
      <c r="O38" s="287">
        <f t="shared" si="35"/>
        <v>0</v>
      </c>
      <c r="P38" s="287">
        <f t="shared" si="35"/>
        <v>0</v>
      </c>
      <c r="Q38" s="287">
        <f t="shared" si="35"/>
        <v>0</v>
      </c>
      <c r="R38" s="287">
        <f t="shared" si="35"/>
        <v>0</v>
      </c>
      <c r="S38" s="287">
        <f t="shared" si="35"/>
        <v>0</v>
      </c>
      <c r="T38" s="287">
        <f t="shared" si="35"/>
        <v>0</v>
      </c>
      <c r="U38" s="287">
        <f t="shared" si="35"/>
        <v>0</v>
      </c>
      <c r="V38" s="287">
        <f t="shared" si="35"/>
        <v>0</v>
      </c>
      <c r="W38" s="287">
        <f t="shared" si="35"/>
        <v>0</v>
      </c>
      <c r="X38" s="287">
        <f t="shared" si="35"/>
        <v>0</v>
      </c>
      <c r="Y38" s="287">
        <f t="shared" si="35"/>
        <v>0</v>
      </c>
      <c r="Z38" s="287">
        <f t="shared" si="35"/>
        <v>0</v>
      </c>
      <c r="AA38" s="287">
        <f t="shared" si="35"/>
        <v>0</v>
      </c>
      <c r="AB38" s="287">
        <f t="shared" si="35"/>
        <v>0</v>
      </c>
      <c r="AC38" s="287">
        <f t="shared" si="35"/>
        <v>0</v>
      </c>
      <c r="AD38" s="287">
        <f t="shared" si="35"/>
        <v>0</v>
      </c>
      <c r="AE38" s="287">
        <f t="shared" si="35"/>
        <v>0</v>
      </c>
      <c r="AF38" s="288"/>
    </row>
    <row r="39" spans="1:32" ht="15.75" x14ac:dyDescent="0.25">
      <c r="A39" s="998" t="s">
        <v>535</v>
      </c>
      <c r="B39" s="998"/>
      <c r="C39" s="998"/>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9"/>
      <c r="AE39" s="294"/>
      <c r="AF39" s="294"/>
    </row>
    <row r="40" spans="1:32" ht="15.75" x14ac:dyDescent="0.25">
      <c r="A40" s="992" t="s">
        <v>54</v>
      </c>
      <c r="B40" s="992"/>
      <c r="C40" s="992"/>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3"/>
      <c r="AF40" s="294"/>
    </row>
    <row r="41" spans="1:32" ht="15.75" x14ac:dyDescent="0.25">
      <c r="A41" s="281" t="s">
        <v>410</v>
      </c>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6"/>
      <c r="AF41" s="294"/>
    </row>
    <row r="42" spans="1:32" ht="15.75" x14ac:dyDescent="0.25">
      <c r="A42" s="283" t="s">
        <v>31</v>
      </c>
      <c r="B42" s="284">
        <f>B43+B44+B46</f>
        <v>210682.80300000001</v>
      </c>
      <c r="C42" s="284">
        <f t="shared" ref="C42:E42" si="37">C43+C44+C46</f>
        <v>33401.334999999999</v>
      </c>
      <c r="D42" s="284">
        <f t="shared" si="37"/>
        <v>0</v>
      </c>
      <c r="E42" s="284">
        <f t="shared" si="37"/>
        <v>0</v>
      </c>
      <c r="F42" s="284">
        <f>IFERROR(E42/B42*100,0)</f>
        <v>0</v>
      </c>
      <c r="G42" s="284">
        <f t="shared" ref="G42:G63" si="38">IFERROR(E42/C42*100,0)</f>
        <v>0</v>
      </c>
      <c r="H42" s="284">
        <f>H43+H44+H46</f>
        <v>0</v>
      </c>
      <c r="I42" s="284">
        <f t="shared" ref="I42:AE42" si="39">I43+I44+I46</f>
        <v>0</v>
      </c>
      <c r="J42" s="284">
        <f t="shared" si="39"/>
        <v>2609.3220000000001</v>
      </c>
      <c r="K42" s="284">
        <f t="shared" si="39"/>
        <v>0</v>
      </c>
      <c r="L42" s="284">
        <f t="shared" si="39"/>
        <v>30792.012999999999</v>
      </c>
      <c r="M42" s="284">
        <f t="shared" si="39"/>
        <v>0</v>
      </c>
      <c r="N42" s="284">
        <f t="shared" si="39"/>
        <v>0</v>
      </c>
      <c r="O42" s="284">
        <f t="shared" si="39"/>
        <v>0</v>
      </c>
      <c r="P42" s="284">
        <f t="shared" si="39"/>
        <v>0</v>
      </c>
      <c r="Q42" s="284">
        <f t="shared" si="39"/>
        <v>0</v>
      </c>
      <c r="R42" s="284">
        <f t="shared" si="39"/>
        <v>1739.548</v>
      </c>
      <c r="S42" s="284">
        <f t="shared" si="39"/>
        <v>0</v>
      </c>
      <c r="T42" s="284">
        <f t="shared" si="39"/>
        <v>0</v>
      </c>
      <c r="U42" s="284">
        <f t="shared" si="39"/>
        <v>0</v>
      </c>
      <c r="V42" s="284">
        <f t="shared" si="39"/>
        <v>0</v>
      </c>
      <c r="W42" s="284">
        <f t="shared" si="39"/>
        <v>0</v>
      </c>
      <c r="X42" s="284">
        <f t="shared" si="39"/>
        <v>0</v>
      </c>
      <c r="Y42" s="284">
        <f t="shared" si="39"/>
        <v>0</v>
      </c>
      <c r="Z42" s="284">
        <f t="shared" si="39"/>
        <v>0</v>
      </c>
      <c r="AA42" s="284">
        <f t="shared" si="39"/>
        <v>0</v>
      </c>
      <c r="AB42" s="284">
        <f t="shared" si="39"/>
        <v>0</v>
      </c>
      <c r="AC42" s="284">
        <f t="shared" si="39"/>
        <v>0</v>
      </c>
      <c r="AD42" s="284">
        <f t="shared" si="39"/>
        <v>175541.92</v>
      </c>
      <c r="AE42" s="284">
        <f t="shared" si="39"/>
        <v>0</v>
      </c>
      <c r="AF42" s="285"/>
    </row>
    <row r="43" spans="1:32" ht="15.75" x14ac:dyDescent="0.25">
      <c r="A43" s="286" t="s">
        <v>32</v>
      </c>
      <c r="B43" s="287">
        <f t="shared" ref="B43:B45" si="40">H43+J43+L43+N43+P43+R43+T43+V43+X43+Z43+AB43+AD43</f>
        <v>0</v>
      </c>
      <c r="C43" s="287">
        <f>H43+J43</f>
        <v>0</v>
      </c>
      <c r="D43" s="287">
        <f>I43+K43+M43</f>
        <v>0</v>
      </c>
      <c r="E43" s="287">
        <f t="shared" ref="E43:E46" si="41">I43+K43+M43+O43+Q43+S43+U43+W43+Y43+AA43+AC43+AE43</f>
        <v>0</v>
      </c>
      <c r="F43" s="287">
        <f t="shared" ref="F43:F61" si="42">IFERROR(E43/B43*100,0)</f>
        <v>0</v>
      </c>
      <c r="G43" s="287">
        <f t="shared" si="38"/>
        <v>0</v>
      </c>
      <c r="H43" s="287">
        <f>H49</f>
        <v>0</v>
      </c>
      <c r="I43" s="287">
        <f t="shared" ref="I43:AE46" si="43">I49</f>
        <v>0</v>
      </c>
      <c r="J43" s="287">
        <f t="shared" si="43"/>
        <v>0</v>
      </c>
      <c r="K43" s="287">
        <f t="shared" si="43"/>
        <v>0</v>
      </c>
      <c r="L43" s="287">
        <f t="shared" si="43"/>
        <v>0</v>
      </c>
      <c r="M43" s="287">
        <f t="shared" si="43"/>
        <v>0</v>
      </c>
      <c r="N43" s="287">
        <f t="shared" si="43"/>
        <v>0</v>
      </c>
      <c r="O43" s="287">
        <f t="shared" si="43"/>
        <v>0</v>
      </c>
      <c r="P43" s="287">
        <f t="shared" si="43"/>
        <v>0</v>
      </c>
      <c r="Q43" s="287">
        <f t="shared" si="43"/>
        <v>0</v>
      </c>
      <c r="R43" s="287">
        <f t="shared" si="43"/>
        <v>0</v>
      </c>
      <c r="S43" s="287">
        <f t="shared" si="43"/>
        <v>0</v>
      </c>
      <c r="T43" s="287">
        <f t="shared" si="43"/>
        <v>0</v>
      </c>
      <c r="U43" s="287">
        <f t="shared" si="43"/>
        <v>0</v>
      </c>
      <c r="V43" s="287">
        <f t="shared" si="43"/>
        <v>0</v>
      </c>
      <c r="W43" s="287">
        <f t="shared" si="43"/>
        <v>0</v>
      </c>
      <c r="X43" s="287">
        <f t="shared" si="43"/>
        <v>0</v>
      </c>
      <c r="Y43" s="287">
        <f t="shared" si="43"/>
        <v>0</v>
      </c>
      <c r="Z43" s="287">
        <f t="shared" si="43"/>
        <v>0</v>
      </c>
      <c r="AA43" s="287">
        <f t="shared" si="43"/>
        <v>0</v>
      </c>
      <c r="AB43" s="287">
        <f t="shared" si="43"/>
        <v>0</v>
      </c>
      <c r="AC43" s="287">
        <f t="shared" si="43"/>
        <v>0</v>
      </c>
      <c r="AD43" s="287">
        <f t="shared" si="43"/>
        <v>0</v>
      </c>
      <c r="AE43" s="287">
        <f t="shared" si="43"/>
        <v>0</v>
      </c>
      <c r="AF43" s="288"/>
    </row>
    <row r="44" spans="1:32" ht="15.75" x14ac:dyDescent="0.25">
      <c r="A44" s="286" t="s">
        <v>33</v>
      </c>
      <c r="B44" s="287">
        <f t="shared" si="40"/>
        <v>210682.80300000001</v>
      </c>
      <c r="C44" s="287">
        <f>H44+J44+L44</f>
        <v>33401.334999999999</v>
      </c>
      <c r="D44" s="287">
        <f t="shared" ref="D44:D46" si="44">I44+K44+M44</f>
        <v>0</v>
      </c>
      <c r="E44" s="287">
        <f t="shared" si="41"/>
        <v>0</v>
      </c>
      <c r="F44" s="287">
        <f t="shared" si="42"/>
        <v>0</v>
      </c>
      <c r="G44" s="287">
        <f t="shared" si="38"/>
        <v>0</v>
      </c>
      <c r="H44" s="287">
        <f t="shared" ref="H44:W46" si="45">H50</f>
        <v>0</v>
      </c>
      <c r="I44" s="287">
        <f t="shared" si="45"/>
        <v>0</v>
      </c>
      <c r="J44" s="287">
        <f t="shared" si="45"/>
        <v>2609.3220000000001</v>
      </c>
      <c r="K44" s="287">
        <f t="shared" si="45"/>
        <v>0</v>
      </c>
      <c r="L44" s="287">
        <f t="shared" si="45"/>
        <v>30792.012999999999</v>
      </c>
      <c r="M44" s="287">
        <f t="shared" si="45"/>
        <v>0</v>
      </c>
      <c r="N44" s="287">
        <f t="shared" si="45"/>
        <v>0</v>
      </c>
      <c r="O44" s="287">
        <f t="shared" si="45"/>
        <v>0</v>
      </c>
      <c r="P44" s="287">
        <f t="shared" si="45"/>
        <v>0</v>
      </c>
      <c r="Q44" s="287">
        <f t="shared" si="45"/>
        <v>0</v>
      </c>
      <c r="R44" s="287">
        <f t="shared" si="45"/>
        <v>1739.548</v>
      </c>
      <c r="S44" s="287">
        <f t="shared" si="45"/>
        <v>0</v>
      </c>
      <c r="T44" s="287">
        <f t="shared" si="45"/>
        <v>0</v>
      </c>
      <c r="U44" s="287">
        <f t="shared" si="45"/>
        <v>0</v>
      </c>
      <c r="V44" s="287">
        <f t="shared" si="45"/>
        <v>0</v>
      </c>
      <c r="W44" s="287">
        <f t="shared" si="45"/>
        <v>0</v>
      </c>
      <c r="X44" s="287">
        <f t="shared" si="43"/>
        <v>0</v>
      </c>
      <c r="Y44" s="287">
        <f t="shared" si="43"/>
        <v>0</v>
      </c>
      <c r="Z44" s="287">
        <f t="shared" si="43"/>
        <v>0</v>
      </c>
      <c r="AA44" s="287">
        <f t="shared" si="43"/>
        <v>0</v>
      </c>
      <c r="AB44" s="287">
        <f t="shared" si="43"/>
        <v>0</v>
      </c>
      <c r="AC44" s="287">
        <f t="shared" si="43"/>
        <v>0</v>
      </c>
      <c r="AD44" s="287">
        <f t="shared" si="43"/>
        <v>175541.92</v>
      </c>
      <c r="AE44" s="287">
        <f t="shared" si="43"/>
        <v>0</v>
      </c>
      <c r="AF44" s="288"/>
    </row>
    <row r="45" spans="1:32" ht="31.5" x14ac:dyDescent="0.25">
      <c r="A45" s="298" t="s">
        <v>174</v>
      </c>
      <c r="B45" s="287">
        <f t="shared" si="40"/>
        <v>0</v>
      </c>
      <c r="C45" s="287">
        <f t="shared" ref="C45:C46" si="46">H45+J45+L45</f>
        <v>0</v>
      </c>
      <c r="D45" s="287">
        <f t="shared" si="44"/>
        <v>0</v>
      </c>
      <c r="E45" s="287">
        <f t="shared" si="41"/>
        <v>0</v>
      </c>
      <c r="F45" s="287">
        <f t="shared" si="42"/>
        <v>0</v>
      </c>
      <c r="G45" s="287">
        <f t="shared" si="38"/>
        <v>0</v>
      </c>
      <c r="H45" s="287">
        <f t="shared" si="45"/>
        <v>0</v>
      </c>
      <c r="I45" s="287">
        <f t="shared" si="45"/>
        <v>0</v>
      </c>
      <c r="J45" s="287">
        <f t="shared" si="45"/>
        <v>0</v>
      </c>
      <c r="K45" s="287">
        <f t="shared" si="45"/>
        <v>0</v>
      </c>
      <c r="L45" s="287">
        <f t="shared" si="45"/>
        <v>0</v>
      </c>
      <c r="M45" s="287">
        <f t="shared" si="45"/>
        <v>0</v>
      </c>
      <c r="N45" s="287">
        <f t="shared" si="45"/>
        <v>0</v>
      </c>
      <c r="O45" s="287">
        <f t="shared" si="45"/>
        <v>0</v>
      </c>
      <c r="P45" s="287">
        <f t="shared" si="45"/>
        <v>0</v>
      </c>
      <c r="Q45" s="287">
        <f t="shared" si="45"/>
        <v>0</v>
      </c>
      <c r="R45" s="287">
        <f t="shared" si="45"/>
        <v>0</v>
      </c>
      <c r="S45" s="287">
        <f t="shared" si="45"/>
        <v>0</v>
      </c>
      <c r="T45" s="287">
        <f t="shared" si="45"/>
        <v>0</v>
      </c>
      <c r="U45" s="287">
        <f t="shared" si="45"/>
        <v>0</v>
      </c>
      <c r="V45" s="287">
        <f t="shared" si="45"/>
        <v>0</v>
      </c>
      <c r="W45" s="287">
        <f t="shared" si="45"/>
        <v>0</v>
      </c>
      <c r="X45" s="287">
        <f t="shared" si="43"/>
        <v>0</v>
      </c>
      <c r="Y45" s="287">
        <f t="shared" si="43"/>
        <v>0</v>
      </c>
      <c r="Z45" s="287">
        <f t="shared" si="43"/>
        <v>0</v>
      </c>
      <c r="AA45" s="287">
        <f t="shared" si="43"/>
        <v>0</v>
      </c>
      <c r="AB45" s="287">
        <f t="shared" si="43"/>
        <v>0</v>
      </c>
      <c r="AC45" s="287">
        <f t="shared" si="43"/>
        <v>0</v>
      </c>
      <c r="AD45" s="287">
        <f t="shared" si="43"/>
        <v>0</v>
      </c>
      <c r="AE45" s="287">
        <f t="shared" si="43"/>
        <v>0</v>
      </c>
      <c r="AF45" s="288"/>
    </row>
    <row r="46" spans="1:32" ht="31.5" x14ac:dyDescent="0.25">
      <c r="A46" s="286" t="s">
        <v>389</v>
      </c>
      <c r="B46" s="287">
        <f>H46+J46+L46+N46+P46+R46+T46+V46+X46+Z46+AB46+AD46</f>
        <v>0</v>
      </c>
      <c r="C46" s="287">
        <f t="shared" si="46"/>
        <v>0</v>
      </c>
      <c r="D46" s="287">
        <f t="shared" si="44"/>
        <v>0</v>
      </c>
      <c r="E46" s="287">
        <f t="shared" si="41"/>
        <v>0</v>
      </c>
      <c r="F46" s="287">
        <f t="shared" si="42"/>
        <v>0</v>
      </c>
      <c r="G46" s="287">
        <f t="shared" si="38"/>
        <v>0</v>
      </c>
      <c r="H46" s="287">
        <f t="shared" si="45"/>
        <v>0</v>
      </c>
      <c r="I46" s="287">
        <f t="shared" si="45"/>
        <v>0</v>
      </c>
      <c r="J46" s="287">
        <f t="shared" si="45"/>
        <v>0</v>
      </c>
      <c r="K46" s="287">
        <f t="shared" si="45"/>
        <v>0</v>
      </c>
      <c r="L46" s="287">
        <f t="shared" si="45"/>
        <v>0</v>
      </c>
      <c r="M46" s="287">
        <f t="shared" si="45"/>
        <v>0</v>
      </c>
      <c r="N46" s="287">
        <f t="shared" si="45"/>
        <v>0</v>
      </c>
      <c r="O46" s="287">
        <f t="shared" si="45"/>
        <v>0</v>
      </c>
      <c r="P46" s="287">
        <f t="shared" si="45"/>
        <v>0</v>
      </c>
      <c r="Q46" s="287">
        <f t="shared" si="45"/>
        <v>0</v>
      </c>
      <c r="R46" s="287">
        <f t="shared" si="45"/>
        <v>0</v>
      </c>
      <c r="S46" s="287">
        <f t="shared" si="45"/>
        <v>0</v>
      </c>
      <c r="T46" s="287">
        <f t="shared" si="45"/>
        <v>0</v>
      </c>
      <c r="U46" s="287">
        <f t="shared" si="45"/>
        <v>0</v>
      </c>
      <c r="V46" s="287">
        <f t="shared" si="45"/>
        <v>0</v>
      </c>
      <c r="W46" s="287">
        <f t="shared" si="45"/>
        <v>0</v>
      </c>
      <c r="X46" s="287">
        <f t="shared" si="43"/>
        <v>0</v>
      </c>
      <c r="Y46" s="287">
        <f t="shared" si="43"/>
        <v>0</v>
      </c>
      <c r="Z46" s="287">
        <f t="shared" si="43"/>
        <v>0</v>
      </c>
      <c r="AA46" s="287">
        <f t="shared" si="43"/>
        <v>0</v>
      </c>
      <c r="AB46" s="287">
        <f t="shared" si="43"/>
        <v>0</v>
      </c>
      <c r="AC46" s="287">
        <f t="shared" si="43"/>
        <v>0</v>
      </c>
      <c r="AD46" s="287">
        <f t="shared" si="43"/>
        <v>0</v>
      </c>
      <c r="AE46" s="287">
        <f t="shared" si="43"/>
        <v>0</v>
      </c>
      <c r="AF46" s="288"/>
    </row>
    <row r="47" spans="1:32" ht="15.75" x14ac:dyDescent="0.25">
      <c r="A47" s="281" t="s">
        <v>411</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3"/>
    </row>
    <row r="48" spans="1:32" ht="229.5" customHeight="1" x14ac:dyDescent="0.25">
      <c r="A48" s="283" t="s">
        <v>31</v>
      </c>
      <c r="B48" s="287">
        <f>B49+B50+B52</f>
        <v>210682.80300000001</v>
      </c>
      <c r="C48" s="287">
        <f>C49+C50+C52</f>
        <v>33401.334999999999</v>
      </c>
      <c r="D48" s="287">
        <f>D49+D50+D52</f>
        <v>0</v>
      </c>
      <c r="E48" s="287">
        <f t="shared" ref="E48" si="47">E49+E50+E52</f>
        <v>0</v>
      </c>
      <c r="F48" s="287">
        <f t="shared" si="42"/>
        <v>0</v>
      </c>
      <c r="G48" s="287">
        <f t="shared" si="38"/>
        <v>0</v>
      </c>
      <c r="H48" s="287">
        <f>H49+H50+H52</f>
        <v>0</v>
      </c>
      <c r="I48" s="287">
        <f t="shared" ref="I48:AE48" si="48">I49+I50+I52</f>
        <v>0</v>
      </c>
      <c r="J48" s="287">
        <f t="shared" si="48"/>
        <v>2609.3220000000001</v>
      </c>
      <c r="K48" s="287">
        <f t="shared" si="48"/>
        <v>0</v>
      </c>
      <c r="L48" s="287">
        <f t="shared" si="48"/>
        <v>30792.012999999999</v>
      </c>
      <c r="M48" s="287">
        <f t="shared" si="48"/>
        <v>0</v>
      </c>
      <c r="N48" s="287">
        <f t="shared" si="48"/>
        <v>0</v>
      </c>
      <c r="O48" s="287">
        <f t="shared" si="48"/>
        <v>0</v>
      </c>
      <c r="P48" s="287">
        <f t="shared" si="48"/>
        <v>0</v>
      </c>
      <c r="Q48" s="287">
        <f t="shared" si="48"/>
        <v>0</v>
      </c>
      <c r="R48" s="287">
        <f t="shared" si="48"/>
        <v>1739.548</v>
      </c>
      <c r="S48" s="287">
        <f t="shared" si="48"/>
        <v>0</v>
      </c>
      <c r="T48" s="287">
        <f t="shared" si="48"/>
        <v>0</v>
      </c>
      <c r="U48" s="287">
        <f t="shared" si="48"/>
        <v>0</v>
      </c>
      <c r="V48" s="287">
        <f t="shared" si="48"/>
        <v>0</v>
      </c>
      <c r="W48" s="287">
        <f t="shared" si="48"/>
        <v>0</v>
      </c>
      <c r="X48" s="287">
        <f t="shared" si="48"/>
        <v>0</v>
      </c>
      <c r="Y48" s="287">
        <f t="shared" si="48"/>
        <v>0</v>
      </c>
      <c r="Z48" s="287">
        <f t="shared" si="48"/>
        <v>0</v>
      </c>
      <c r="AA48" s="287">
        <f t="shared" si="48"/>
        <v>0</v>
      </c>
      <c r="AB48" s="287">
        <f t="shared" si="48"/>
        <v>0</v>
      </c>
      <c r="AC48" s="287">
        <f t="shared" si="48"/>
        <v>0</v>
      </c>
      <c r="AD48" s="287">
        <f t="shared" si="48"/>
        <v>175541.92</v>
      </c>
      <c r="AE48" s="287">
        <f t="shared" si="48"/>
        <v>0</v>
      </c>
      <c r="AF48" s="606" t="s">
        <v>536</v>
      </c>
    </row>
    <row r="49" spans="1:32" ht="252" x14ac:dyDescent="0.25">
      <c r="A49" s="286" t="s">
        <v>32</v>
      </c>
      <c r="B49" s="287">
        <f t="shared" ref="B49:B52" si="49">H49+J49+L49+N49+P49+R49+T49+V49+X49+Z49+AB49+AD49</f>
        <v>0</v>
      </c>
      <c r="C49" s="287">
        <f>H49+J49+L49</f>
        <v>0</v>
      </c>
      <c r="D49" s="287">
        <f t="shared" ref="D49:D52" si="50">I49+K49+M49</f>
        <v>0</v>
      </c>
      <c r="E49" s="287">
        <f t="shared" ref="E49:E50" si="51">I49+K49+M49+O49+Q49+S49+U49+W49+Y49+AA49+AC49+AE49</f>
        <v>0</v>
      </c>
      <c r="F49" s="287">
        <f t="shared" si="42"/>
        <v>0</v>
      </c>
      <c r="G49" s="287">
        <f t="shared" si="38"/>
        <v>0</v>
      </c>
      <c r="H49" s="287">
        <v>0</v>
      </c>
      <c r="I49" s="287">
        <v>0</v>
      </c>
      <c r="J49" s="287">
        <v>0</v>
      </c>
      <c r="K49" s="287">
        <v>0</v>
      </c>
      <c r="L49" s="287">
        <v>0</v>
      </c>
      <c r="M49" s="287">
        <v>0</v>
      </c>
      <c r="N49" s="287">
        <v>0</v>
      </c>
      <c r="O49" s="287">
        <v>0</v>
      </c>
      <c r="P49" s="287">
        <v>0</v>
      </c>
      <c r="Q49" s="287">
        <v>0</v>
      </c>
      <c r="R49" s="287">
        <v>0</v>
      </c>
      <c r="S49" s="287">
        <v>0</v>
      </c>
      <c r="T49" s="287">
        <v>0</v>
      </c>
      <c r="U49" s="287">
        <v>0</v>
      </c>
      <c r="V49" s="287">
        <v>0</v>
      </c>
      <c r="W49" s="287">
        <v>0</v>
      </c>
      <c r="X49" s="287">
        <v>0</v>
      </c>
      <c r="Y49" s="287">
        <v>0</v>
      </c>
      <c r="Z49" s="287">
        <v>0</v>
      </c>
      <c r="AA49" s="287">
        <v>0</v>
      </c>
      <c r="AB49" s="287">
        <v>0</v>
      </c>
      <c r="AC49" s="287">
        <v>0</v>
      </c>
      <c r="AD49" s="287">
        <v>0</v>
      </c>
      <c r="AE49" s="287">
        <v>0</v>
      </c>
      <c r="AF49" s="606" t="s">
        <v>537</v>
      </c>
    </row>
    <row r="50" spans="1:32" ht="220.5" x14ac:dyDescent="0.25">
      <c r="A50" s="286" t="s">
        <v>33</v>
      </c>
      <c r="B50" s="287">
        <f t="shared" si="49"/>
        <v>210682.80300000001</v>
      </c>
      <c r="C50" s="287">
        <f>H50+J50+L50</f>
        <v>33401.334999999999</v>
      </c>
      <c r="D50" s="287">
        <f t="shared" si="50"/>
        <v>0</v>
      </c>
      <c r="E50" s="287">
        <f t="shared" si="51"/>
        <v>0</v>
      </c>
      <c r="F50" s="287">
        <f t="shared" si="42"/>
        <v>0</v>
      </c>
      <c r="G50" s="287">
        <f t="shared" si="38"/>
        <v>0</v>
      </c>
      <c r="H50" s="287">
        <v>0</v>
      </c>
      <c r="I50" s="287">
        <v>0</v>
      </c>
      <c r="J50" s="287">
        <v>2609.3220000000001</v>
      </c>
      <c r="K50" s="287">
        <v>0</v>
      </c>
      <c r="L50" s="287">
        <v>30792.012999999999</v>
      </c>
      <c r="M50" s="287">
        <v>0</v>
      </c>
      <c r="N50" s="287">
        <v>0</v>
      </c>
      <c r="O50" s="287">
        <v>0</v>
      </c>
      <c r="P50" s="287">
        <v>0</v>
      </c>
      <c r="Q50" s="287">
        <v>0</v>
      </c>
      <c r="R50" s="287">
        <v>1739.548</v>
      </c>
      <c r="S50" s="287">
        <v>0</v>
      </c>
      <c r="T50" s="287">
        <v>0</v>
      </c>
      <c r="U50" s="287">
        <v>0</v>
      </c>
      <c r="V50" s="287">
        <v>0</v>
      </c>
      <c r="W50" s="287">
        <v>0</v>
      </c>
      <c r="X50" s="287">
        <v>0</v>
      </c>
      <c r="Y50" s="287">
        <v>0</v>
      </c>
      <c r="Z50" s="287">
        <v>0</v>
      </c>
      <c r="AA50" s="287">
        <v>0</v>
      </c>
      <c r="AB50" s="287">
        <v>0</v>
      </c>
      <c r="AC50" s="287">
        <v>0</v>
      </c>
      <c r="AD50" s="287">
        <v>175541.92</v>
      </c>
      <c r="AE50" s="287">
        <v>0</v>
      </c>
      <c r="AF50" s="606" t="s">
        <v>538</v>
      </c>
    </row>
    <row r="51" spans="1:32" ht="31.5" x14ac:dyDescent="0.25">
      <c r="A51" s="298" t="s">
        <v>174</v>
      </c>
      <c r="B51" s="287">
        <f t="shared" si="49"/>
        <v>0</v>
      </c>
      <c r="C51" s="287">
        <f>H51+J51+L51</f>
        <v>0</v>
      </c>
      <c r="D51" s="287">
        <f t="shared" si="50"/>
        <v>0</v>
      </c>
      <c r="E51" s="287">
        <f t="shared" ref="E51:E52" si="52">I51+K51+M51+O51+Q51+S51+U51+W51+Y51+AA51+AC51+AE51</f>
        <v>0</v>
      </c>
      <c r="F51" s="287">
        <f t="shared" si="42"/>
        <v>0</v>
      </c>
      <c r="G51" s="287">
        <f t="shared" si="38"/>
        <v>0</v>
      </c>
      <c r="H51" s="287">
        <v>0</v>
      </c>
      <c r="I51" s="287">
        <v>0</v>
      </c>
      <c r="J51" s="287">
        <v>0</v>
      </c>
      <c r="K51" s="287">
        <v>0</v>
      </c>
      <c r="L51" s="287">
        <v>0</v>
      </c>
      <c r="M51" s="287">
        <v>0</v>
      </c>
      <c r="N51" s="287">
        <v>0</v>
      </c>
      <c r="O51" s="287">
        <v>0</v>
      </c>
      <c r="P51" s="287">
        <v>0</v>
      </c>
      <c r="Q51" s="287">
        <v>0</v>
      </c>
      <c r="R51" s="287">
        <v>0</v>
      </c>
      <c r="S51" s="287">
        <v>0</v>
      </c>
      <c r="T51" s="287">
        <v>0</v>
      </c>
      <c r="U51" s="287">
        <v>0</v>
      </c>
      <c r="V51" s="287">
        <v>0</v>
      </c>
      <c r="W51" s="287">
        <v>0</v>
      </c>
      <c r="X51" s="287">
        <v>0</v>
      </c>
      <c r="Y51" s="287">
        <v>0</v>
      </c>
      <c r="Z51" s="287">
        <v>0</v>
      </c>
      <c r="AA51" s="287">
        <v>0</v>
      </c>
      <c r="AB51" s="287">
        <v>0</v>
      </c>
      <c r="AC51" s="287">
        <v>0</v>
      </c>
      <c r="AD51" s="287">
        <v>0</v>
      </c>
      <c r="AE51" s="287">
        <v>0</v>
      </c>
      <c r="AF51" s="288"/>
    </row>
    <row r="52" spans="1:32" ht="31.5" x14ac:dyDescent="0.25">
      <c r="A52" s="286" t="s">
        <v>389</v>
      </c>
      <c r="B52" s="287">
        <f t="shared" si="49"/>
        <v>0</v>
      </c>
      <c r="C52" s="287">
        <f>H52+J52+L52</f>
        <v>0</v>
      </c>
      <c r="D52" s="287">
        <f t="shared" si="50"/>
        <v>0</v>
      </c>
      <c r="E52" s="287">
        <f t="shared" si="52"/>
        <v>0</v>
      </c>
      <c r="F52" s="287">
        <f t="shared" si="42"/>
        <v>0</v>
      </c>
      <c r="G52" s="287">
        <f t="shared" si="38"/>
        <v>0</v>
      </c>
      <c r="H52" s="287">
        <v>0</v>
      </c>
      <c r="I52" s="287">
        <v>0</v>
      </c>
      <c r="J52" s="287">
        <v>0</v>
      </c>
      <c r="K52" s="287">
        <v>0</v>
      </c>
      <c r="L52" s="287">
        <v>0</v>
      </c>
      <c r="M52" s="287">
        <v>0</v>
      </c>
      <c r="N52" s="287">
        <v>0</v>
      </c>
      <c r="O52" s="287">
        <v>0</v>
      </c>
      <c r="P52" s="287">
        <v>0</v>
      </c>
      <c r="Q52" s="287">
        <v>0</v>
      </c>
      <c r="R52" s="287">
        <v>0</v>
      </c>
      <c r="S52" s="287">
        <v>0</v>
      </c>
      <c r="T52" s="287">
        <v>0</v>
      </c>
      <c r="U52" s="287">
        <v>0</v>
      </c>
      <c r="V52" s="287">
        <v>0</v>
      </c>
      <c r="W52" s="287">
        <v>0</v>
      </c>
      <c r="X52" s="287">
        <v>0</v>
      </c>
      <c r="Y52" s="287">
        <v>0</v>
      </c>
      <c r="Z52" s="287">
        <v>0</v>
      </c>
      <c r="AA52" s="287">
        <v>0</v>
      </c>
      <c r="AB52" s="287">
        <v>0</v>
      </c>
      <c r="AC52" s="287">
        <v>0</v>
      </c>
      <c r="AD52" s="287">
        <v>0</v>
      </c>
      <c r="AE52" s="287">
        <v>0</v>
      </c>
      <c r="AF52" s="288"/>
    </row>
    <row r="53" spans="1:32" ht="15.75" x14ac:dyDescent="0.25">
      <c r="A53" s="291" t="s">
        <v>62</v>
      </c>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8"/>
    </row>
    <row r="54" spans="1:32" ht="15.75" x14ac:dyDescent="0.25">
      <c r="A54" s="292" t="s">
        <v>31</v>
      </c>
      <c r="B54" s="284">
        <f>B55+B56+B58</f>
        <v>210682.80300000001</v>
      </c>
      <c r="C54" s="284">
        <f t="shared" ref="C54:E54" si="53">C55+C56+C58</f>
        <v>33401.334999999999</v>
      </c>
      <c r="D54" s="284">
        <f t="shared" si="53"/>
        <v>0</v>
      </c>
      <c r="E54" s="284">
        <f t="shared" si="53"/>
        <v>0</v>
      </c>
      <c r="F54" s="284">
        <f t="shared" si="42"/>
        <v>0</v>
      </c>
      <c r="G54" s="284">
        <f t="shared" si="38"/>
        <v>0</v>
      </c>
      <c r="H54" s="284">
        <f>H55+H56+H58</f>
        <v>0</v>
      </c>
      <c r="I54" s="284">
        <f t="shared" ref="I54:AE54" si="54">I55+I56+I58</f>
        <v>0</v>
      </c>
      <c r="J54" s="284">
        <f t="shared" si="54"/>
        <v>2609.3220000000001</v>
      </c>
      <c r="K54" s="284">
        <f t="shared" si="54"/>
        <v>0</v>
      </c>
      <c r="L54" s="284">
        <f t="shared" si="54"/>
        <v>30792.012999999999</v>
      </c>
      <c r="M54" s="284">
        <f t="shared" si="54"/>
        <v>0</v>
      </c>
      <c r="N54" s="284">
        <f t="shared" si="54"/>
        <v>0</v>
      </c>
      <c r="O54" s="284">
        <f t="shared" si="54"/>
        <v>0</v>
      </c>
      <c r="P54" s="284">
        <f t="shared" si="54"/>
        <v>0</v>
      </c>
      <c r="Q54" s="284">
        <f t="shared" si="54"/>
        <v>0</v>
      </c>
      <c r="R54" s="284">
        <f t="shared" si="54"/>
        <v>1739.548</v>
      </c>
      <c r="S54" s="284">
        <f t="shared" si="54"/>
        <v>0</v>
      </c>
      <c r="T54" s="284">
        <f t="shared" si="54"/>
        <v>0</v>
      </c>
      <c r="U54" s="284">
        <f t="shared" si="54"/>
        <v>0</v>
      </c>
      <c r="V54" s="284">
        <f t="shared" si="54"/>
        <v>0</v>
      </c>
      <c r="W54" s="284">
        <f t="shared" si="54"/>
        <v>0</v>
      </c>
      <c r="X54" s="284">
        <f t="shared" si="54"/>
        <v>0</v>
      </c>
      <c r="Y54" s="284">
        <f t="shared" si="54"/>
        <v>0</v>
      </c>
      <c r="Z54" s="284">
        <f t="shared" si="54"/>
        <v>0</v>
      </c>
      <c r="AA54" s="284">
        <f t="shared" si="54"/>
        <v>0</v>
      </c>
      <c r="AB54" s="284">
        <f t="shared" si="54"/>
        <v>0</v>
      </c>
      <c r="AC54" s="284">
        <f t="shared" si="54"/>
        <v>0</v>
      </c>
      <c r="AD54" s="284">
        <f t="shared" si="54"/>
        <v>175541.92</v>
      </c>
      <c r="AE54" s="284">
        <f t="shared" si="54"/>
        <v>0</v>
      </c>
      <c r="AF54" s="285"/>
    </row>
    <row r="55" spans="1:32" ht="15.75" x14ac:dyDescent="0.25">
      <c r="A55" s="293" t="s">
        <v>32</v>
      </c>
      <c r="B55" s="287">
        <f>B43</f>
        <v>0</v>
      </c>
      <c r="C55" s="287">
        <f t="shared" ref="C55:E55" si="55">C43</f>
        <v>0</v>
      </c>
      <c r="D55" s="287">
        <f>D43</f>
        <v>0</v>
      </c>
      <c r="E55" s="287">
        <f t="shared" si="55"/>
        <v>0</v>
      </c>
      <c r="F55" s="287">
        <f t="shared" si="42"/>
        <v>0</v>
      </c>
      <c r="G55" s="287">
        <f t="shared" si="38"/>
        <v>0</v>
      </c>
      <c r="H55" s="287">
        <f t="shared" ref="H55:AE58" si="56">H43</f>
        <v>0</v>
      </c>
      <c r="I55" s="287">
        <f t="shared" si="56"/>
        <v>0</v>
      </c>
      <c r="J55" s="287">
        <f t="shared" si="56"/>
        <v>0</v>
      </c>
      <c r="K55" s="287">
        <f t="shared" si="56"/>
        <v>0</v>
      </c>
      <c r="L55" s="287">
        <f t="shared" si="56"/>
        <v>0</v>
      </c>
      <c r="M55" s="287">
        <f t="shared" si="56"/>
        <v>0</v>
      </c>
      <c r="N55" s="287">
        <f t="shared" si="56"/>
        <v>0</v>
      </c>
      <c r="O55" s="287">
        <f t="shared" si="56"/>
        <v>0</v>
      </c>
      <c r="P55" s="287">
        <f t="shared" si="56"/>
        <v>0</v>
      </c>
      <c r="Q55" s="287">
        <f t="shared" si="56"/>
        <v>0</v>
      </c>
      <c r="R55" s="287">
        <f t="shared" si="56"/>
        <v>0</v>
      </c>
      <c r="S55" s="287">
        <f t="shared" si="56"/>
        <v>0</v>
      </c>
      <c r="T55" s="287">
        <f t="shared" si="56"/>
        <v>0</v>
      </c>
      <c r="U55" s="287">
        <f t="shared" si="56"/>
        <v>0</v>
      </c>
      <c r="V55" s="287">
        <f t="shared" si="56"/>
        <v>0</v>
      </c>
      <c r="W55" s="287">
        <f t="shared" si="56"/>
        <v>0</v>
      </c>
      <c r="X55" s="287">
        <f t="shared" si="56"/>
        <v>0</v>
      </c>
      <c r="Y55" s="287">
        <f t="shared" si="56"/>
        <v>0</v>
      </c>
      <c r="Z55" s="287">
        <f t="shared" si="56"/>
        <v>0</v>
      </c>
      <c r="AA55" s="287">
        <f t="shared" si="56"/>
        <v>0</v>
      </c>
      <c r="AB55" s="287">
        <f t="shared" si="56"/>
        <v>0</v>
      </c>
      <c r="AC55" s="287">
        <f t="shared" si="56"/>
        <v>0</v>
      </c>
      <c r="AD55" s="287">
        <f t="shared" si="56"/>
        <v>0</v>
      </c>
      <c r="AE55" s="287">
        <f t="shared" si="56"/>
        <v>0</v>
      </c>
      <c r="AF55" s="288"/>
    </row>
    <row r="56" spans="1:32" ht="15.75" x14ac:dyDescent="0.25">
      <c r="A56" s="293" t="s">
        <v>33</v>
      </c>
      <c r="B56" s="287">
        <f t="shared" ref="B56:E58" si="57">B44</f>
        <v>210682.80300000001</v>
      </c>
      <c r="C56" s="287">
        <f>C44</f>
        <v>33401.334999999999</v>
      </c>
      <c r="D56" s="287">
        <f t="shared" si="57"/>
        <v>0</v>
      </c>
      <c r="E56" s="287">
        <f t="shared" si="57"/>
        <v>0</v>
      </c>
      <c r="F56" s="287">
        <f t="shared" si="42"/>
        <v>0</v>
      </c>
      <c r="G56" s="287">
        <f t="shared" si="38"/>
        <v>0</v>
      </c>
      <c r="H56" s="287">
        <f t="shared" si="56"/>
        <v>0</v>
      </c>
      <c r="I56" s="287">
        <f t="shared" si="56"/>
        <v>0</v>
      </c>
      <c r="J56" s="287">
        <f t="shared" si="56"/>
        <v>2609.3220000000001</v>
      </c>
      <c r="K56" s="287">
        <f t="shared" si="56"/>
        <v>0</v>
      </c>
      <c r="L56" s="287">
        <f t="shared" si="56"/>
        <v>30792.012999999999</v>
      </c>
      <c r="M56" s="287">
        <f t="shared" si="56"/>
        <v>0</v>
      </c>
      <c r="N56" s="287">
        <f t="shared" si="56"/>
        <v>0</v>
      </c>
      <c r="O56" s="287">
        <f t="shared" si="56"/>
        <v>0</v>
      </c>
      <c r="P56" s="287">
        <f t="shared" si="56"/>
        <v>0</v>
      </c>
      <c r="Q56" s="287">
        <f t="shared" si="56"/>
        <v>0</v>
      </c>
      <c r="R56" s="287">
        <f t="shared" si="56"/>
        <v>1739.548</v>
      </c>
      <c r="S56" s="287">
        <f t="shared" si="56"/>
        <v>0</v>
      </c>
      <c r="T56" s="287">
        <f t="shared" si="56"/>
        <v>0</v>
      </c>
      <c r="U56" s="287">
        <f t="shared" si="56"/>
        <v>0</v>
      </c>
      <c r="V56" s="287">
        <f t="shared" si="56"/>
        <v>0</v>
      </c>
      <c r="W56" s="287">
        <f t="shared" si="56"/>
        <v>0</v>
      </c>
      <c r="X56" s="287">
        <f t="shared" si="56"/>
        <v>0</v>
      </c>
      <c r="Y56" s="287">
        <f t="shared" si="56"/>
        <v>0</v>
      </c>
      <c r="Z56" s="287">
        <f t="shared" si="56"/>
        <v>0</v>
      </c>
      <c r="AA56" s="287">
        <f t="shared" si="56"/>
        <v>0</v>
      </c>
      <c r="AB56" s="287">
        <f t="shared" si="56"/>
        <v>0</v>
      </c>
      <c r="AC56" s="287">
        <f t="shared" si="56"/>
        <v>0</v>
      </c>
      <c r="AD56" s="287">
        <f t="shared" si="56"/>
        <v>175541.92</v>
      </c>
      <c r="AE56" s="287">
        <f t="shared" si="56"/>
        <v>0</v>
      </c>
      <c r="AF56" s="288"/>
    </row>
    <row r="57" spans="1:32" ht="31.5" x14ac:dyDescent="0.25">
      <c r="A57" s="301" t="s">
        <v>174</v>
      </c>
      <c r="B57" s="287">
        <f t="shared" si="57"/>
        <v>0</v>
      </c>
      <c r="C57" s="287">
        <f t="shared" si="57"/>
        <v>0</v>
      </c>
      <c r="D57" s="287">
        <f t="shared" si="57"/>
        <v>0</v>
      </c>
      <c r="E57" s="287">
        <f t="shared" si="57"/>
        <v>0</v>
      </c>
      <c r="F57" s="287">
        <f t="shared" si="42"/>
        <v>0</v>
      </c>
      <c r="G57" s="287">
        <f t="shared" si="38"/>
        <v>0</v>
      </c>
      <c r="H57" s="287">
        <f t="shared" si="56"/>
        <v>0</v>
      </c>
      <c r="I57" s="287">
        <f t="shared" si="56"/>
        <v>0</v>
      </c>
      <c r="J57" s="287">
        <f t="shared" si="56"/>
        <v>0</v>
      </c>
      <c r="K57" s="287">
        <f t="shared" si="56"/>
        <v>0</v>
      </c>
      <c r="L57" s="287">
        <f t="shared" si="56"/>
        <v>0</v>
      </c>
      <c r="M57" s="287">
        <f t="shared" si="56"/>
        <v>0</v>
      </c>
      <c r="N57" s="287">
        <f t="shared" si="56"/>
        <v>0</v>
      </c>
      <c r="O57" s="287">
        <f t="shared" si="56"/>
        <v>0</v>
      </c>
      <c r="P57" s="287">
        <f t="shared" si="56"/>
        <v>0</v>
      </c>
      <c r="Q57" s="287">
        <f t="shared" si="56"/>
        <v>0</v>
      </c>
      <c r="R57" s="287">
        <f t="shared" si="56"/>
        <v>0</v>
      </c>
      <c r="S57" s="287">
        <f t="shared" si="56"/>
        <v>0</v>
      </c>
      <c r="T57" s="287">
        <f t="shared" si="56"/>
        <v>0</v>
      </c>
      <c r="U57" s="287">
        <f t="shared" si="56"/>
        <v>0</v>
      </c>
      <c r="V57" s="287">
        <f t="shared" si="56"/>
        <v>0</v>
      </c>
      <c r="W57" s="287">
        <f t="shared" si="56"/>
        <v>0</v>
      </c>
      <c r="X57" s="287">
        <f t="shared" si="56"/>
        <v>0</v>
      </c>
      <c r="Y57" s="287">
        <f t="shared" si="56"/>
        <v>0</v>
      </c>
      <c r="Z57" s="287">
        <f t="shared" si="56"/>
        <v>0</v>
      </c>
      <c r="AA57" s="287">
        <f t="shared" si="56"/>
        <v>0</v>
      </c>
      <c r="AB57" s="287">
        <f t="shared" si="56"/>
        <v>0</v>
      </c>
      <c r="AC57" s="287">
        <f t="shared" si="56"/>
        <v>0</v>
      </c>
      <c r="AD57" s="287">
        <f t="shared" si="56"/>
        <v>0</v>
      </c>
      <c r="AE57" s="287">
        <f t="shared" si="56"/>
        <v>0</v>
      </c>
      <c r="AF57" s="288"/>
    </row>
    <row r="58" spans="1:32" ht="15.75" x14ac:dyDescent="0.25">
      <c r="A58" s="293" t="s">
        <v>221</v>
      </c>
      <c r="B58" s="287">
        <f t="shared" si="57"/>
        <v>0</v>
      </c>
      <c r="C58" s="287">
        <f t="shared" si="57"/>
        <v>0</v>
      </c>
      <c r="D58" s="287">
        <f t="shared" si="57"/>
        <v>0</v>
      </c>
      <c r="E58" s="287">
        <f t="shared" si="57"/>
        <v>0</v>
      </c>
      <c r="F58" s="287">
        <f t="shared" si="42"/>
        <v>0</v>
      </c>
      <c r="G58" s="287">
        <f t="shared" si="38"/>
        <v>0</v>
      </c>
      <c r="H58" s="287">
        <f t="shared" si="56"/>
        <v>0</v>
      </c>
      <c r="I58" s="287">
        <f t="shared" si="56"/>
        <v>0</v>
      </c>
      <c r="J58" s="287">
        <f t="shared" si="56"/>
        <v>0</v>
      </c>
      <c r="K58" s="287">
        <f t="shared" si="56"/>
        <v>0</v>
      </c>
      <c r="L58" s="287">
        <f t="shared" si="56"/>
        <v>0</v>
      </c>
      <c r="M58" s="287">
        <f t="shared" si="56"/>
        <v>0</v>
      </c>
      <c r="N58" s="287">
        <f t="shared" si="56"/>
        <v>0</v>
      </c>
      <c r="O58" s="287">
        <f t="shared" si="56"/>
        <v>0</v>
      </c>
      <c r="P58" s="287">
        <f t="shared" si="56"/>
        <v>0</v>
      </c>
      <c r="Q58" s="287">
        <f t="shared" si="56"/>
        <v>0</v>
      </c>
      <c r="R58" s="287">
        <f t="shared" si="56"/>
        <v>0</v>
      </c>
      <c r="S58" s="287">
        <f t="shared" si="56"/>
        <v>0</v>
      </c>
      <c r="T58" s="287">
        <f t="shared" si="56"/>
        <v>0</v>
      </c>
      <c r="U58" s="287">
        <f t="shared" si="56"/>
        <v>0</v>
      </c>
      <c r="V58" s="287">
        <f t="shared" si="56"/>
        <v>0</v>
      </c>
      <c r="W58" s="287">
        <f t="shared" si="56"/>
        <v>0</v>
      </c>
      <c r="X58" s="287">
        <f t="shared" si="56"/>
        <v>0</v>
      </c>
      <c r="Y58" s="287">
        <f t="shared" si="56"/>
        <v>0</v>
      </c>
      <c r="Z58" s="287">
        <f t="shared" si="56"/>
        <v>0</v>
      </c>
      <c r="AA58" s="287">
        <f t="shared" si="56"/>
        <v>0</v>
      </c>
      <c r="AB58" s="287">
        <f t="shared" si="56"/>
        <v>0</v>
      </c>
      <c r="AC58" s="287">
        <f t="shared" si="56"/>
        <v>0</v>
      </c>
      <c r="AD58" s="287">
        <f t="shared" si="56"/>
        <v>0</v>
      </c>
      <c r="AE58" s="287">
        <f t="shared" si="56"/>
        <v>0</v>
      </c>
      <c r="AF58" s="288"/>
    </row>
    <row r="59" spans="1:32" ht="31.5" x14ac:dyDescent="0.25">
      <c r="A59" s="304" t="s">
        <v>63</v>
      </c>
      <c r="B59" s="284">
        <f>B60+B61+B63</f>
        <v>272126.603</v>
      </c>
      <c r="C59" s="284">
        <f t="shared" ref="C59:E59" si="58">C60+C61+C63</f>
        <v>33401.334999999999</v>
      </c>
      <c r="D59" s="284">
        <f t="shared" si="58"/>
        <v>0</v>
      </c>
      <c r="E59" s="284">
        <f t="shared" si="58"/>
        <v>0</v>
      </c>
      <c r="F59" s="284">
        <f t="shared" si="42"/>
        <v>0</v>
      </c>
      <c r="G59" s="284">
        <f>IFERROR(E59/C59*100,0)</f>
        <v>0</v>
      </c>
      <c r="H59" s="284">
        <f>H60+H61+H63</f>
        <v>0</v>
      </c>
      <c r="I59" s="284">
        <f t="shared" ref="I59:AE59" si="59">I60+I61+I63</f>
        <v>0</v>
      </c>
      <c r="J59" s="284">
        <f t="shared" si="59"/>
        <v>2609.3220000000001</v>
      </c>
      <c r="K59" s="284">
        <f t="shared" si="59"/>
        <v>0</v>
      </c>
      <c r="L59" s="284">
        <f t="shared" si="59"/>
        <v>30792.012999999999</v>
      </c>
      <c r="M59" s="284">
        <f t="shared" si="59"/>
        <v>0</v>
      </c>
      <c r="N59" s="284">
        <f t="shared" si="59"/>
        <v>0</v>
      </c>
      <c r="O59" s="284">
        <f t="shared" si="59"/>
        <v>0</v>
      </c>
      <c r="P59" s="284">
        <f t="shared" si="59"/>
        <v>0</v>
      </c>
      <c r="Q59" s="284">
        <f t="shared" si="59"/>
        <v>0</v>
      </c>
      <c r="R59" s="284">
        <f t="shared" si="59"/>
        <v>1739.548</v>
      </c>
      <c r="S59" s="284">
        <f t="shared" si="59"/>
        <v>0</v>
      </c>
      <c r="T59" s="284">
        <f t="shared" si="59"/>
        <v>0</v>
      </c>
      <c r="U59" s="284">
        <f t="shared" si="59"/>
        <v>0</v>
      </c>
      <c r="V59" s="284">
        <f t="shared" si="59"/>
        <v>0</v>
      </c>
      <c r="W59" s="284">
        <f t="shared" si="59"/>
        <v>0</v>
      </c>
      <c r="X59" s="284">
        <f t="shared" si="59"/>
        <v>0</v>
      </c>
      <c r="Y59" s="284">
        <f t="shared" si="59"/>
        <v>0</v>
      </c>
      <c r="Z59" s="284">
        <f t="shared" si="59"/>
        <v>0</v>
      </c>
      <c r="AA59" s="284">
        <f t="shared" si="59"/>
        <v>0</v>
      </c>
      <c r="AB59" s="284">
        <f t="shared" si="59"/>
        <v>2992.4</v>
      </c>
      <c r="AC59" s="284">
        <f t="shared" si="59"/>
        <v>0</v>
      </c>
      <c r="AD59" s="284">
        <f t="shared" si="59"/>
        <v>233993.32</v>
      </c>
      <c r="AE59" s="284">
        <f t="shared" si="59"/>
        <v>0</v>
      </c>
      <c r="AF59" s="285"/>
    </row>
    <row r="60" spans="1:32" ht="15.75" x14ac:dyDescent="0.25">
      <c r="A60" s="305" t="s">
        <v>32</v>
      </c>
      <c r="B60" s="287">
        <f>B55+B35</f>
        <v>46392.4</v>
      </c>
      <c r="C60" s="287">
        <f t="shared" ref="C60:AE60" si="60">C55+C35</f>
        <v>0</v>
      </c>
      <c r="D60" s="287">
        <f>D55+D35</f>
        <v>0</v>
      </c>
      <c r="E60" s="287">
        <f t="shared" si="60"/>
        <v>0</v>
      </c>
      <c r="F60" s="287">
        <f t="shared" si="42"/>
        <v>0</v>
      </c>
      <c r="G60" s="287">
        <f t="shared" si="38"/>
        <v>0</v>
      </c>
      <c r="H60" s="287">
        <f t="shared" si="60"/>
        <v>0</v>
      </c>
      <c r="I60" s="287">
        <f t="shared" si="60"/>
        <v>0</v>
      </c>
      <c r="J60" s="287">
        <f t="shared" si="60"/>
        <v>0</v>
      </c>
      <c r="K60" s="287">
        <f t="shared" si="60"/>
        <v>0</v>
      </c>
      <c r="L60" s="287">
        <f t="shared" si="60"/>
        <v>0</v>
      </c>
      <c r="M60" s="287">
        <f t="shared" si="60"/>
        <v>0</v>
      </c>
      <c r="N60" s="287">
        <f t="shared" si="60"/>
        <v>0</v>
      </c>
      <c r="O60" s="287">
        <f t="shared" si="60"/>
        <v>0</v>
      </c>
      <c r="P60" s="287">
        <f t="shared" si="60"/>
        <v>0</v>
      </c>
      <c r="Q60" s="287">
        <f t="shared" si="60"/>
        <v>0</v>
      </c>
      <c r="R60" s="287">
        <f t="shared" si="60"/>
        <v>0</v>
      </c>
      <c r="S60" s="287">
        <f t="shared" si="60"/>
        <v>0</v>
      </c>
      <c r="T60" s="287">
        <f t="shared" si="60"/>
        <v>0</v>
      </c>
      <c r="U60" s="287">
        <f t="shared" si="60"/>
        <v>0</v>
      </c>
      <c r="V60" s="287">
        <f t="shared" si="60"/>
        <v>0</v>
      </c>
      <c r="W60" s="287">
        <f t="shared" si="60"/>
        <v>0</v>
      </c>
      <c r="X60" s="287">
        <f t="shared" si="60"/>
        <v>0</v>
      </c>
      <c r="Y60" s="287">
        <f t="shared" si="60"/>
        <v>0</v>
      </c>
      <c r="Z60" s="287">
        <f t="shared" si="60"/>
        <v>0</v>
      </c>
      <c r="AA60" s="287">
        <f t="shared" si="60"/>
        <v>0</v>
      </c>
      <c r="AB60" s="287">
        <f t="shared" si="60"/>
        <v>0</v>
      </c>
      <c r="AC60" s="287">
        <f t="shared" si="60"/>
        <v>0</v>
      </c>
      <c r="AD60" s="287">
        <f t="shared" si="60"/>
        <v>46392.4</v>
      </c>
      <c r="AE60" s="287">
        <f t="shared" si="60"/>
        <v>0</v>
      </c>
      <c r="AF60" s="288"/>
    </row>
    <row r="61" spans="1:32" ht="15.75" x14ac:dyDescent="0.25">
      <c r="A61" s="305" t="s">
        <v>33</v>
      </c>
      <c r="B61" s="287">
        <f>B56+B36+B18</f>
        <v>225734.20300000001</v>
      </c>
      <c r="C61" s="287">
        <f>C56+C36+C18</f>
        <v>33401.334999999999</v>
      </c>
      <c r="D61" s="287">
        <f>D56+D36+D18</f>
        <v>0</v>
      </c>
      <c r="E61" s="287">
        <f>E56+E36+E18</f>
        <v>0</v>
      </c>
      <c r="F61" s="287">
        <f t="shared" si="42"/>
        <v>0</v>
      </c>
      <c r="G61" s="287">
        <f t="shared" si="38"/>
        <v>0</v>
      </c>
      <c r="H61" s="287">
        <f t="shared" ref="H61" si="61">H56+H36+H18</f>
        <v>0</v>
      </c>
      <c r="I61" s="287">
        <f>I56+I36+I18</f>
        <v>0</v>
      </c>
      <c r="J61" s="287">
        <f t="shared" ref="J61:AE61" si="62">J56+J36+J18</f>
        <v>2609.3220000000001</v>
      </c>
      <c r="K61" s="287">
        <f t="shared" si="62"/>
        <v>0</v>
      </c>
      <c r="L61" s="287">
        <f t="shared" si="62"/>
        <v>30792.012999999999</v>
      </c>
      <c r="M61" s="287">
        <f t="shared" si="62"/>
        <v>0</v>
      </c>
      <c r="N61" s="287">
        <f t="shared" si="62"/>
        <v>0</v>
      </c>
      <c r="O61" s="287">
        <f t="shared" si="62"/>
        <v>0</v>
      </c>
      <c r="P61" s="287">
        <f t="shared" si="62"/>
        <v>0</v>
      </c>
      <c r="Q61" s="287">
        <f t="shared" si="62"/>
        <v>0</v>
      </c>
      <c r="R61" s="287">
        <f t="shared" si="62"/>
        <v>1739.548</v>
      </c>
      <c r="S61" s="287">
        <f t="shared" si="62"/>
        <v>0</v>
      </c>
      <c r="T61" s="287">
        <f t="shared" si="62"/>
        <v>0</v>
      </c>
      <c r="U61" s="287">
        <f t="shared" si="62"/>
        <v>0</v>
      </c>
      <c r="V61" s="287">
        <f t="shared" si="62"/>
        <v>0</v>
      </c>
      <c r="W61" s="287">
        <f t="shared" si="62"/>
        <v>0</v>
      </c>
      <c r="X61" s="287">
        <f t="shared" si="62"/>
        <v>0</v>
      </c>
      <c r="Y61" s="287">
        <f t="shared" si="62"/>
        <v>0</v>
      </c>
      <c r="Z61" s="287">
        <f t="shared" si="62"/>
        <v>0</v>
      </c>
      <c r="AA61" s="287">
        <f t="shared" si="62"/>
        <v>0</v>
      </c>
      <c r="AB61" s="287">
        <f t="shared" si="62"/>
        <v>2992.4</v>
      </c>
      <c r="AC61" s="287">
        <f t="shared" si="62"/>
        <v>0</v>
      </c>
      <c r="AD61" s="287">
        <f t="shared" si="62"/>
        <v>187600.92</v>
      </c>
      <c r="AE61" s="287">
        <f t="shared" si="62"/>
        <v>0</v>
      </c>
      <c r="AF61" s="288"/>
    </row>
    <row r="62" spans="1:32" ht="31.5" x14ac:dyDescent="0.25">
      <c r="A62" s="298" t="s">
        <v>174</v>
      </c>
      <c r="B62" s="287">
        <f>B57+B37</f>
        <v>11598.1</v>
      </c>
      <c r="C62" s="287">
        <f t="shared" ref="C62:AE63" si="63">C57+C37</f>
        <v>0</v>
      </c>
      <c r="D62" s="287">
        <f t="shared" si="63"/>
        <v>0</v>
      </c>
      <c r="E62" s="287">
        <f t="shared" si="63"/>
        <v>0</v>
      </c>
      <c r="F62" s="287">
        <f>IFERROR(E62/B62*100,0)</f>
        <v>0</v>
      </c>
      <c r="G62" s="287">
        <f t="shared" si="38"/>
        <v>0</v>
      </c>
      <c r="H62" s="287">
        <f t="shared" si="63"/>
        <v>0</v>
      </c>
      <c r="I62" s="287">
        <f t="shared" si="63"/>
        <v>0</v>
      </c>
      <c r="J62" s="287">
        <f t="shared" si="63"/>
        <v>0</v>
      </c>
      <c r="K62" s="287">
        <f t="shared" si="63"/>
        <v>0</v>
      </c>
      <c r="L62" s="287">
        <f t="shared" si="63"/>
        <v>0</v>
      </c>
      <c r="M62" s="287">
        <f t="shared" si="63"/>
        <v>0</v>
      </c>
      <c r="N62" s="287">
        <f t="shared" si="63"/>
        <v>0</v>
      </c>
      <c r="O62" s="287">
        <f t="shared" si="63"/>
        <v>0</v>
      </c>
      <c r="P62" s="287">
        <f t="shared" si="63"/>
        <v>0</v>
      </c>
      <c r="Q62" s="287">
        <f t="shared" si="63"/>
        <v>0</v>
      </c>
      <c r="R62" s="287">
        <f t="shared" si="63"/>
        <v>0</v>
      </c>
      <c r="S62" s="287">
        <f t="shared" si="63"/>
        <v>0</v>
      </c>
      <c r="T62" s="287">
        <f t="shared" si="63"/>
        <v>0</v>
      </c>
      <c r="U62" s="287">
        <f t="shared" si="63"/>
        <v>0</v>
      </c>
      <c r="V62" s="287">
        <f t="shared" si="63"/>
        <v>0</v>
      </c>
      <c r="W62" s="287">
        <f t="shared" si="63"/>
        <v>0</v>
      </c>
      <c r="X62" s="287">
        <f t="shared" si="63"/>
        <v>0</v>
      </c>
      <c r="Y62" s="287">
        <f t="shared" si="63"/>
        <v>0</v>
      </c>
      <c r="Z62" s="287">
        <f t="shared" si="63"/>
        <v>0</v>
      </c>
      <c r="AA62" s="287">
        <f t="shared" si="63"/>
        <v>0</v>
      </c>
      <c r="AB62" s="287">
        <f t="shared" si="63"/>
        <v>0</v>
      </c>
      <c r="AC62" s="287">
        <f t="shared" si="63"/>
        <v>0</v>
      </c>
      <c r="AD62" s="287">
        <f t="shared" si="63"/>
        <v>11598.1</v>
      </c>
      <c r="AE62" s="287">
        <f t="shared" si="63"/>
        <v>0</v>
      </c>
      <c r="AF62" s="288"/>
    </row>
    <row r="63" spans="1:32" ht="31.5" x14ac:dyDescent="0.25">
      <c r="A63" s="286" t="s">
        <v>389</v>
      </c>
      <c r="B63" s="287">
        <f>B58+B38</f>
        <v>0</v>
      </c>
      <c r="C63" s="287">
        <f t="shared" si="63"/>
        <v>0</v>
      </c>
      <c r="D63" s="287">
        <f t="shared" si="63"/>
        <v>0</v>
      </c>
      <c r="E63" s="287">
        <f t="shared" si="63"/>
        <v>0</v>
      </c>
      <c r="F63" s="287">
        <f>IFERROR(E63/B63*100,0)</f>
        <v>0</v>
      </c>
      <c r="G63" s="287">
        <f t="shared" si="38"/>
        <v>0</v>
      </c>
      <c r="H63" s="287">
        <f t="shared" si="63"/>
        <v>0</v>
      </c>
      <c r="I63" s="287">
        <f t="shared" si="63"/>
        <v>0</v>
      </c>
      <c r="J63" s="287">
        <f t="shared" si="63"/>
        <v>0</v>
      </c>
      <c r="K63" s="287">
        <f t="shared" si="63"/>
        <v>0</v>
      </c>
      <c r="L63" s="287">
        <f t="shared" si="63"/>
        <v>0</v>
      </c>
      <c r="M63" s="287">
        <f t="shared" si="63"/>
        <v>0</v>
      </c>
      <c r="N63" s="287">
        <f t="shared" si="63"/>
        <v>0</v>
      </c>
      <c r="O63" s="287">
        <f t="shared" si="63"/>
        <v>0</v>
      </c>
      <c r="P63" s="287">
        <f t="shared" si="63"/>
        <v>0</v>
      </c>
      <c r="Q63" s="287">
        <f t="shared" si="63"/>
        <v>0</v>
      </c>
      <c r="R63" s="287">
        <f t="shared" si="63"/>
        <v>0</v>
      </c>
      <c r="S63" s="287">
        <f t="shared" si="63"/>
        <v>0</v>
      </c>
      <c r="T63" s="287">
        <f t="shared" si="63"/>
        <v>0</v>
      </c>
      <c r="U63" s="287">
        <f t="shared" si="63"/>
        <v>0</v>
      </c>
      <c r="V63" s="287">
        <f t="shared" si="63"/>
        <v>0</v>
      </c>
      <c r="W63" s="287">
        <f t="shared" si="63"/>
        <v>0</v>
      </c>
      <c r="X63" s="287">
        <f t="shared" si="63"/>
        <v>0</v>
      </c>
      <c r="Y63" s="287">
        <f t="shared" si="63"/>
        <v>0</v>
      </c>
      <c r="Z63" s="287">
        <f t="shared" si="63"/>
        <v>0</v>
      </c>
      <c r="AA63" s="287">
        <f t="shared" si="63"/>
        <v>0</v>
      </c>
      <c r="AB63" s="287">
        <f t="shared" si="63"/>
        <v>0</v>
      </c>
      <c r="AC63" s="287">
        <f t="shared" si="63"/>
        <v>0</v>
      </c>
      <c r="AD63" s="287">
        <f t="shared" si="63"/>
        <v>0</v>
      </c>
      <c r="AE63" s="287">
        <f t="shared" si="63"/>
        <v>0</v>
      </c>
      <c r="AF63" s="288"/>
    </row>
    <row r="64" spans="1:32" ht="15.75" x14ac:dyDescent="0.25">
      <c r="A64" s="994" t="s">
        <v>396</v>
      </c>
      <c r="B64" s="995"/>
      <c r="C64" s="995"/>
      <c r="D64" s="995"/>
      <c r="E64" s="995"/>
      <c r="F64" s="995"/>
      <c r="G64" s="995"/>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306"/>
    </row>
    <row r="65" spans="1:32" ht="15.75" x14ac:dyDescent="0.25">
      <c r="A65" s="283" t="s">
        <v>31</v>
      </c>
      <c r="B65" s="284">
        <f>B66+B67+B69</f>
        <v>272126.603</v>
      </c>
      <c r="C65" s="284">
        <f t="shared" ref="C65:E65" si="64">C66+C67+C69</f>
        <v>33401.334999999999</v>
      </c>
      <c r="D65" s="284">
        <f>D66+D67+D69</f>
        <v>0</v>
      </c>
      <c r="E65" s="284">
        <f t="shared" si="64"/>
        <v>0</v>
      </c>
      <c r="F65" s="284">
        <f>IFERROR(E65/B65*100,0)</f>
        <v>0</v>
      </c>
      <c r="G65" s="284">
        <f>IFERROR(F65/C65*100,0)</f>
        <v>0</v>
      </c>
      <c r="H65" s="284">
        <f>H66+H67+H69</f>
        <v>0</v>
      </c>
      <c r="I65" s="284">
        <f t="shared" ref="I65:AE65" si="65">I66+I67+I69</f>
        <v>0</v>
      </c>
      <c r="J65" s="284">
        <f t="shared" si="65"/>
        <v>2609.3220000000001</v>
      </c>
      <c r="K65" s="284">
        <f t="shared" si="65"/>
        <v>0</v>
      </c>
      <c r="L65" s="284">
        <f t="shared" si="65"/>
        <v>30792.012999999999</v>
      </c>
      <c r="M65" s="284">
        <f t="shared" si="65"/>
        <v>0</v>
      </c>
      <c r="N65" s="284">
        <f t="shared" si="65"/>
        <v>0</v>
      </c>
      <c r="O65" s="284">
        <f t="shared" si="65"/>
        <v>0</v>
      </c>
      <c r="P65" s="284">
        <f t="shared" si="65"/>
        <v>0</v>
      </c>
      <c r="Q65" s="284">
        <f t="shared" si="65"/>
        <v>0</v>
      </c>
      <c r="R65" s="284">
        <f t="shared" si="65"/>
        <v>1739.548</v>
      </c>
      <c r="S65" s="284">
        <f t="shared" si="65"/>
        <v>0</v>
      </c>
      <c r="T65" s="284">
        <f t="shared" si="65"/>
        <v>0</v>
      </c>
      <c r="U65" s="284">
        <f t="shared" si="65"/>
        <v>0</v>
      </c>
      <c r="V65" s="284">
        <f t="shared" si="65"/>
        <v>0</v>
      </c>
      <c r="W65" s="284">
        <f t="shared" si="65"/>
        <v>0</v>
      </c>
      <c r="X65" s="284">
        <f t="shared" si="65"/>
        <v>0</v>
      </c>
      <c r="Y65" s="284">
        <f t="shared" si="65"/>
        <v>0</v>
      </c>
      <c r="Z65" s="284">
        <f t="shared" si="65"/>
        <v>0</v>
      </c>
      <c r="AA65" s="284">
        <f t="shared" si="65"/>
        <v>0</v>
      </c>
      <c r="AB65" s="284">
        <f t="shared" si="65"/>
        <v>2992.4</v>
      </c>
      <c r="AC65" s="284">
        <f t="shared" si="65"/>
        <v>0</v>
      </c>
      <c r="AD65" s="284">
        <f t="shared" si="65"/>
        <v>233993.32</v>
      </c>
      <c r="AE65" s="284">
        <f t="shared" si="65"/>
        <v>0</v>
      </c>
      <c r="AF65" s="307"/>
    </row>
    <row r="66" spans="1:32" ht="15.75" x14ac:dyDescent="0.25">
      <c r="A66" s="305" t="s">
        <v>32</v>
      </c>
      <c r="B66" s="287">
        <f>H66+J66+L66+N66+P66+R66+T66+V66+X66+Z66+AB66+AD66</f>
        <v>46392.4</v>
      </c>
      <c r="C66" s="287">
        <f>H66+J66+L66</f>
        <v>0</v>
      </c>
      <c r="D66" s="287">
        <f>E66</f>
        <v>0</v>
      </c>
      <c r="E66" s="287">
        <f>I66+K66+M66+O66+Q66+S66+U66+W66+Y66+AA66+AC66+AE66</f>
        <v>0</v>
      </c>
      <c r="F66" s="287">
        <f t="shared" ref="F66:G69" si="66">IFERROR(E66/B66*100,0)</f>
        <v>0</v>
      </c>
      <c r="G66" s="287">
        <f t="shared" si="66"/>
        <v>0</v>
      </c>
      <c r="H66" s="287">
        <f>H60</f>
        <v>0</v>
      </c>
      <c r="I66" s="287">
        <f t="shared" ref="I66:AE69" si="67">I60</f>
        <v>0</v>
      </c>
      <c r="J66" s="287">
        <f t="shared" si="67"/>
        <v>0</v>
      </c>
      <c r="K66" s="287">
        <f t="shared" si="67"/>
        <v>0</v>
      </c>
      <c r="L66" s="287">
        <f t="shared" si="67"/>
        <v>0</v>
      </c>
      <c r="M66" s="287">
        <f t="shared" si="67"/>
        <v>0</v>
      </c>
      <c r="N66" s="287">
        <f t="shared" si="67"/>
        <v>0</v>
      </c>
      <c r="O66" s="287">
        <f t="shared" si="67"/>
        <v>0</v>
      </c>
      <c r="P66" s="287">
        <f t="shared" si="67"/>
        <v>0</v>
      </c>
      <c r="Q66" s="287">
        <f t="shared" si="67"/>
        <v>0</v>
      </c>
      <c r="R66" s="287">
        <f t="shared" si="67"/>
        <v>0</v>
      </c>
      <c r="S66" s="287">
        <f t="shared" si="67"/>
        <v>0</v>
      </c>
      <c r="T66" s="287">
        <f t="shared" si="67"/>
        <v>0</v>
      </c>
      <c r="U66" s="287">
        <f t="shared" si="67"/>
        <v>0</v>
      </c>
      <c r="V66" s="287">
        <f t="shared" si="67"/>
        <v>0</v>
      </c>
      <c r="W66" s="287">
        <f t="shared" si="67"/>
        <v>0</v>
      </c>
      <c r="X66" s="287">
        <f t="shared" si="67"/>
        <v>0</v>
      </c>
      <c r="Y66" s="287">
        <f t="shared" si="67"/>
        <v>0</v>
      </c>
      <c r="Z66" s="287">
        <f t="shared" si="67"/>
        <v>0</v>
      </c>
      <c r="AA66" s="287">
        <f t="shared" si="67"/>
        <v>0</v>
      </c>
      <c r="AB66" s="287">
        <f t="shared" si="67"/>
        <v>0</v>
      </c>
      <c r="AC66" s="287">
        <f t="shared" si="67"/>
        <v>0</v>
      </c>
      <c r="AD66" s="287">
        <f t="shared" si="67"/>
        <v>46392.4</v>
      </c>
      <c r="AE66" s="287">
        <f t="shared" si="67"/>
        <v>0</v>
      </c>
      <c r="AF66" s="308"/>
    </row>
    <row r="67" spans="1:32" ht="15.75" x14ac:dyDescent="0.25">
      <c r="A67" s="305" t="s">
        <v>33</v>
      </c>
      <c r="B67" s="287">
        <f t="shared" ref="B67:B69" si="68">H67+J67+L67+N67+P67+R67+T67+V67+X67+Z67+AB67+AD67</f>
        <v>225734.20300000001</v>
      </c>
      <c r="C67" s="287">
        <f>H67+J67+L67</f>
        <v>33401.334999999999</v>
      </c>
      <c r="D67" s="287">
        <f>E67</f>
        <v>0</v>
      </c>
      <c r="E67" s="287">
        <f t="shared" ref="E67:E69" si="69">I67+K67+M67+O67+Q67+S67+U67+W67+Y67+AA67+AC67+AE67</f>
        <v>0</v>
      </c>
      <c r="F67" s="287">
        <f t="shared" si="66"/>
        <v>0</v>
      </c>
      <c r="G67" s="287">
        <f t="shared" si="66"/>
        <v>0</v>
      </c>
      <c r="H67" s="287">
        <f t="shared" ref="H67:W69" si="70">H61</f>
        <v>0</v>
      </c>
      <c r="I67" s="287">
        <f t="shared" si="70"/>
        <v>0</v>
      </c>
      <c r="J67" s="287">
        <f t="shared" si="70"/>
        <v>2609.3220000000001</v>
      </c>
      <c r="K67" s="287">
        <f t="shared" si="70"/>
        <v>0</v>
      </c>
      <c r="L67" s="287">
        <f t="shared" si="70"/>
        <v>30792.012999999999</v>
      </c>
      <c r="M67" s="287">
        <f t="shared" si="70"/>
        <v>0</v>
      </c>
      <c r="N67" s="287">
        <f t="shared" si="70"/>
        <v>0</v>
      </c>
      <c r="O67" s="287">
        <f t="shared" si="70"/>
        <v>0</v>
      </c>
      <c r="P67" s="287">
        <f t="shared" si="70"/>
        <v>0</v>
      </c>
      <c r="Q67" s="287">
        <f t="shared" si="70"/>
        <v>0</v>
      </c>
      <c r="R67" s="287">
        <f t="shared" si="70"/>
        <v>1739.548</v>
      </c>
      <c r="S67" s="287">
        <f t="shared" si="70"/>
        <v>0</v>
      </c>
      <c r="T67" s="287">
        <f t="shared" si="70"/>
        <v>0</v>
      </c>
      <c r="U67" s="287">
        <f t="shared" si="70"/>
        <v>0</v>
      </c>
      <c r="V67" s="287">
        <f t="shared" si="70"/>
        <v>0</v>
      </c>
      <c r="W67" s="287">
        <f t="shared" si="70"/>
        <v>0</v>
      </c>
      <c r="X67" s="287">
        <f t="shared" si="67"/>
        <v>0</v>
      </c>
      <c r="Y67" s="287">
        <f t="shared" si="67"/>
        <v>0</v>
      </c>
      <c r="Z67" s="287">
        <f t="shared" si="67"/>
        <v>0</v>
      </c>
      <c r="AA67" s="287">
        <f t="shared" si="67"/>
        <v>0</v>
      </c>
      <c r="AB67" s="287">
        <f t="shared" si="67"/>
        <v>2992.4</v>
      </c>
      <c r="AC67" s="287">
        <f t="shared" si="67"/>
        <v>0</v>
      </c>
      <c r="AD67" s="287">
        <f t="shared" si="67"/>
        <v>187600.92</v>
      </c>
      <c r="AE67" s="287">
        <f t="shared" si="67"/>
        <v>0</v>
      </c>
      <c r="AF67" s="308"/>
    </row>
    <row r="68" spans="1:32" ht="31.5" x14ac:dyDescent="0.25">
      <c r="A68" s="298" t="s">
        <v>174</v>
      </c>
      <c r="B68" s="287">
        <f t="shared" si="68"/>
        <v>11598.1</v>
      </c>
      <c r="C68" s="287">
        <f t="shared" ref="C68:C69" si="71">H68+J68+L68</f>
        <v>0</v>
      </c>
      <c r="D68" s="287">
        <f t="shared" ref="D68:D69" si="72">E68</f>
        <v>0</v>
      </c>
      <c r="E68" s="287">
        <f t="shared" si="69"/>
        <v>0</v>
      </c>
      <c r="F68" s="287">
        <f t="shared" si="66"/>
        <v>0</v>
      </c>
      <c r="G68" s="287">
        <f t="shared" si="66"/>
        <v>0</v>
      </c>
      <c r="H68" s="287">
        <f t="shared" si="70"/>
        <v>0</v>
      </c>
      <c r="I68" s="287">
        <f t="shared" si="70"/>
        <v>0</v>
      </c>
      <c r="J68" s="287">
        <f t="shared" si="70"/>
        <v>0</v>
      </c>
      <c r="K68" s="287">
        <f t="shared" si="70"/>
        <v>0</v>
      </c>
      <c r="L68" s="287">
        <f t="shared" si="70"/>
        <v>0</v>
      </c>
      <c r="M68" s="287">
        <f t="shared" si="70"/>
        <v>0</v>
      </c>
      <c r="N68" s="287">
        <f t="shared" si="70"/>
        <v>0</v>
      </c>
      <c r="O68" s="287">
        <f t="shared" si="70"/>
        <v>0</v>
      </c>
      <c r="P68" s="287">
        <f t="shared" si="70"/>
        <v>0</v>
      </c>
      <c r="Q68" s="287">
        <f t="shared" si="70"/>
        <v>0</v>
      </c>
      <c r="R68" s="287">
        <f t="shared" si="70"/>
        <v>0</v>
      </c>
      <c r="S68" s="287">
        <f t="shared" si="70"/>
        <v>0</v>
      </c>
      <c r="T68" s="287">
        <f t="shared" si="70"/>
        <v>0</v>
      </c>
      <c r="U68" s="287">
        <f t="shared" si="70"/>
        <v>0</v>
      </c>
      <c r="V68" s="287">
        <f t="shared" si="70"/>
        <v>0</v>
      </c>
      <c r="W68" s="287">
        <f t="shared" si="70"/>
        <v>0</v>
      </c>
      <c r="X68" s="287">
        <f t="shared" si="67"/>
        <v>0</v>
      </c>
      <c r="Y68" s="287">
        <f t="shared" si="67"/>
        <v>0</v>
      </c>
      <c r="Z68" s="287">
        <f t="shared" si="67"/>
        <v>0</v>
      </c>
      <c r="AA68" s="287">
        <f t="shared" si="67"/>
        <v>0</v>
      </c>
      <c r="AB68" s="287">
        <f t="shared" si="67"/>
        <v>0</v>
      </c>
      <c r="AC68" s="287">
        <f t="shared" si="67"/>
        <v>0</v>
      </c>
      <c r="AD68" s="287">
        <f t="shared" si="67"/>
        <v>11598.1</v>
      </c>
      <c r="AE68" s="287">
        <f t="shared" si="67"/>
        <v>0</v>
      </c>
      <c r="AF68" s="308"/>
    </row>
    <row r="69" spans="1:32" ht="31.5" x14ac:dyDescent="0.25">
      <c r="A69" s="286" t="s">
        <v>389</v>
      </c>
      <c r="B69" s="287">
        <f t="shared" si="68"/>
        <v>0</v>
      </c>
      <c r="C69" s="287">
        <f t="shared" si="71"/>
        <v>0</v>
      </c>
      <c r="D69" s="287">
        <f t="shared" si="72"/>
        <v>0</v>
      </c>
      <c r="E69" s="287">
        <f t="shared" si="69"/>
        <v>0</v>
      </c>
      <c r="F69" s="287">
        <f t="shared" si="66"/>
        <v>0</v>
      </c>
      <c r="G69" s="287">
        <f t="shared" si="66"/>
        <v>0</v>
      </c>
      <c r="H69" s="287">
        <f t="shared" si="70"/>
        <v>0</v>
      </c>
      <c r="I69" s="287">
        <f t="shared" si="70"/>
        <v>0</v>
      </c>
      <c r="J69" s="287">
        <f t="shared" si="70"/>
        <v>0</v>
      </c>
      <c r="K69" s="287">
        <f t="shared" si="70"/>
        <v>0</v>
      </c>
      <c r="L69" s="287">
        <f t="shared" si="70"/>
        <v>0</v>
      </c>
      <c r="M69" s="287">
        <f t="shared" si="70"/>
        <v>0</v>
      </c>
      <c r="N69" s="287">
        <f t="shared" si="70"/>
        <v>0</v>
      </c>
      <c r="O69" s="287">
        <f t="shared" si="70"/>
        <v>0</v>
      </c>
      <c r="P69" s="287">
        <f t="shared" si="70"/>
        <v>0</v>
      </c>
      <c r="Q69" s="287">
        <f t="shared" si="70"/>
        <v>0</v>
      </c>
      <c r="R69" s="287">
        <f t="shared" si="70"/>
        <v>0</v>
      </c>
      <c r="S69" s="287">
        <f t="shared" si="70"/>
        <v>0</v>
      </c>
      <c r="T69" s="287">
        <f t="shared" si="70"/>
        <v>0</v>
      </c>
      <c r="U69" s="287">
        <f t="shared" si="70"/>
        <v>0</v>
      </c>
      <c r="V69" s="287">
        <f t="shared" si="70"/>
        <v>0</v>
      </c>
      <c r="W69" s="287">
        <f t="shared" si="70"/>
        <v>0</v>
      </c>
      <c r="X69" s="287">
        <f t="shared" si="67"/>
        <v>0</v>
      </c>
      <c r="Y69" s="287">
        <f t="shared" si="67"/>
        <v>0</v>
      </c>
      <c r="Z69" s="287">
        <f t="shared" si="67"/>
        <v>0</v>
      </c>
      <c r="AA69" s="287">
        <f t="shared" si="67"/>
        <v>0</v>
      </c>
      <c r="AB69" s="287">
        <f t="shared" si="67"/>
        <v>0</v>
      </c>
      <c r="AC69" s="287">
        <f t="shared" si="67"/>
        <v>0</v>
      </c>
      <c r="AD69" s="287">
        <f t="shared" si="67"/>
        <v>0</v>
      </c>
      <c r="AE69" s="287">
        <f t="shared" si="67"/>
        <v>0</v>
      </c>
      <c r="AF69" s="308"/>
    </row>
  </sheetData>
  <customSheetViews>
    <customSheetView guid="{533DC55B-6AD4-4674-9488-685EF2039F3E}" scale="75">
      <pane ySplit="4" topLeftCell="A44" activePane="bottomLeft" state="frozen"/>
      <selection pane="bottomLeft" activeCell="A47" sqref="A47"/>
      <pageMargins left="0.7" right="0.7" top="0.75" bottom="0.75" header="0.3" footer="0.3"/>
    </customSheetView>
    <customSheetView guid="{85F4575B-DBC5-482A-9916-255D8F0BC94E}" scale="75">
      <pane ySplit="4" topLeftCell="A44" activePane="bottomLeft" state="frozen"/>
      <selection pane="bottomLeft" activeCell="A47" sqref="A47"/>
      <pageMargins left="0.7" right="0.7" top="0.75" bottom="0.75" header="0.3" footer="0.3"/>
    </customSheetView>
    <customSheetView guid="{B1BF08D1-D416-4B47-ADD0-4F59132DC9E8}" scale="75">
      <pane ySplit="4" topLeftCell="A5" activePane="bottomLeft" state="frozen"/>
      <selection pane="bottomLeft" activeCell="D67" sqref="D67"/>
      <pageMargins left="0.7" right="0.7" top="0.75" bottom="0.75" header="0.3" footer="0.3"/>
    </customSheetView>
    <customSheetView guid="{4F41B9CC-959D-442C-80B0-1F0DB2C76D27}" scale="75">
      <pane ySplit="4" topLeftCell="A5" activePane="bottomLeft" state="frozen"/>
      <selection pane="bottomLeft" activeCell="D67" sqref="D67"/>
      <pageMargins left="0.7" right="0.7" top="0.75" bottom="0.75" header="0.3" footer="0.3"/>
    </customSheetView>
    <customSheetView guid="{602C8EDB-B9EF-4C85-B0D5-0558C3A0ABAB}" scale="75">
      <pane ySplit="4" topLeftCell="A5" activePane="bottomLeft" state="frozen"/>
      <selection pane="bottomLeft" activeCell="D67" sqref="D67"/>
      <pageMargins left="0.7" right="0.7" top="0.75" bottom="0.75" header="0.3" footer="0.3"/>
    </customSheetView>
    <customSheetView guid="{D01FA037-9AEC-4167-ADB8-2F327C01ECE6}" scale="75">
      <pane ySplit="4" topLeftCell="A5" activePane="bottomLeft" state="frozen"/>
      <selection pane="bottomLeft" activeCell="D67" sqref="D67"/>
      <pageMargins left="0.7" right="0.7" top="0.75" bottom="0.75" header="0.3" footer="0.3"/>
    </customSheetView>
    <customSheetView guid="{84867370-1F3E-4368-AF79-FBCE46FFFE92}" scale="75">
      <pane ySplit="4" topLeftCell="A5" activePane="bottomLeft" state="frozen"/>
      <selection pane="bottomLeft" activeCell="D67" sqref="D67"/>
      <pageMargins left="0.7" right="0.7" top="0.75" bottom="0.75" header="0.3" footer="0.3"/>
    </customSheetView>
    <customSheetView guid="{0C2B9C2A-7B94-41EF-A2E6-F8AC9A67DE25}" scale="75">
      <pane ySplit="4" topLeftCell="A5" activePane="bottomLeft" state="frozen"/>
      <selection pane="bottomLeft" activeCell="D67" sqref="D67"/>
      <pageMargins left="0.7" right="0.7" top="0.75" bottom="0.75" header="0.3" footer="0.3"/>
    </customSheetView>
    <customSheetView guid="{47B983AB-FE5F-4725-860C-A2F29420596D}" scale="80">
      <pane ySplit="4" topLeftCell="A50" activePane="bottomLeft" state="frozen"/>
      <selection pane="bottomLeft" activeCell="D68" sqref="D68"/>
      <pageMargins left="0.7" right="0.7" top="0.75" bottom="0.75" header="0.3" footer="0.3"/>
    </customSheetView>
    <customSheetView guid="{DAA8A688-7558-4B5B-8DBD-E2629BD9E9A8}" scale="80" topLeftCell="A34">
      <selection activeCell="R55" sqref="R55"/>
      <pageMargins left="0.7" right="0.7" top="0.75" bottom="0.75" header="0.3" footer="0.3"/>
      <pageSetup paperSize="9" orientation="portrait" r:id="rId1"/>
    </customSheetView>
    <customSheetView guid="{BCD82A82-B724-4763-8580-D765356E09BA}" scale="80">
      <selection sqref="A1:AD1"/>
      <pageMargins left="0.7" right="0.7" top="0.75" bottom="0.75" header="0.3" footer="0.3"/>
    </customSheetView>
    <customSheetView guid="{C236B307-BD63-48C4-A75F-B3F3717BF55C}" scale="80" topLeftCell="A55">
      <selection sqref="A1:AD1"/>
      <pageMargins left="0.7" right="0.7" top="0.75" bottom="0.75" header="0.3" footer="0.3"/>
    </customSheetView>
    <customSheetView guid="{87218168-6C8E-4D5B-A5E5-DCCC26803AA3}" scale="80" topLeftCell="A55">
      <selection sqref="A1:AD1"/>
      <pageMargins left="0.7" right="0.7" top="0.75" bottom="0.75" header="0.3" footer="0.3"/>
    </customSheetView>
    <customSheetView guid="{874882D1-E741-4CCA-BF0D-E72FA60B771D}" scale="80" topLeftCell="A37">
      <selection sqref="A1:AD1"/>
      <pageMargins left="0.7" right="0.7" top="0.75" bottom="0.75" header="0.3" footer="0.3"/>
    </customSheetView>
    <customSheetView guid="{B82BA08A-1A30-4F4D-A478-74A6BD09EA97}" scale="80" topLeftCell="A55">
      <selection sqref="A1:AD1"/>
      <pageMargins left="0.7" right="0.7" top="0.75" bottom="0.75" header="0.3" footer="0.3"/>
    </customSheetView>
    <customSheetView guid="{4D0DFB57-2CBA-42F2-9A97-C453A6851FBA}" scale="80">
      <pane ySplit="4" topLeftCell="A50" activePane="bottomLeft" state="frozen"/>
      <selection pane="bottomLeft" activeCell="D68" sqref="D68"/>
      <pageMargins left="0.7" right="0.7" top="0.75" bottom="0.75" header="0.3" footer="0.3"/>
    </customSheetView>
    <customSheetView guid="{770624BF-07F3-44B6-94C3-4CC447CDD45C}" scale="80">
      <pane ySplit="4" topLeftCell="A50" activePane="bottomLeft" state="frozen"/>
      <selection pane="bottomLeft" activeCell="D68" sqref="D68"/>
      <pageMargins left="0.7" right="0.7" top="0.75" bottom="0.75" header="0.3" footer="0.3"/>
    </customSheetView>
    <customSheetView guid="{E508E171-4ED9-4B07-84DF-DA28C60E1969}" scale="80">
      <pane ySplit="4" topLeftCell="A50" activePane="bottomLeft" state="frozen"/>
      <selection pane="bottomLeft" activeCell="D68" sqref="D68"/>
      <pageMargins left="0.7" right="0.7" top="0.75" bottom="0.75" header="0.3" footer="0.3"/>
    </customSheetView>
    <customSheetView guid="{74870EE6-26B9-40F7-9DC9-260EF16D8959}" scale="75">
      <pane ySplit="4" topLeftCell="A5" activePane="bottomLeft" state="frozen"/>
      <selection pane="bottomLeft" activeCell="D67" sqref="D67"/>
      <pageMargins left="0.7" right="0.7" top="0.75" bottom="0.75" header="0.3" footer="0.3"/>
    </customSheetView>
    <customSheetView guid="{009B3074-D8EC-4952-BF50-43CD64449612}" scale="75">
      <pane ySplit="4" topLeftCell="A5" activePane="bottomLeft" state="frozen"/>
      <selection pane="bottomLeft" activeCell="D67" sqref="D67"/>
      <pageMargins left="0.7" right="0.7" top="0.75" bottom="0.75" header="0.3" footer="0.3"/>
    </customSheetView>
    <customSheetView guid="{F679EF4A-C5FD-4B86-B87B-D85968E0F2CA}" scale="75">
      <pane ySplit="4" topLeftCell="A5" activePane="bottomLeft" state="frozen"/>
      <selection pane="bottomLeft" activeCell="D67" sqref="D67"/>
      <pageMargins left="0.7" right="0.7" top="0.75" bottom="0.75" header="0.3" footer="0.3"/>
    </customSheetView>
    <customSheetView guid="{959E901C-5DDE-42EE-AE94-AB8976B5E00B}" scale="75">
      <pane ySplit="4" topLeftCell="A5" activePane="bottomLeft" state="frozen"/>
      <selection pane="bottomLeft" activeCell="D67" sqref="D67"/>
      <pageMargins left="0.7" right="0.7" top="0.75" bottom="0.75" header="0.3" footer="0.3"/>
    </customSheetView>
    <customSheetView guid="{69DABE6F-6182-4403-A4A2-969F10F1C13A}" scale="75">
      <pane ySplit="4" topLeftCell="A44" activePane="bottomLeft" state="frozen"/>
      <selection pane="bottomLeft" activeCell="A47" sqref="A47"/>
      <pageMargins left="0.7" right="0.7" top="0.75" bottom="0.75" header="0.3" footer="0.3"/>
    </customSheetView>
    <customSheetView guid="{09C3E205-981E-4A4E-BE89-8B7044192060}" scale="75">
      <pane ySplit="4" topLeftCell="A44" activePane="bottomLeft" state="frozen"/>
      <selection pane="bottomLeft" activeCell="A47" sqref="A47"/>
      <pageMargins left="0.7" right="0.7" top="0.75" bottom="0.75" header="0.3" footer="0.3"/>
    </customSheetView>
    <customSheetView guid="{6A602CB8-B24C-4ED4-B378-B27354BE0A1A}" scale="75">
      <pane ySplit="4" topLeftCell="A44" activePane="bottomLeft" state="frozen"/>
      <selection pane="bottomLeft" activeCell="A47" sqref="A47"/>
      <pageMargins left="0.7" right="0.7" top="0.75" bottom="0.75" header="0.3" footer="0.3"/>
    </customSheetView>
    <customSheetView guid="{7C130984-112A-4861-AA43-E2940708E3DC}" scale="75" state="hidden">
      <pane ySplit="4" topLeftCell="A44" activePane="bottomLeft" state="frozen"/>
      <selection pane="bottomLeft" activeCell="A54" activeCellId="2" sqref="A17 A48 A54"/>
      <pageMargins left="0.7" right="0.7" top="0.75" bottom="0.75" header="0.3" footer="0.3"/>
    </customSheetView>
  </customSheetViews>
  <mergeCells count="28">
    <mergeCell ref="AF28:AF32"/>
    <mergeCell ref="A1:AD1"/>
    <mergeCell ref="A2:A3"/>
    <mergeCell ref="B2:B3"/>
    <mergeCell ref="C2:C3"/>
    <mergeCell ref="D2:D3"/>
    <mergeCell ref="E2:E3"/>
    <mergeCell ref="F2:G2"/>
    <mergeCell ref="H2:I2"/>
    <mergeCell ref="J2:K2"/>
    <mergeCell ref="L2:M2"/>
    <mergeCell ref="AF2:AF3"/>
    <mergeCell ref="A5:AD5"/>
    <mergeCell ref="A6:AE6"/>
    <mergeCell ref="N2:O2"/>
    <mergeCell ref="P2:Q2"/>
    <mergeCell ref="A40:AE40"/>
    <mergeCell ref="A64:AE64"/>
    <mergeCell ref="Z2:AA2"/>
    <mergeCell ref="AB2:AC2"/>
    <mergeCell ref="AD2:AE2"/>
    <mergeCell ref="A19:AD19"/>
    <mergeCell ref="A20:AE20"/>
    <mergeCell ref="R2:S2"/>
    <mergeCell ref="T2:U2"/>
    <mergeCell ref="V2:W2"/>
    <mergeCell ref="X2:Y2"/>
    <mergeCell ref="A39:AD39"/>
  </mergeCells>
  <hyperlinks>
    <hyperlink ref="A1:AD1" location="Оглавление!A1" display="Оглавление!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3"/>
  <sheetViews>
    <sheetView zoomScale="60" zoomScaleNormal="60" workbookViewId="0">
      <pane xSplit="1" ySplit="8" topLeftCell="B126" activePane="bottomRight" state="frozen"/>
      <selection activeCell="A54" activeCellId="2" sqref="A17 A48 A54"/>
      <selection pane="topRight" activeCell="A54" activeCellId="2" sqref="A17 A48 A54"/>
      <selection pane="bottomLeft" activeCell="A54" activeCellId="2" sqref="A17 A48 A54"/>
      <selection pane="bottomRight" activeCell="A54" activeCellId="2" sqref="A17 A48 A54"/>
    </sheetView>
  </sheetViews>
  <sheetFormatPr defaultColWidth="9.140625" defaultRowHeight="15.75" x14ac:dyDescent="0.25"/>
  <cols>
    <col min="1" max="1" width="35.85546875" style="310" customWidth="1"/>
    <col min="2" max="3" width="16" style="310" customWidth="1"/>
    <col min="4" max="4" width="17" style="310" customWidth="1"/>
    <col min="5" max="5" width="15.7109375" style="310" customWidth="1"/>
    <col min="6" max="6" width="13.42578125" style="310" customWidth="1"/>
    <col min="7" max="7" width="14.7109375" style="310" customWidth="1"/>
    <col min="8" max="23" width="13.42578125" style="310" customWidth="1"/>
    <col min="24" max="24" width="15.28515625" style="310" customWidth="1"/>
    <col min="25" max="25" width="13.42578125" style="310" customWidth="1"/>
    <col min="26" max="26" width="14.42578125" style="310" customWidth="1"/>
    <col min="27" max="31" width="13.42578125" style="310" customWidth="1"/>
    <col min="32" max="32" width="57.140625" style="310" customWidth="1"/>
    <col min="33" max="16384" width="9.140625" style="310"/>
  </cols>
  <sheetData>
    <row r="1" spans="1:32" ht="18.75" x14ac:dyDescent="0.25">
      <c r="A1" s="1036" t="s">
        <v>412</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309"/>
      <c r="AF1" s="309"/>
    </row>
    <row r="2" spans="1:32" x14ac:dyDescent="0.25">
      <c r="A2" s="311"/>
      <c r="B2" s="311"/>
      <c r="C2" s="311"/>
      <c r="D2" s="311"/>
      <c r="E2" s="311"/>
      <c r="F2" s="311"/>
      <c r="G2" s="311"/>
      <c r="H2" s="311"/>
      <c r="I2" s="309"/>
      <c r="J2" s="309"/>
      <c r="K2" s="309"/>
      <c r="L2" s="309"/>
      <c r="M2" s="309"/>
      <c r="N2" s="309"/>
      <c r="O2" s="309"/>
      <c r="P2" s="309"/>
      <c r="Q2" s="309"/>
      <c r="R2" s="309"/>
      <c r="S2" s="309"/>
      <c r="T2" s="309"/>
      <c r="U2" s="309"/>
      <c r="V2" s="309"/>
      <c r="W2" s="309"/>
      <c r="X2" s="309"/>
      <c r="Y2" s="309"/>
      <c r="Z2" s="309"/>
      <c r="AA2" s="309"/>
      <c r="AB2" s="309"/>
      <c r="AC2" s="309"/>
      <c r="AD2" s="309"/>
      <c r="AE2" s="309"/>
      <c r="AF2" s="309"/>
    </row>
    <row r="3" spans="1:32" ht="40.5" customHeight="1" x14ac:dyDescent="0.25">
      <c r="A3" s="1037" t="s">
        <v>398</v>
      </c>
      <c r="B3" s="1037" t="s">
        <v>399</v>
      </c>
      <c r="C3" s="1037" t="s">
        <v>516</v>
      </c>
      <c r="D3" s="1037" t="s">
        <v>517</v>
      </c>
      <c r="E3" s="1037" t="s">
        <v>518</v>
      </c>
      <c r="F3" s="1039" t="s">
        <v>400</v>
      </c>
      <c r="G3" s="1039"/>
      <c r="H3" s="1033" t="s">
        <v>7</v>
      </c>
      <c r="I3" s="1034"/>
      <c r="J3" s="1033" t="s">
        <v>8</v>
      </c>
      <c r="K3" s="1034"/>
      <c r="L3" s="1033" t="s">
        <v>9</v>
      </c>
      <c r="M3" s="1034"/>
      <c r="N3" s="1033" t="s">
        <v>10</v>
      </c>
      <c r="O3" s="1034"/>
      <c r="P3" s="1033" t="s">
        <v>11</v>
      </c>
      <c r="Q3" s="1034"/>
      <c r="R3" s="1033" t="s">
        <v>12</v>
      </c>
      <c r="S3" s="1034"/>
      <c r="T3" s="1033" t="s">
        <v>13</v>
      </c>
      <c r="U3" s="1034"/>
      <c r="V3" s="1033" t="s">
        <v>14</v>
      </c>
      <c r="W3" s="1034"/>
      <c r="X3" s="1033" t="s">
        <v>15</v>
      </c>
      <c r="Y3" s="1034"/>
      <c r="Z3" s="1033" t="s">
        <v>16</v>
      </c>
      <c r="AA3" s="1034"/>
      <c r="AB3" s="1033" t="s">
        <v>17</v>
      </c>
      <c r="AC3" s="1034"/>
      <c r="AD3" s="1035" t="s">
        <v>18</v>
      </c>
      <c r="AE3" s="1035"/>
      <c r="AF3" s="312" t="s">
        <v>19</v>
      </c>
    </row>
    <row r="4" spans="1:32" ht="51.75" customHeight="1" x14ac:dyDescent="0.25">
      <c r="A4" s="1038"/>
      <c r="B4" s="1038"/>
      <c r="C4" s="1038"/>
      <c r="D4" s="1038"/>
      <c r="E4" s="1038"/>
      <c r="F4" s="313" t="s">
        <v>401</v>
      </c>
      <c r="G4" s="313" t="s">
        <v>21</v>
      </c>
      <c r="H4" s="314" t="s">
        <v>165</v>
      </c>
      <c r="I4" s="314" t="s">
        <v>23</v>
      </c>
      <c r="J4" s="314" t="s">
        <v>165</v>
      </c>
      <c r="K4" s="315" t="s">
        <v>23</v>
      </c>
      <c r="L4" s="314" t="s">
        <v>165</v>
      </c>
      <c r="M4" s="314" t="s">
        <v>23</v>
      </c>
      <c r="N4" s="314" t="s">
        <v>165</v>
      </c>
      <c r="O4" s="314" t="s">
        <v>23</v>
      </c>
      <c r="P4" s="314" t="s">
        <v>165</v>
      </c>
      <c r="Q4" s="314" t="s">
        <v>23</v>
      </c>
      <c r="R4" s="314" t="s">
        <v>165</v>
      </c>
      <c r="S4" s="314" t="s">
        <v>23</v>
      </c>
      <c r="T4" s="314" t="s">
        <v>165</v>
      </c>
      <c r="U4" s="314" t="s">
        <v>23</v>
      </c>
      <c r="V4" s="314" t="s">
        <v>165</v>
      </c>
      <c r="W4" s="314" t="s">
        <v>23</v>
      </c>
      <c r="X4" s="314" t="s">
        <v>165</v>
      </c>
      <c r="Y4" s="314" t="s">
        <v>23</v>
      </c>
      <c r="Z4" s="314" t="s">
        <v>165</v>
      </c>
      <c r="AA4" s="314" t="s">
        <v>23</v>
      </c>
      <c r="AB4" s="314" t="s">
        <v>165</v>
      </c>
      <c r="AC4" s="314" t="s">
        <v>23</v>
      </c>
      <c r="AD4" s="314" t="s">
        <v>165</v>
      </c>
      <c r="AE4" s="314" t="s">
        <v>23</v>
      </c>
      <c r="AF4" s="316"/>
    </row>
    <row r="5" spans="1:32" x14ac:dyDescent="0.25">
      <c r="A5" s="312">
        <v>1</v>
      </c>
      <c r="B5" s="312">
        <v>2</v>
      </c>
      <c r="C5" s="312">
        <v>3</v>
      </c>
      <c r="D5" s="312">
        <v>4</v>
      </c>
      <c r="E5" s="312">
        <v>5</v>
      </c>
      <c r="F5" s="312">
        <v>6</v>
      </c>
      <c r="G5" s="312">
        <v>7</v>
      </c>
      <c r="H5" s="314">
        <v>8</v>
      </c>
      <c r="I5" s="314">
        <v>9</v>
      </c>
      <c r="J5" s="314">
        <v>10</v>
      </c>
      <c r="K5" s="314">
        <v>11</v>
      </c>
      <c r="L5" s="314">
        <v>12</v>
      </c>
      <c r="M5" s="314">
        <v>13</v>
      </c>
      <c r="N5" s="314">
        <v>14</v>
      </c>
      <c r="O5" s="314">
        <v>15</v>
      </c>
      <c r="P5" s="314">
        <v>16</v>
      </c>
      <c r="Q5" s="314">
        <v>17</v>
      </c>
      <c r="R5" s="314">
        <v>18</v>
      </c>
      <c r="S5" s="314">
        <v>19</v>
      </c>
      <c r="T5" s="314">
        <v>20</v>
      </c>
      <c r="U5" s="314">
        <v>21</v>
      </c>
      <c r="V5" s="314">
        <v>22</v>
      </c>
      <c r="W5" s="314">
        <v>23</v>
      </c>
      <c r="X5" s="314">
        <v>24</v>
      </c>
      <c r="Y5" s="314">
        <v>25</v>
      </c>
      <c r="Z5" s="314">
        <v>26</v>
      </c>
      <c r="AA5" s="314">
        <v>27</v>
      </c>
      <c r="AB5" s="314">
        <v>28</v>
      </c>
      <c r="AC5" s="314">
        <v>29</v>
      </c>
      <c r="AD5" s="314">
        <v>30</v>
      </c>
      <c r="AE5" s="314">
        <v>31</v>
      </c>
      <c r="AF5" s="314">
        <v>32</v>
      </c>
    </row>
    <row r="6" spans="1:32" x14ac:dyDescent="0.25">
      <c r="A6" s="1021" t="s">
        <v>413</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3"/>
      <c r="AF6" s="317"/>
    </row>
    <row r="7" spans="1:32" x14ac:dyDescent="0.25">
      <c r="A7" s="318" t="s">
        <v>54</v>
      </c>
      <c r="B7" s="319"/>
      <c r="C7" s="320"/>
      <c r="D7" s="320"/>
      <c r="E7" s="319"/>
      <c r="F7" s="321"/>
      <c r="G7" s="321"/>
      <c r="H7" s="322"/>
      <c r="I7" s="322"/>
      <c r="J7" s="322"/>
      <c r="K7" s="322"/>
      <c r="L7" s="322"/>
      <c r="M7" s="322"/>
      <c r="N7" s="322"/>
      <c r="O7" s="322"/>
      <c r="P7" s="322"/>
      <c r="Q7" s="322"/>
      <c r="R7" s="322"/>
      <c r="S7" s="322"/>
      <c r="T7" s="322"/>
      <c r="U7" s="322"/>
      <c r="V7" s="322"/>
      <c r="W7" s="323"/>
      <c r="X7" s="324"/>
      <c r="Y7" s="325"/>
      <c r="Z7" s="325"/>
      <c r="AA7" s="325"/>
      <c r="AB7" s="325"/>
      <c r="AC7" s="325"/>
      <c r="AD7" s="325"/>
      <c r="AE7" s="325"/>
      <c r="AF7" s="306"/>
    </row>
    <row r="8" spans="1:32" ht="86.25" customHeight="1" x14ac:dyDescent="0.25">
      <c r="A8" s="1009" t="s">
        <v>414</v>
      </c>
      <c r="B8" s="1010"/>
      <c r="C8" s="1010"/>
      <c r="D8" s="1010"/>
      <c r="E8" s="1010"/>
      <c r="F8" s="1010"/>
      <c r="G8" s="1010"/>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1"/>
      <c r="AF8" s="1024" t="s">
        <v>539</v>
      </c>
    </row>
    <row r="9" spans="1:32" x14ac:dyDescent="0.25">
      <c r="A9" s="326" t="s">
        <v>65</v>
      </c>
      <c r="B9" s="327">
        <f>B10</f>
        <v>39754.091999999997</v>
      </c>
      <c r="C9" s="327">
        <f t="shared" ref="C9:E9" si="0">C10</f>
        <v>9817.43</v>
      </c>
      <c r="D9" s="327">
        <f t="shared" si="0"/>
        <v>9817.43</v>
      </c>
      <c r="E9" s="327">
        <f t="shared" si="0"/>
        <v>9817.43</v>
      </c>
      <c r="F9" s="327">
        <f>E9/B9*100</f>
        <v>24.695394879098234</v>
      </c>
      <c r="G9" s="327">
        <f>E9/C9*100</f>
        <v>100</v>
      </c>
      <c r="H9" s="327">
        <f>H10</f>
        <v>3465.99</v>
      </c>
      <c r="I9" s="327">
        <f t="shared" ref="I9:AE9" si="1">I10</f>
        <v>3465.99</v>
      </c>
      <c r="J9" s="327">
        <f t="shared" si="1"/>
        <v>3281.82</v>
      </c>
      <c r="K9" s="327">
        <f t="shared" si="1"/>
        <v>3281.82</v>
      </c>
      <c r="L9" s="327">
        <f t="shared" si="1"/>
        <v>3069.62</v>
      </c>
      <c r="M9" s="327">
        <f t="shared" si="1"/>
        <v>3069.62</v>
      </c>
      <c r="N9" s="327">
        <f t="shared" si="1"/>
        <v>3281.8249999999998</v>
      </c>
      <c r="O9" s="327">
        <f t="shared" si="1"/>
        <v>0</v>
      </c>
      <c r="P9" s="327">
        <f t="shared" si="1"/>
        <v>3175.873</v>
      </c>
      <c r="Q9" s="327">
        <f t="shared" si="1"/>
        <v>0</v>
      </c>
      <c r="R9" s="327">
        <f t="shared" si="1"/>
        <v>3281.8249999999998</v>
      </c>
      <c r="S9" s="327">
        <f t="shared" si="1"/>
        <v>0</v>
      </c>
      <c r="T9" s="327">
        <f t="shared" si="1"/>
        <v>3421.8</v>
      </c>
      <c r="U9" s="327">
        <f t="shared" si="1"/>
        <v>0</v>
      </c>
      <c r="V9" s="327">
        <f t="shared" si="1"/>
        <v>3554.777</v>
      </c>
      <c r="W9" s="327">
        <f t="shared" si="1"/>
        <v>0</v>
      </c>
      <c r="X9" s="327">
        <f t="shared" si="1"/>
        <v>3527.212</v>
      </c>
      <c r="Y9" s="327">
        <f t="shared" si="1"/>
        <v>0</v>
      </c>
      <c r="Z9" s="327">
        <f t="shared" si="1"/>
        <v>3175.873</v>
      </c>
      <c r="AA9" s="327">
        <f t="shared" si="1"/>
        <v>0</v>
      </c>
      <c r="AB9" s="327">
        <f t="shared" si="1"/>
        <v>3281.8249999999998</v>
      </c>
      <c r="AC9" s="327">
        <f t="shared" si="1"/>
        <v>0</v>
      </c>
      <c r="AD9" s="327">
        <f t="shared" si="1"/>
        <v>3235.652</v>
      </c>
      <c r="AE9" s="327">
        <f t="shared" si="1"/>
        <v>0</v>
      </c>
      <c r="AF9" s="1019"/>
    </row>
    <row r="10" spans="1:32" x14ac:dyDescent="0.25">
      <c r="A10" s="329" t="s">
        <v>33</v>
      </c>
      <c r="B10" s="330">
        <f>B12</f>
        <v>39754.091999999997</v>
      </c>
      <c r="C10" s="330">
        <f>C12</f>
        <v>9817.43</v>
      </c>
      <c r="D10" s="330">
        <f>E10</f>
        <v>9817.43</v>
      </c>
      <c r="E10" s="330">
        <f>E12</f>
        <v>9817.43</v>
      </c>
      <c r="F10" s="330">
        <f>E10/B10*100</f>
        <v>24.695394879098234</v>
      </c>
      <c r="G10" s="330">
        <f>E10/C10*100</f>
        <v>100</v>
      </c>
      <c r="H10" s="331">
        <f>H12</f>
        <v>3465.99</v>
      </c>
      <c r="I10" s="331">
        <f t="shared" ref="I10:AE10" si="2">I12</f>
        <v>3465.99</v>
      </c>
      <c r="J10" s="331">
        <f t="shared" si="2"/>
        <v>3281.82</v>
      </c>
      <c r="K10" s="331">
        <f t="shared" si="2"/>
        <v>3281.82</v>
      </c>
      <c r="L10" s="331">
        <f t="shared" si="2"/>
        <v>3069.62</v>
      </c>
      <c r="M10" s="331">
        <f t="shared" si="2"/>
        <v>3069.62</v>
      </c>
      <c r="N10" s="331">
        <f t="shared" si="2"/>
        <v>3281.8249999999998</v>
      </c>
      <c r="O10" s="331">
        <f t="shared" si="2"/>
        <v>0</v>
      </c>
      <c r="P10" s="331">
        <f t="shared" si="2"/>
        <v>3175.873</v>
      </c>
      <c r="Q10" s="331">
        <f t="shared" si="2"/>
        <v>0</v>
      </c>
      <c r="R10" s="331">
        <f t="shared" si="2"/>
        <v>3281.8249999999998</v>
      </c>
      <c r="S10" s="331">
        <f t="shared" si="2"/>
        <v>0</v>
      </c>
      <c r="T10" s="331">
        <f t="shared" si="2"/>
        <v>3421.8</v>
      </c>
      <c r="U10" s="331">
        <f t="shared" si="2"/>
        <v>0</v>
      </c>
      <c r="V10" s="331">
        <f t="shared" si="2"/>
        <v>3554.777</v>
      </c>
      <c r="W10" s="331">
        <f t="shared" si="2"/>
        <v>0</v>
      </c>
      <c r="X10" s="331">
        <f t="shared" si="2"/>
        <v>3527.212</v>
      </c>
      <c r="Y10" s="331">
        <f t="shared" si="2"/>
        <v>0</v>
      </c>
      <c r="Z10" s="331">
        <f t="shared" si="2"/>
        <v>3175.873</v>
      </c>
      <c r="AA10" s="331">
        <f t="shared" si="2"/>
        <v>0</v>
      </c>
      <c r="AB10" s="331">
        <f t="shared" si="2"/>
        <v>3281.8249999999998</v>
      </c>
      <c r="AC10" s="331">
        <f t="shared" si="2"/>
        <v>0</v>
      </c>
      <c r="AD10" s="331">
        <f t="shared" si="2"/>
        <v>3235.652</v>
      </c>
      <c r="AE10" s="331">
        <f t="shared" si="2"/>
        <v>0</v>
      </c>
      <c r="AF10" s="1019"/>
    </row>
    <row r="11" spans="1:32" ht="32.25" customHeight="1" x14ac:dyDescent="0.25">
      <c r="A11" s="332" t="s">
        <v>53</v>
      </c>
      <c r="B11" s="616">
        <f>B12</f>
        <v>39754.091999999997</v>
      </c>
      <c r="C11" s="616">
        <f t="shared" ref="C11:E11" si="3">C12</f>
        <v>9817.43</v>
      </c>
      <c r="D11" s="616">
        <f t="shared" si="3"/>
        <v>9817.43</v>
      </c>
      <c r="E11" s="616">
        <f t="shared" si="3"/>
        <v>9817.43</v>
      </c>
      <c r="F11" s="333">
        <f>E11/B11*100</f>
        <v>24.695394879098234</v>
      </c>
      <c r="G11" s="333">
        <f>E11/C11*100</f>
        <v>100</v>
      </c>
      <c r="H11" s="333">
        <f>H12</f>
        <v>3465.99</v>
      </c>
      <c r="I11" s="333">
        <f t="shared" ref="I11:AE11" si="4">I12</f>
        <v>3465.99</v>
      </c>
      <c r="J11" s="333">
        <f t="shared" si="4"/>
        <v>3281.82</v>
      </c>
      <c r="K11" s="333">
        <f t="shared" si="4"/>
        <v>3281.82</v>
      </c>
      <c r="L11" s="333">
        <f t="shared" si="4"/>
        <v>3069.62</v>
      </c>
      <c r="M11" s="333">
        <f t="shared" si="4"/>
        <v>3069.62</v>
      </c>
      <c r="N11" s="333">
        <f t="shared" si="4"/>
        <v>3281.8249999999998</v>
      </c>
      <c r="O11" s="333">
        <f t="shared" si="4"/>
        <v>0</v>
      </c>
      <c r="P11" s="333">
        <f t="shared" si="4"/>
        <v>3175.873</v>
      </c>
      <c r="Q11" s="333">
        <f t="shared" si="4"/>
        <v>0</v>
      </c>
      <c r="R11" s="333">
        <f t="shared" si="4"/>
        <v>3281.8249999999998</v>
      </c>
      <c r="S11" s="333">
        <f t="shared" si="4"/>
        <v>0</v>
      </c>
      <c r="T11" s="333">
        <f t="shared" si="4"/>
        <v>3421.8</v>
      </c>
      <c r="U11" s="333">
        <f t="shared" si="4"/>
        <v>0</v>
      </c>
      <c r="V11" s="333">
        <f t="shared" si="4"/>
        <v>3554.777</v>
      </c>
      <c r="W11" s="333">
        <f t="shared" si="4"/>
        <v>0</v>
      </c>
      <c r="X11" s="333">
        <f t="shared" si="4"/>
        <v>3527.212</v>
      </c>
      <c r="Y11" s="333">
        <f t="shared" si="4"/>
        <v>0</v>
      </c>
      <c r="Z11" s="333">
        <f t="shared" si="4"/>
        <v>3175.873</v>
      </c>
      <c r="AA11" s="333">
        <f t="shared" si="4"/>
        <v>0</v>
      </c>
      <c r="AB11" s="333">
        <f t="shared" si="4"/>
        <v>3281.8249999999998</v>
      </c>
      <c r="AC11" s="333">
        <f t="shared" si="4"/>
        <v>0</v>
      </c>
      <c r="AD11" s="333">
        <f t="shared" si="4"/>
        <v>3235.652</v>
      </c>
      <c r="AE11" s="333">
        <f t="shared" si="4"/>
        <v>0</v>
      </c>
      <c r="AF11" s="1019"/>
    </row>
    <row r="12" spans="1:32" ht="32.25" customHeight="1" x14ac:dyDescent="0.25">
      <c r="A12" s="329" t="s">
        <v>93</v>
      </c>
      <c r="B12" s="330">
        <f>H12+J12+L12+N12+P12+R12+T12+V12+X12+Z12+AB12+AD12</f>
        <v>39754.091999999997</v>
      </c>
      <c r="C12" s="330">
        <f>H12+J12+L12</f>
        <v>9817.43</v>
      </c>
      <c r="D12" s="330">
        <f>E12</f>
        <v>9817.43</v>
      </c>
      <c r="E12" s="330">
        <f>I12+K12+M12+O12+Q12+S12+U12+W12+Y12+AA12+AC12+AE12</f>
        <v>9817.43</v>
      </c>
      <c r="F12" s="330">
        <f>E12/B12*100</f>
        <v>24.695394879098234</v>
      </c>
      <c r="G12" s="330">
        <f>E12/C12*100</f>
        <v>100</v>
      </c>
      <c r="H12" s="330">
        <v>3465.99</v>
      </c>
      <c r="I12" s="330">
        <v>3465.99</v>
      </c>
      <c r="J12" s="330">
        <v>3281.82</v>
      </c>
      <c r="K12" s="330">
        <v>3281.82</v>
      </c>
      <c r="L12" s="330">
        <v>3069.62</v>
      </c>
      <c r="M12" s="330">
        <v>3069.62</v>
      </c>
      <c r="N12" s="330">
        <v>3281.8249999999998</v>
      </c>
      <c r="O12" s="330"/>
      <c r="P12" s="330">
        <v>3175.873</v>
      </c>
      <c r="Q12" s="330"/>
      <c r="R12" s="330">
        <v>3281.8249999999998</v>
      </c>
      <c r="S12" s="330"/>
      <c r="T12" s="330">
        <v>3421.8</v>
      </c>
      <c r="U12" s="330"/>
      <c r="V12" s="330">
        <v>3554.777</v>
      </c>
      <c r="W12" s="330"/>
      <c r="X12" s="330">
        <v>3527.212</v>
      </c>
      <c r="Y12" s="330"/>
      <c r="Z12" s="330">
        <v>3175.873</v>
      </c>
      <c r="AA12" s="330"/>
      <c r="AB12" s="330">
        <v>3281.8249999999998</v>
      </c>
      <c r="AC12" s="330"/>
      <c r="AD12" s="330">
        <v>3235.652</v>
      </c>
      <c r="AE12" s="330"/>
      <c r="AF12" s="1019"/>
    </row>
    <row r="13" spans="1:32" x14ac:dyDescent="0.25">
      <c r="A13" s="1021" t="s">
        <v>415</v>
      </c>
      <c r="B13" s="1022"/>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3"/>
      <c r="AF13" s="316"/>
    </row>
    <row r="14" spans="1:32" x14ac:dyDescent="0.25">
      <c r="A14" s="318" t="s">
        <v>54</v>
      </c>
      <c r="B14" s="334"/>
      <c r="C14" s="334"/>
      <c r="D14" s="334"/>
      <c r="E14" s="334"/>
      <c r="F14" s="334"/>
      <c r="G14" s="334"/>
      <c r="H14" s="334"/>
      <c r="I14" s="334"/>
      <c r="J14" s="334"/>
      <c r="K14" s="334"/>
      <c r="L14" s="334"/>
      <c r="M14" s="334"/>
      <c r="N14" s="334"/>
      <c r="O14" s="334"/>
      <c r="P14" s="334"/>
      <c r="Q14" s="334"/>
      <c r="R14" s="334"/>
      <c r="S14" s="334"/>
      <c r="T14" s="334"/>
      <c r="U14" s="334"/>
      <c r="V14" s="334"/>
      <c r="W14" s="334"/>
      <c r="X14" s="335"/>
      <c r="Y14" s="325"/>
      <c r="Z14" s="325"/>
      <c r="AA14" s="325"/>
      <c r="AB14" s="325"/>
      <c r="AC14" s="325"/>
      <c r="AD14" s="325"/>
      <c r="AE14" s="325"/>
      <c r="AF14" s="336"/>
    </row>
    <row r="15" spans="1:32" x14ac:dyDescent="0.25">
      <c r="A15" s="1009" t="s">
        <v>416</v>
      </c>
      <c r="B15" s="1010"/>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1"/>
      <c r="AF15" s="336"/>
    </row>
    <row r="16" spans="1:32" x14ac:dyDescent="0.25">
      <c r="A16" s="337" t="s">
        <v>31</v>
      </c>
      <c r="B16" s="338">
        <f>B17+B18+B20</f>
        <v>604047.12400000007</v>
      </c>
      <c r="C16" s="660">
        <f t="shared" ref="C16:E16" si="5">C17+C18+C20</f>
        <v>4599.54</v>
      </c>
      <c r="D16" s="338">
        <f t="shared" si="5"/>
        <v>4599.54</v>
      </c>
      <c r="E16" s="338">
        <f t="shared" si="5"/>
        <v>4599.54</v>
      </c>
      <c r="F16" s="338">
        <f>IFERROR(E16/B16%,0)</f>
        <v>0.76145383650564313</v>
      </c>
      <c r="G16" s="338">
        <f>IFERROR(E16/C16%,0)</f>
        <v>100</v>
      </c>
      <c r="H16" s="338">
        <f>H17+H18+H20</f>
        <v>0</v>
      </c>
      <c r="I16" s="338">
        <f t="shared" ref="I16:AE16" si="6">I17+I18+I20</f>
        <v>0</v>
      </c>
      <c r="J16" s="338">
        <f t="shared" si="6"/>
        <v>4540.54</v>
      </c>
      <c r="K16" s="338">
        <f t="shared" si="6"/>
        <v>4540.54</v>
      </c>
      <c r="L16" s="338">
        <f t="shared" si="6"/>
        <v>59</v>
      </c>
      <c r="M16" s="338">
        <f t="shared" si="6"/>
        <v>59</v>
      </c>
      <c r="N16" s="338">
        <f t="shared" si="6"/>
        <v>0</v>
      </c>
      <c r="O16" s="338">
        <f t="shared" si="6"/>
        <v>0</v>
      </c>
      <c r="P16" s="338">
        <f t="shared" si="6"/>
        <v>0</v>
      </c>
      <c r="Q16" s="338">
        <f t="shared" si="6"/>
        <v>0</v>
      </c>
      <c r="R16" s="338">
        <f t="shared" si="6"/>
        <v>0</v>
      </c>
      <c r="S16" s="338">
        <f t="shared" si="6"/>
        <v>0</v>
      </c>
      <c r="T16" s="338">
        <f t="shared" si="6"/>
        <v>16837.739999999998</v>
      </c>
      <c r="U16" s="338">
        <f t="shared" si="6"/>
        <v>0</v>
      </c>
      <c r="V16" s="338">
        <f t="shared" si="6"/>
        <v>0</v>
      </c>
      <c r="W16" s="338">
        <f t="shared" si="6"/>
        <v>0</v>
      </c>
      <c r="X16" s="338">
        <f t="shared" si="6"/>
        <v>338588.25</v>
      </c>
      <c r="Y16" s="338">
        <f t="shared" si="6"/>
        <v>0</v>
      </c>
      <c r="Z16" s="338">
        <f t="shared" si="6"/>
        <v>187750.986</v>
      </c>
      <c r="AA16" s="338">
        <f t="shared" si="6"/>
        <v>0</v>
      </c>
      <c r="AB16" s="338">
        <f t="shared" si="6"/>
        <v>2393.7809999999999</v>
      </c>
      <c r="AC16" s="338">
        <f t="shared" si="6"/>
        <v>0</v>
      </c>
      <c r="AD16" s="338">
        <f t="shared" si="6"/>
        <v>53876.827000000005</v>
      </c>
      <c r="AE16" s="338">
        <f t="shared" si="6"/>
        <v>0</v>
      </c>
      <c r="AF16" s="1030"/>
    </row>
    <row r="17" spans="1:32" x14ac:dyDescent="0.25">
      <c r="A17" s="710" t="s">
        <v>32</v>
      </c>
      <c r="B17" s="330">
        <f>H17+J17+L17+N17+P17+R17+T17+V17+X17+Z17+AB17+AD17</f>
        <v>97889.347000000009</v>
      </c>
      <c r="C17" s="330">
        <f>C23+C29+C35</f>
        <v>0</v>
      </c>
      <c r="D17" s="330">
        <f>E17</f>
        <v>0</v>
      </c>
      <c r="E17" s="330">
        <f>I17+K17+M17+O17+Q17+S17+U17+W17+Y17+AA17+AC17+AE17</f>
        <v>0</v>
      </c>
      <c r="F17" s="339">
        <f>IFERROR(E17/B17%,0)</f>
        <v>0</v>
      </c>
      <c r="G17" s="339">
        <f>IFERROR(E17/C17%,0)</f>
        <v>0</v>
      </c>
      <c r="H17" s="330">
        <f t="shared" ref="H17:AE17" si="7">H23+H29+H35+H41+H47</f>
        <v>0</v>
      </c>
      <c r="I17" s="330">
        <f t="shared" si="7"/>
        <v>0</v>
      </c>
      <c r="J17" s="330">
        <f t="shared" si="7"/>
        <v>0</v>
      </c>
      <c r="K17" s="330">
        <f t="shared" si="7"/>
        <v>0</v>
      </c>
      <c r="L17" s="330">
        <f t="shared" si="7"/>
        <v>0</v>
      </c>
      <c r="M17" s="330">
        <f t="shared" si="7"/>
        <v>0</v>
      </c>
      <c r="N17" s="330">
        <f t="shared" si="7"/>
        <v>0</v>
      </c>
      <c r="O17" s="330">
        <f t="shared" si="7"/>
        <v>0</v>
      </c>
      <c r="P17" s="330">
        <f t="shared" si="7"/>
        <v>0</v>
      </c>
      <c r="Q17" s="330">
        <f t="shared" si="7"/>
        <v>0</v>
      </c>
      <c r="R17" s="330">
        <f t="shared" si="7"/>
        <v>0</v>
      </c>
      <c r="S17" s="330">
        <f t="shared" si="7"/>
        <v>0</v>
      </c>
      <c r="T17" s="330">
        <f t="shared" si="7"/>
        <v>5612.58</v>
      </c>
      <c r="U17" s="330">
        <f t="shared" si="7"/>
        <v>0</v>
      </c>
      <c r="V17" s="330">
        <f t="shared" si="7"/>
        <v>0</v>
      </c>
      <c r="W17" s="330">
        <f t="shared" si="7"/>
        <v>0</v>
      </c>
      <c r="X17" s="330">
        <f t="shared" si="7"/>
        <v>0</v>
      </c>
      <c r="Y17" s="330">
        <f t="shared" si="7"/>
        <v>0</v>
      </c>
      <c r="Z17" s="330">
        <f t="shared" si="7"/>
        <v>76501.275999999998</v>
      </c>
      <c r="AA17" s="330">
        <f t="shared" si="7"/>
        <v>0</v>
      </c>
      <c r="AB17" s="330">
        <f t="shared" si="7"/>
        <v>857.53099999999995</v>
      </c>
      <c r="AC17" s="330">
        <f t="shared" si="7"/>
        <v>0</v>
      </c>
      <c r="AD17" s="330">
        <f t="shared" si="7"/>
        <v>14917.96</v>
      </c>
      <c r="AE17" s="330">
        <f t="shared" si="7"/>
        <v>0</v>
      </c>
      <c r="AF17" s="1031"/>
    </row>
    <row r="18" spans="1:32" x14ac:dyDescent="0.25">
      <c r="A18" s="329" t="s">
        <v>33</v>
      </c>
      <c r="B18" s="330">
        <f>H18+J18+L18+N18+P18+R18+T18+V18+X18+Z18+AB18+AD18</f>
        <v>149550.01699999999</v>
      </c>
      <c r="C18" s="330">
        <f>C24+C30+C36+C42+C48</f>
        <v>4599.54</v>
      </c>
      <c r="D18" s="330">
        <f>E18</f>
        <v>4599.54</v>
      </c>
      <c r="E18" s="330">
        <f>I18+K18+M18+O18+Q18+S18+U18+W18+Y18+AA18+AC18+AE18</f>
        <v>4599.54</v>
      </c>
      <c r="F18" s="339">
        <f>IFERROR(E18/B18%,0)</f>
        <v>3.0755864106655366</v>
      </c>
      <c r="G18" s="339">
        <f>IFERROR(E18/C18%,0)</f>
        <v>100</v>
      </c>
      <c r="H18" s="330">
        <f t="shared" ref="H18:AE18" si="8">H24+H30+H36+H42+H48</f>
        <v>0</v>
      </c>
      <c r="I18" s="330">
        <f t="shared" si="8"/>
        <v>0</v>
      </c>
      <c r="J18" s="330">
        <f t="shared" si="8"/>
        <v>4540.54</v>
      </c>
      <c r="K18" s="330">
        <f t="shared" si="8"/>
        <v>4540.54</v>
      </c>
      <c r="L18" s="330">
        <f t="shared" si="8"/>
        <v>59</v>
      </c>
      <c r="M18" s="330">
        <f t="shared" si="8"/>
        <v>59</v>
      </c>
      <c r="N18" s="330">
        <f t="shared" si="8"/>
        <v>0</v>
      </c>
      <c r="O18" s="330">
        <f t="shared" si="8"/>
        <v>0</v>
      </c>
      <c r="P18" s="330">
        <f t="shared" si="8"/>
        <v>0</v>
      </c>
      <c r="Q18" s="330">
        <f t="shared" si="8"/>
        <v>0</v>
      </c>
      <c r="R18" s="330">
        <f t="shared" si="8"/>
        <v>0</v>
      </c>
      <c r="S18" s="330">
        <f t="shared" si="8"/>
        <v>0</v>
      </c>
      <c r="T18" s="330">
        <f t="shared" si="8"/>
        <v>0</v>
      </c>
      <c r="U18" s="330">
        <f t="shared" si="8"/>
        <v>0</v>
      </c>
      <c r="V18" s="330">
        <f t="shared" si="8"/>
        <v>0</v>
      </c>
      <c r="W18" s="330">
        <f t="shared" si="8"/>
        <v>0</v>
      </c>
      <c r="X18" s="330">
        <f t="shared" si="8"/>
        <v>112862.75</v>
      </c>
      <c r="Y18" s="330">
        <f t="shared" si="8"/>
        <v>0</v>
      </c>
      <c r="Z18" s="330">
        <f t="shared" si="8"/>
        <v>12584.960000000001</v>
      </c>
      <c r="AA18" s="330">
        <f t="shared" si="8"/>
        <v>0</v>
      </c>
      <c r="AB18" s="330">
        <f t="shared" si="8"/>
        <v>388.9</v>
      </c>
      <c r="AC18" s="330">
        <f t="shared" si="8"/>
        <v>0</v>
      </c>
      <c r="AD18" s="330">
        <f t="shared" si="8"/>
        <v>19113.867000000002</v>
      </c>
      <c r="AE18" s="330">
        <f t="shared" si="8"/>
        <v>0</v>
      </c>
      <c r="AF18" s="1031"/>
    </row>
    <row r="19" spans="1:32" ht="31.5" x14ac:dyDescent="0.25">
      <c r="A19" s="341" t="s">
        <v>174</v>
      </c>
      <c r="B19" s="330">
        <f t="shared" ref="B19:B20" si="9">H19+J19+L19+N19+P19+R19+T19+V19+X19+Z19+AB19+AD19</f>
        <v>0</v>
      </c>
      <c r="C19" s="330">
        <f>C25+C31+C37</f>
        <v>0</v>
      </c>
      <c r="D19" s="330">
        <f t="shared" ref="D19:D20" si="10">E19</f>
        <v>0</v>
      </c>
      <c r="E19" s="330">
        <f t="shared" ref="E19:E20" si="11">I19+K19+M19+O19+Q19+S19+U19+W19+Y19+AA19+AC19+AE19</f>
        <v>0</v>
      </c>
      <c r="F19" s="339">
        <f t="shared" ref="F19:F20" si="12">IFERROR(E19/B19%,0)</f>
        <v>0</v>
      </c>
      <c r="G19" s="339">
        <f t="shared" ref="G19:G20" si="13">IFERROR(E19/C19%,0)</f>
        <v>0</v>
      </c>
      <c r="H19" s="330">
        <f t="shared" ref="H19:AE19" si="14">H25+H31+H37+H43+H49</f>
        <v>0</v>
      </c>
      <c r="I19" s="330">
        <f t="shared" si="14"/>
        <v>0</v>
      </c>
      <c r="J19" s="330">
        <f t="shared" si="14"/>
        <v>0</v>
      </c>
      <c r="K19" s="330">
        <f t="shared" si="14"/>
        <v>0</v>
      </c>
      <c r="L19" s="330">
        <f t="shared" si="14"/>
        <v>0</v>
      </c>
      <c r="M19" s="330">
        <f t="shared" si="14"/>
        <v>0</v>
      </c>
      <c r="N19" s="330">
        <f t="shared" si="14"/>
        <v>0</v>
      </c>
      <c r="O19" s="330">
        <f t="shared" si="14"/>
        <v>0</v>
      </c>
      <c r="P19" s="330">
        <f t="shared" si="14"/>
        <v>0</v>
      </c>
      <c r="Q19" s="330">
        <f t="shared" si="14"/>
        <v>0</v>
      </c>
      <c r="R19" s="330">
        <f t="shared" si="14"/>
        <v>0</v>
      </c>
      <c r="S19" s="330">
        <f t="shared" si="14"/>
        <v>0</v>
      </c>
      <c r="T19" s="330">
        <f t="shared" si="14"/>
        <v>0</v>
      </c>
      <c r="U19" s="330">
        <f t="shared" si="14"/>
        <v>0</v>
      </c>
      <c r="V19" s="330">
        <f t="shared" si="14"/>
        <v>0</v>
      </c>
      <c r="W19" s="330">
        <f t="shared" si="14"/>
        <v>0</v>
      </c>
      <c r="X19" s="330">
        <f t="shared" si="14"/>
        <v>0</v>
      </c>
      <c r="Y19" s="330">
        <f t="shared" si="14"/>
        <v>0</v>
      </c>
      <c r="Z19" s="330">
        <f t="shared" si="14"/>
        <v>0</v>
      </c>
      <c r="AA19" s="330">
        <f t="shared" si="14"/>
        <v>0</v>
      </c>
      <c r="AB19" s="330">
        <f t="shared" si="14"/>
        <v>0</v>
      </c>
      <c r="AC19" s="330">
        <f t="shared" si="14"/>
        <v>0</v>
      </c>
      <c r="AD19" s="330">
        <f t="shared" si="14"/>
        <v>0</v>
      </c>
      <c r="AE19" s="330">
        <f t="shared" si="14"/>
        <v>0</v>
      </c>
      <c r="AF19" s="1031"/>
    </row>
    <row r="20" spans="1:32" x14ac:dyDescent="0.25">
      <c r="A20" s="329" t="s">
        <v>389</v>
      </c>
      <c r="B20" s="330">
        <f t="shared" si="9"/>
        <v>356607.76</v>
      </c>
      <c r="C20" s="330">
        <f>C26+C32+C38</f>
        <v>0</v>
      </c>
      <c r="D20" s="330">
        <f t="shared" si="10"/>
        <v>0</v>
      </c>
      <c r="E20" s="330">
        <f t="shared" si="11"/>
        <v>0</v>
      </c>
      <c r="F20" s="339">
        <f t="shared" si="12"/>
        <v>0</v>
      </c>
      <c r="G20" s="339">
        <f t="shared" si="13"/>
        <v>0</v>
      </c>
      <c r="H20" s="330">
        <f t="shared" ref="H20:AE20" si="15">H26+H32+H38+H44+H50</f>
        <v>0</v>
      </c>
      <c r="I20" s="330">
        <f t="shared" si="15"/>
        <v>0</v>
      </c>
      <c r="J20" s="330">
        <f t="shared" si="15"/>
        <v>0</v>
      </c>
      <c r="K20" s="330">
        <f t="shared" si="15"/>
        <v>0</v>
      </c>
      <c r="L20" s="330">
        <f t="shared" si="15"/>
        <v>0</v>
      </c>
      <c r="M20" s="330">
        <f t="shared" si="15"/>
        <v>0</v>
      </c>
      <c r="N20" s="330">
        <f t="shared" si="15"/>
        <v>0</v>
      </c>
      <c r="O20" s="330">
        <f t="shared" si="15"/>
        <v>0</v>
      </c>
      <c r="P20" s="330">
        <f t="shared" si="15"/>
        <v>0</v>
      </c>
      <c r="Q20" s="330">
        <f t="shared" si="15"/>
        <v>0</v>
      </c>
      <c r="R20" s="330">
        <f t="shared" si="15"/>
        <v>0</v>
      </c>
      <c r="S20" s="330">
        <f t="shared" si="15"/>
        <v>0</v>
      </c>
      <c r="T20" s="330">
        <f t="shared" si="15"/>
        <v>11225.16</v>
      </c>
      <c r="U20" s="330">
        <f t="shared" si="15"/>
        <v>0</v>
      </c>
      <c r="V20" s="330">
        <f t="shared" si="15"/>
        <v>0</v>
      </c>
      <c r="W20" s="330">
        <f t="shared" si="15"/>
        <v>0</v>
      </c>
      <c r="X20" s="330">
        <f t="shared" si="15"/>
        <v>225725.5</v>
      </c>
      <c r="Y20" s="330">
        <f t="shared" si="15"/>
        <v>0</v>
      </c>
      <c r="Z20" s="330">
        <f t="shared" si="15"/>
        <v>98664.75</v>
      </c>
      <c r="AA20" s="330">
        <f t="shared" si="15"/>
        <v>0</v>
      </c>
      <c r="AB20" s="330">
        <f t="shared" si="15"/>
        <v>1147.3499999999999</v>
      </c>
      <c r="AC20" s="330">
        <f t="shared" si="15"/>
        <v>0</v>
      </c>
      <c r="AD20" s="330">
        <f t="shared" si="15"/>
        <v>19845</v>
      </c>
      <c r="AE20" s="330">
        <f t="shared" si="15"/>
        <v>0</v>
      </c>
      <c r="AF20" s="1032"/>
    </row>
    <row r="21" spans="1:32" ht="24" customHeight="1" x14ac:dyDescent="0.25">
      <c r="A21" s="1015" t="s">
        <v>417</v>
      </c>
      <c r="B21" s="1016"/>
      <c r="C21" s="1016"/>
      <c r="D21" s="1016"/>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7"/>
      <c r="AF21" s="342"/>
    </row>
    <row r="22" spans="1:32" x14ac:dyDescent="0.25">
      <c r="A22" s="337" t="s">
        <v>31</v>
      </c>
      <c r="B22" s="338">
        <f>B23+B24+B26</f>
        <v>121037.5</v>
      </c>
      <c r="C22" s="338">
        <f t="shared" ref="C22:E22" si="16">C23+C24+C26</f>
        <v>59</v>
      </c>
      <c r="D22" s="338">
        <f t="shared" si="16"/>
        <v>59</v>
      </c>
      <c r="E22" s="338">
        <f t="shared" si="16"/>
        <v>59</v>
      </c>
      <c r="F22" s="338">
        <f>IFERROR(E22/B22%,0)</f>
        <v>4.8745223587731076E-2</v>
      </c>
      <c r="G22" s="338">
        <f>IFERROR(E22/C22%,0)</f>
        <v>100</v>
      </c>
      <c r="H22" s="338">
        <f>H23+H24+H26</f>
        <v>0</v>
      </c>
      <c r="I22" s="338">
        <f t="shared" ref="I22:AE22" si="17">I23+I24+I26</f>
        <v>0</v>
      </c>
      <c r="J22" s="338">
        <f t="shared" si="17"/>
        <v>0</v>
      </c>
      <c r="K22" s="338">
        <f t="shared" si="17"/>
        <v>0</v>
      </c>
      <c r="L22" s="338">
        <f t="shared" si="17"/>
        <v>59</v>
      </c>
      <c r="M22" s="338">
        <f t="shared" si="17"/>
        <v>59</v>
      </c>
      <c r="N22" s="338">
        <f t="shared" si="17"/>
        <v>0</v>
      </c>
      <c r="O22" s="338">
        <f t="shared" si="17"/>
        <v>0</v>
      </c>
      <c r="P22" s="338">
        <f t="shared" si="17"/>
        <v>0</v>
      </c>
      <c r="Q22" s="338">
        <f t="shared" si="17"/>
        <v>0</v>
      </c>
      <c r="R22" s="338">
        <f t="shared" si="17"/>
        <v>0</v>
      </c>
      <c r="S22" s="338">
        <f t="shared" si="17"/>
        <v>0</v>
      </c>
      <c r="T22" s="338">
        <f t="shared" si="17"/>
        <v>0</v>
      </c>
      <c r="U22" s="338">
        <f t="shared" si="17"/>
        <v>0</v>
      </c>
      <c r="V22" s="338">
        <f t="shared" si="17"/>
        <v>0</v>
      </c>
      <c r="W22" s="338">
        <f t="shared" si="17"/>
        <v>0</v>
      </c>
      <c r="X22" s="338">
        <f t="shared" si="17"/>
        <v>0</v>
      </c>
      <c r="Y22" s="338">
        <f t="shared" si="17"/>
        <v>0</v>
      </c>
      <c r="Z22" s="338">
        <f t="shared" si="17"/>
        <v>120978.5</v>
      </c>
      <c r="AA22" s="338">
        <f t="shared" si="17"/>
        <v>0</v>
      </c>
      <c r="AB22" s="338">
        <f t="shared" si="17"/>
        <v>0</v>
      </c>
      <c r="AC22" s="338">
        <f t="shared" si="17"/>
        <v>0</v>
      </c>
      <c r="AD22" s="338">
        <f t="shared" si="17"/>
        <v>0</v>
      </c>
      <c r="AE22" s="338">
        <f t="shared" si="17"/>
        <v>0</v>
      </c>
      <c r="AF22" s="1024" t="s">
        <v>499</v>
      </c>
    </row>
    <row r="23" spans="1:32" ht="69" customHeight="1" x14ac:dyDescent="0.25">
      <c r="A23" s="709" t="s">
        <v>32</v>
      </c>
      <c r="B23" s="331">
        <f>H23+J23+L23+N23+P23+R23+T23+V23+X23+Z23+AB23+AD23</f>
        <v>54338.400000000001</v>
      </c>
      <c r="C23" s="331">
        <f>H23+J23+L23</f>
        <v>0</v>
      </c>
      <c r="D23" s="331">
        <f t="shared" ref="D23:D24" si="18">E23</f>
        <v>0</v>
      </c>
      <c r="E23" s="331">
        <f t="shared" ref="E23:E24" si="19">I23+K23+M23+O23+Q23+S23+U23+W23+Y23+AA23+AC23+AE23</f>
        <v>0</v>
      </c>
      <c r="F23" s="331">
        <f t="shared" ref="F23:F26" si="20">IFERROR(E23/B23%,0)</f>
        <v>0</v>
      </c>
      <c r="G23" s="331">
        <f t="shared" ref="G23:G26" si="21">IFERROR(E23/C23%,0)</f>
        <v>0</v>
      </c>
      <c r="H23" s="330"/>
      <c r="I23" s="330"/>
      <c r="J23" s="330"/>
      <c r="K23" s="330"/>
      <c r="L23" s="330"/>
      <c r="M23" s="330"/>
      <c r="N23" s="330"/>
      <c r="O23" s="330"/>
      <c r="P23" s="330"/>
      <c r="Q23" s="330"/>
      <c r="R23" s="330"/>
      <c r="S23" s="330"/>
      <c r="T23" s="330"/>
      <c r="U23" s="330"/>
      <c r="V23" s="330"/>
      <c r="W23" s="330"/>
      <c r="X23" s="330"/>
      <c r="Y23" s="330"/>
      <c r="Z23" s="330">
        <v>54338.400000000001</v>
      </c>
      <c r="AA23" s="330"/>
      <c r="AB23" s="330"/>
      <c r="AC23" s="330"/>
      <c r="AD23" s="330"/>
      <c r="AE23" s="330"/>
      <c r="AF23" s="1019"/>
    </row>
    <row r="24" spans="1:32" ht="69.75" customHeight="1" x14ac:dyDescent="0.25">
      <c r="A24" s="329" t="s">
        <v>33</v>
      </c>
      <c r="B24" s="331">
        <f>H24+J24+L24+N24+P24+R24+T24+V24+X24+Z24+AB24+AD24</f>
        <v>12360.1</v>
      </c>
      <c r="C24" s="331">
        <f t="shared" ref="C24:C26" si="22">H24+J24+L24</f>
        <v>59</v>
      </c>
      <c r="D24" s="331">
        <f t="shared" si="18"/>
        <v>59</v>
      </c>
      <c r="E24" s="331">
        <f t="shared" si="19"/>
        <v>59</v>
      </c>
      <c r="F24" s="331">
        <f t="shared" si="20"/>
        <v>0.47734241632349256</v>
      </c>
      <c r="G24" s="331">
        <f t="shared" si="21"/>
        <v>100</v>
      </c>
      <c r="H24" s="330"/>
      <c r="I24" s="330"/>
      <c r="J24" s="330"/>
      <c r="K24" s="330"/>
      <c r="L24" s="330">
        <v>59</v>
      </c>
      <c r="M24" s="330">
        <v>59</v>
      </c>
      <c r="N24" s="330"/>
      <c r="O24" s="330"/>
      <c r="P24" s="330"/>
      <c r="Q24" s="330"/>
      <c r="R24" s="330"/>
      <c r="S24" s="330"/>
      <c r="T24" s="330"/>
      <c r="U24" s="330"/>
      <c r="V24" s="330"/>
      <c r="W24" s="330"/>
      <c r="X24" s="330"/>
      <c r="Y24" s="330"/>
      <c r="Z24" s="330">
        <v>12301.1</v>
      </c>
      <c r="AA24" s="330"/>
      <c r="AB24" s="330"/>
      <c r="AC24" s="330"/>
      <c r="AD24" s="330"/>
      <c r="AE24" s="330"/>
      <c r="AF24" s="1019"/>
    </row>
    <row r="25" spans="1:32" ht="37.5" customHeight="1" x14ac:dyDescent="0.25">
      <c r="A25" s="343" t="s">
        <v>174</v>
      </c>
      <c r="B25" s="331"/>
      <c r="C25" s="331"/>
      <c r="D25" s="331"/>
      <c r="E25" s="331"/>
      <c r="F25" s="331"/>
      <c r="G25" s="331"/>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1019"/>
    </row>
    <row r="26" spans="1:32" ht="39.75" customHeight="1" x14ac:dyDescent="0.25">
      <c r="A26" s="329" t="s">
        <v>389</v>
      </c>
      <c r="B26" s="331">
        <f t="shared" ref="B26" si="23">H26+J26+L26+N26+P26+R26+T26+V26+X26+Z26+AB26+AD26</f>
        <v>54339</v>
      </c>
      <c r="C26" s="331">
        <f t="shared" si="22"/>
        <v>0</v>
      </c>
      <c r="D26" s="331">
        <f>E26</f>
        <v>0</v>
      </c>
      <c r="E26" s="331">
        <f>I26+K26+M26+O26+Q26+S26+U26+W26+Y26+AA26+AC26+AE26</f>
        <v>0</v>
      </c>
      <c r="F26" s="331">
        <f t="shared" si="20"/>
        <v>0</v>
      </c>
      <c r="G26" s="331">
        <f t="shared" si="21"/>
        <v>0</v>
      </c>
      <c r="H26" s="330"/>
      <c r="I26" s="330"/>
      <c r="J26" s="330"/>
      <c r="K26" s="330"/>
      <c r="L26" s="330"/>
      <c r="M26" s="330"/>
      <c r="N26" s="330"/>
      <c r="O26" s="330"/>
      <c r="P26" s="330"/>
      <c r="Q26" s="330"/>
      <c r="R26" s="330"/>
      <c r="S26" s="330"/>
      <c r="T26" s="330"/>
      <c r="U26" s="330"/>
      <c r="V26" s="330"/>
      <c r="W26" s="330"/>
      <c r="X26" s="330"/>
      <c r="Y26" s="330"/>
      <c r="Z26" s="330">
        <v>54339</v>
      </c>
      <c r="AA26" s="330"/>
      <c r="AB26" s="330"/>
      <c r="AC26" s="330"/>
      <c r="AD26" s="330"/>
      <c r="AE26" s="330"/>
      <c r="AF26" s="1020"/>
    </row>
    <row r="27" spans="1:32" x14ac:dyDescent="0.25">
      <c r="A27" s="1015" t="s">
        <v>418</v>
      </c>
      <c r="B27" s="1016"/>
      <c r="C27" s="1016"/>
      <c r="D27" s="1016"/>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16"/>
      <c r="AB27" s="1016"/>
      <c r="AC27" s="1016"/>
      <c r="AD27" s="1016"/>
      <c r="AE27" s="1017"/>
      <c r="AF27" s="344"/>
    </row>
    <row r="28" spans="1:32" x14ac:dyDescent="0.25">
      <c r="A28" s="337" t="s">
        <v>31</v>
      </c>
      <c r="B28" s="338">
        <f>B29+B30+B31+B32</f>
        <v>388.9</v>
      </c>
      <c r="C28" s="338">
        <f t="shared" ref="C28:E28" si="24">C29+C30+C31+C32</f>
        <v>0</v>
      </c>
      <c r="D28" s="338">
        <f t="shared" si="24"/>
        <v>0</v>
      </c>
      <c r="E28" s="338">
        <f t="shared" si="24"/>
        <v>0</v>
      </c>
      <c r="F28" s="338">
        <f>IFERROR(E28/B28%,0)</f>
        <v>0</v>
      </c>
      <c r="G28" s="338">
        <f>IFERROR(E28/C28%,0)</f>
        <v>0</v>
      </c>
      <c r="H28" s="338">
        <f>H29+H30+H32</f>
        <v>0</v>
      </c>
      <c r="I28" s="338">
        <f t="shared" ref="I28:AE28" si="25">I29+I30+I32</f>
        <v>0</v>
      </c>
      <c r="J28" s="338">
        <f t="shared" si="25"/>
        <v>0</v>
      </c>
      <c r="K28" s="338">
        <f t="shared" si="25"/>
        <v>0</v>
      </c>
      <c r="L28" s="338">
        <f t="shared" si="25"/>
        <v>0</v>
      </c>
      <c r="M28" s="338">
        <f t="shared" si="25"/>
        <v>0</v>
      </c>
      <c r="N28" s="338">
        <f t="shared" si="25"/>
        <v>0</v>
      </c>
      <c r="O28" s="338">
        <f t="shared" si="25"/>
        <v>0</v>
      </c>
      <c r="P28" s="338">
        <f t="shared" si="25"/>
        <v>0</v>
      </c>
      <c r="Q28" s="338">
        <f t="shared" si="25"/>
        <v>0</v>
      </c>
      <c r="R28" s="338">
        <f t="shared" si="25"/>
        <v>0</v>
      </c>
      <c r="S28" s="338">
        <f t="shared" si="25"/>
        <v>0</v>
      </c>
      <c r="T28" s="338">
        <f t="shared" si="25"/>
        <v>0</v>
      </c>
      <c r="U28" s="338">
        <f t="shared" si="25"/>
        <v>0</v>
      </c>
      <c r="V28" s="338">
        <f t="shared" si="25"/>
        <v>0</v>
      </c>
      <c r="W28" s="338">
        <f t="shared" si="25"/>
        <v>0</v>
      </c>
      <c r="X28" s="338">
        <f t="shared" si="25"/>
        <v>0</v>
      </c>
      <c r="Y28" s="338">
        <f t="shared" si="25"/>
        <v>0</v>
      </c>
      <c r="Z28" s="338">
        <f t="shared" si="25"/>
        <v>0</v>
      </c>
      <c r="AA28" s="338">
        <f t="shared" si="25"/>
        <v>0</v>
      </c>
      <c r="AB28" s="338">
        <f t="shared" si="25"/>
        <v>388.9</v>
      </c>
      <c r="AC28" s="338">
        <f t="shared" si="25"/>
        <v>0</v>
      </c>
      <c r="AD28" s="338">
        <f t="shared" si="25"/>
        <v>0</v>
      </c>
      <c r="AE28" s="338">
        <f t="shared" si="25"/>
        <v>0</v>
      </c>
      <c r="AF28" s="1024"/>
    </row>
    <row r="29" spans="1:32" x14ac:dyDescent="0.25">
      <c r="A29" s="329" t="s">
        <v>32</v>
      </c>
      <c r="B29" s="331"/>
      <c r="C29" s="330"/>
      <c r="D29" s="331"/>
      <c r="E29" s="331"/>
      <c r="F29" s="331"/>
      <c r="G29" s="331"/>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1019"/>
    </row>
    <row r="30" spans="1:32" x14ac:dyDescent="0.25">
      <c r="A30" s="329" t="s">
        <v>33</v>
      </c>
      <c r="B30" s="331">
        <f>H30+J30+L30+N30+P30+R30+T30+V30+X30+Z30+AB30+AD30</f>
        <v>388.9</v>
      </c>
      <c r="C30" s="330">
        <f>H30+J30+L30</f>
        <v>0</v>
      </c>
      <c r="D30" s="331">
        <f>E30</f>
        <v>0</v>
      </c>
      <c r="E30" s="331">
        <f>I30+K30+M30+O30+Q30+S30+U30+W30+Y30+AA30+AC30+AE30</f>
        <v>0</v>
      </c>
      <c r="F30" s="331">
        <f t="shared" ref="F30" si="26">IFERROR(E30/B30%,0)</f>
        <v>0</v>
      </c>
      <c r="G30" s="331">
        <f t="shared" ref="G30" si="27">IFERROR(E30/C30%,0)</f>
        <v>0</v>
      </c>
      <c r="H30" s="330"/>
      <c r="I30" s="330"/>
      <c r="J30" s="330"/>
      <c r="K30" s="330"/>
      <c r="L30" s="330"/>
      <c r="M30" s="330"/>
      <c r="N30" s="330"/>
      <c r="O30" s="330"/>
      <c r="P30" s="330"/>
      <c r="Q30" s="330"/>
      <c r="R30" s="330"/>
      <c r="S30" s="330"/>
      <c r="T30" s="330"/>
      <c r="U30" s="330"/>
      <c r="V30" s="330"/>
      <c r="W30" s="330"/>
      <c r="X30" s="330"/>
      <c r="Y30" s="330"/>
      <c r="Z30" s="330"/>
      <c r="AA30" s="330"/>
      <c r="AB30" s="330">
        <v>388.9</v>
      </c>
      <c r="AC30" s="330"/>
      <c r="AD30" s="330"/>
      <c r="AE30" s="330"/>
      <c r="AF30" s="1019"/>
    </row>
    <row r="31" spans="1:32" ht="31.5" x14ac:dyDescent="0.25">
      <c r="A31" s="343" t="s">
        <v>174</v>
      </c>
      <c r="B31" s="331"/>
      <c r="C31" s="330"/>
      <c r="D31" s="331"/>
      <c r="E31" s="331"/>
      <c r="F31" s="331"/>
      <c r="G31" s="331"/>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1019"/>
    </row>
    <row r="32" spans="1:32" x14ac:dyDescent="0.25">
      <c r="A32" s="329" t="s">
        <v>389</v>
      </c>
      <c r="B32" s="331"/>
      <c r="C32" s="330"/>
      <c r="D32" s="331"/>
      <c r="E32" s="331"/>
      <c r="F32" s="331"/>
      <c r="G32" s="331"/>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1020"/>
    </row>
    <row r="33" spans="1:32" x14ac:dyDescent="0.25">
      <c r="A33" s="1015" t="s">
        <v>489</v>
      </c>
      <c r="B33" s="1016"/>
      <c r="C33" s="1016"/>
      <c r="D33" s="1016"/>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7"/>
      <c r="AF33" s="328"/>
    </row>
    <row r="34" spans="1:32" ht="63.75" customHeight="1" x14ac:dyDescent="0.25">
      <c r="A34" s="329" t="s">
        <v>31</v>
      </c>
      <c r="B34" s="331">
        <f>B35+B36+B38</f>
        <v>476346.05700000003</v>
      </c>
      <c r="C34" s="331">
        <f t="shared" ref="C34:E34" si="28">C35+C36+C38</f>
        <v>0</v>
      </c>
      <c r="D34" s="331">
        <f t="shared" si="28"/>
        <v>0</v>
      </c>
      <c r="E34" s="331">
        <f t="shared" si="28"/>
        <v>0</v>
      </c>
      <c r="F34" s="331">
        <f>IFERROR(E34/B34%,0)</f>
        <v>0</v>
      </c>
      <c r="G34" s="331">
        <f>IFERROR(E34/C34%,0)</f>
        <v>0</v>
      </c>
      <c r="H34" s="331">
        <f>H35+H36+H38</f>
        <v>0</v>
      </c>
      <c r="I34" s="331">
        <f t="shared" ref="I34:AE34" si="29">I35+I36+I38</f>
        <v>0</v>
      </c>
      <c r="J34" s="331">
        <f t="shared" si="29"/>
        <v>0</v>
      </c>
      <c r="K34" s="331">
        <f t="shared" si="29"/>
        <v>0</v>
      </c>
      <c r="L34" s="331">
        <f t="shared" si="29"/>
        <v>0</v>
      </c>
      <c r="M34" s="331">
        <f t="shared" si="29"/>
        <v>0</v>
      </c>
      <c r="N34" s="331">
        <f t="shared" si="29"/>
        <v>0</v>
      </c>
      <c r="O34" s="331">
        <f t="shared" si="29"/>
        <v>0</v>
      </c>
      <c r="P34" s="331">
        <f t="shared" si="29"/>
        <v>0</v>
      </c>
      <c r="Q34" s="331">
        <f t="shared" si="29"/>
        <v>0</v>
      </c>
      <c r="R34" s="331">
        <f t="shared" si="29"/>
        <v>0</v>
      </c>
      <c r="S34" s="331">
        <f t="shared" si="29"/>
        <v>0</v>
      </c>
      <c r="T34" s="331">
        <f t="shared" si="29"/>
        <v>16837.739999999998</v>
      </c>
      <c r="U34" s="331">
        <f t="shared" si="29"/>
        <v>0</v>
      </c>
      <c r="V34" s="331">
        <f t="shared" si="29"/>
        <v>0</v>
      </c>
      <c r="W34" s="331">
        <f t="shared" si="29"/>
        <v>0</v>
      </c>
      <c r="X34" s="331">
        <f t="shared" si="29"/>
        <v>338588.25</v>
      </c>
      <c r="Y34" s="331">
        <f t="shared" si="29"/>
        <v>0</v>
      </c>
      <c r="Z34" s="331">
        <f t="shared" si="29"/>
        <v>66772.486000000004</v>
      </c>
      <c r="AA34" s="331">
        <f t="shared" si="29"/>
        <v>0</v>
      </c>
      <c r="AB34" s="331">
        <f t="shared" si="29"/>
        <v>2004.8809999999999</v>
      </c>
      <c r="AC34" s="331">
        <f t="shared" si="29"/>
        <v>0</v>
      </c>
      <c r="AD34" s="331">
        <f t="shared" si="29"/>
        <v>52142.7</v>
      </c>
      <c r="AE34" s="331">
        <f t="shared" si="29"/>
        <v>0</v>
      </c>
      <c r="AF34" s="1024" t="s">
        <v>500</v>
      </c>
    </row>
    <row r="35" spans="1:32" ht="80.25" customHeight="1" x14ac:dyDescent="0.25">
      <c r="A35" s="710" t="s">
        <v>32</v>
      </c>
      <c r="B35" s="331">
        <f>H35+J35+L35+N35+P35+R35+T35+V35+X35+Z35+AB35+AD35</f>
        <v>43550.947</v>
      </c>
      <c r="C35" s="330">
        <f>H35+J35+L35</f>
        <v>0</v>
      </c>
      <c r="D35" s="331">
        <f>E35</f>
        <v>0</v>
      </c>
      <c r="E35" s="331">
        <f>I35+K35+M35+O35+Q35+S35+U35+W35+Y35+AA35+AC35+AE35</f>
        <v>0</v>
      </c>
      <c r="F35" s="339">
        <f>IFERROR(E35/B35%,0)</f>
        <v>0</v>
      </c>
      <c r="G35" s="339">
        <f>IFERROR(E35/C35%,0)</f>
        <v>0</v>
      </c>
      <c r="H35" s="330"/>
      <c r="I35" s="330"/>
      <c r="J35" s="330"/>
      <c r="K35" s="330"/>
      <c r="L35" s="330"/>
      <c r="M35" s="330"/>
      <c r="N35" s="330"/>
      <c r="O35" s="330"/>
      <c r="P35" s="330"/>
      <c r="Q35" s="330"/>
      <c r="R35" s="330"/>
      <c r="S35" s="330"/>
      <c r="T35" s="330">
        <v>5612.58</v>
      </c>
      <c r="U35" s="330"/>
      <c r="V35" s="330"/>
      <c r="W35" s="330"/>
      <c r="X35" s="330"/>
      <c r="Y35" s="330"/>
      <c r="Z35" s="330">
        <v>22162.876</v>
      </c>
      <c r="AA35" s="330"/>
      <c r="AB35" s="330">
        <v>857.53099999999995</v>
      </c>
      <c r="AC35" s="330"/>
      <c r="AD35" s="330">
        <v>14917.96</v>
      </c>
      <c r="AE35" s="330"/>
      <c r="AF35" s="1019"/>
    </row>
    <row r="36" spans="1:32" ht="118.5" customHeight="1" x14ac:dyDescent="0.25">
      <c r="A36" s="329" t="s">
        <v>33</v>
      </c>
      <c r="B36" s="331">
        <f>H36+J36+L36+N36+P36+R36+T36+V36+X36+Z36+AB36+AD36</f>
        <v>130526.35</v>
      </c>
      <c r="C36" s="330">
        <f t="shared" ref="C36:C38" si="30">H36+J36+L36</f>
        <v>0</v>
      </c>
      <c r="D36" s="331">
        <f>E36</f>
        <v>0</v>
      </c>
      <c r="E36" s="331">
        <f>I36+K36+M36+O36+Q36+S36+U36+W36+Y36+AA36+AC36+AE36</f>
        <v>0</v>
      </c>
      <c r="F36" s="339">
        <f>IFERROR(E36/B36%,0)</f>
        <v>0</v>
      </c>
      <c r="G36" s="339">
        <f>IFERROR(E36/C36%,0)</f>
        <v>0</v>
      </c>
      <c r="H36" s="330"/>
      <c r="I36" s="330"/>
      <c r="J36" s="330"/>
      <c r="K36" s="330"/>
      <c r="L36" s="330"/>
      <c r="M36" s="330"/>
      <c r="N36" s="330"/>
      <c r="O36" s="330"/>
      <c r="P36" s="330"/>
      <c r="Q36" s="330"/>
      <c r="R36" s="330"/>
      <c r="S36" s="330"/>
      <c r="T36" s="330"/>
      <c r="U36" s="330"/>
      <c r="V36" s="330"/>
      <c r="W36" s="330"/>
      <c r="X36" s="330">
        <v>112862.75</v>
      </c>
      <c r="Y36" s="330"/>
      <c r="Z36" s="330">
        <v>283.86</v>
      </c>
      <c r="AA36" s="330"/>
      <c r="AB36" s="330"/>
      <c r="AC36" s="330"/>
      <c r="AD36" s="330">
        <v>17379.740000000002</v>
      </c>
      <c r="AE36" s="330"/>
      <c r="AF36" s="1019"/>
    </row>
    <row r="37" spans="1:32" ht="69.75" customHeight="1" x14ac:dyDescent="0.25">
      <c r="A37" s="711" t="s">
        <v>174</v>
      </c>
      <c r="B37" s="331"/>
      <c r="C37" s="330"/>
      <c r="D37" s="331"/>
      <c r="E37" s="331"/>
      <c r="F37" s="339"/>
      <c r="G37" s="339"/>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1019"/>
    </row>
    <row r="38" spans="1:32" ht="60" customHeight="1" x14ac:dyDescent="0.25">
      <c r="A38" s="710" t="s">
        <v>389</v>
      </c>
      <c r="B38" s="331">
        <f t="shared" ref="B38" si="31">H38+J38+L38+N38+P38+R38+T38+V38+X38+Z38+AB38+AD38</f>
        <v>302268.76</v>
      </c>
      <c r="C38" s="330">
        <f t="shared" si="30"/>
        <v>0</v>
      </c>
      <c r="D38" s="331">
        <f t="shared" ref="D38" si="32">E38</f>
        <v>0</v>
      </c>
      <c r="E38" s="331">
        <f t="shared" ref="E38" si="33">I38+K38+M38+O38+Q38+S38+U38+W38+Y38+AA38+AC38+AE38</f>
        <v>0</v>
      </c>
      <c r="F38" s="339">
        <f t="shared" ref="F38" si="34">IFERROR(E38/B38%,0)</f>
        <v>0</v>
      </c>
      <c r="G38" s="339">
        <f t="shared" ref="G38" si="35">IFERROR(E38/C38%,0)</f>
        <v>0</v>
      </c>
      <c r="H38" s="330"/>
      <c r="I38" s="330"/>
      <c r="J38" s="330"/>
      <c r="K38" s="330"/>
      <c r="L38" s="330"/>
      <c r="M38" s="330"/>
      <c r="N38" s="330"/>
      <c r="O38" s="330"/>
      <c r="P38" s="330"/>
      <c r="Q38" s="330"/>
      <c r="R38" s="330"/>
      <c r="S38" s="330"/>
      <c r="T38" s="330">
        <v>11225.16</v>
      </c>
      <c r="U38" s="330"/>
      <c r="V38" s="330"/>
      <c r="W38" s="330"/>
      <c r="X38" s="330">
        <v>225725.5</v>
      </c>
      <c r="Y38" s="330"/>
      <c r="Z38" s="330">
        <v>44325.75</v>
      </c>
      <c r="AA38" s="330"/>
      <c r="AB38" s="330">
        <v>1147.3499999999999</v>
      </c>
      <c r="AC38" s="330"/>
      <c r="AD38" s="330">
        <v>19845</v>
      </c>
      <c r="AE38" s="330"/>
      <c r="AF38" s="1020"/>
    </row>
    <row r="39" spans="1:32" ht="18" customHeight="1" x14ac:dyDescent="0.25">
      <c r="A39" s="1015" t="s">
        <v>419</v>
      </c>
      <c r="B39" s="1016"/>
      <c r="C39" s="1016"/>
      <c r="D39" s="1016"/>
      <c r="E39" s="1016"/>
      <c r="F39" s="1016"/>
      <c r="G39" s="1016"/>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1016"/>
      <c r="AD39" s="1016"/>
      <c r="AE39" s="1017"/>
      <c r="AF39" s="344"/>
    </row>
    <row r="40" spans="1:32" ht="89.25" customHeight="1" x14ac:dyDescent="0.25">
      <c r="A40" s="329" t="s">
        <v>31</v>
      </c>
      <c r="B40" s="331">
        <f>B41+B42+B44</f>
        <v>1734.127</v>
      </c>
      <c r="C40" s="331">
        <f t="shared" ref="C40:E40" si="36">C41+C42+C44</f>
        <v>0</v>
      </c>
      <c r="D40" s="331">
        <f t="shared" si="36"/>
        <v>0</v>
      </c>
      <c r="E40" s="331">
        <f t="shared" si="36"/>
        <v>0</v>
      </c>
      <c r="F40" s="331">
        <f>IFERROR(E40/B40%,0)</f>
        <v>0</v>
      </c>
      <c r="G40" s="331">
        <f>IFERROR(E40/C40%,0)</f>
        <v>0</v>
      </c>
      <c r="H40" s="331">
        <f>H41+H42+H44</f>
        <v>0</v>
      </c>
      <c r="I40" s="331">
        <f t="shared" ref="I40:AE40" si="37">I41+I42+I44</f>
        <v>0</v>
      </c>
      <c r="J40" s="331">
        <f t="shared" si="37"/>
        <v>0</v>
      </c>
      <c r="K40" s="331">
        <f t="shared" si="37"/>
        <v>0</v>
      </c>
      <c r="L40" s="331">
        <f t="shared" si="37"/>
        <v>0</v>
      </c>
      <c r="M40" s="331">
        <f t="shared" si="37"/>
        <v>0</v>
      </c>
      <c r="N40" s="331">
        <f t="shared" si="37"/>
        <v>0</v>
      </c>
      <c r="O40" s="331">
        <f t="shared" si="37"/>
        <v>0</v>
      </c>
      <c r="P40" s="331">
        <f t="shared" si="37"/>
        <v>0</v>
      </c>
      <c r="Q40" s="331">
        <f t="shared" si="37"/>
        <v>0</v>
      </c>
      <c r="R40" s="331">
        <f t="shared" si="37"/>
        <v>0</v>
      </c>
      <c r="S40" s="331">
        <f t="shared" si="37"/>
        <v>0</v>
      </c>
      <c r="T40" s="331">
        <f t="shared" si="37"/>
        <v>0</v>
      </c>
      <c r="U40" s="331">
        <f t="shared" si="37"/>
        <v>0</v>
      </c>
      <c r="V40" s="331">
        <f t="shared" si="37"/>
        <v>0</v>
      </c>
      <c r="W40" s="331">
        <f t="shared" si="37"/>
        <v>0</v>
      </c>
      <c r="X40" s="331">
        <f t="shared" si="37"/>
        <v>0</v>
      </c>
      <c r="Y40" s="331">
        <f t="shared" si="37"/>
        <v>0</v>
      </c>
      <c r="Z40" s="331">
        <f t="shared" si="37"/>
        <v>0</v>
      </c>
      <c r="AA40" s="331">
        <f t="shared" si="37"/>
        <v>0</v>
      </c>
      <c r="AB40" s="331">
        <f t="shared" si="37"/>
        <v>0</v>
      </c>
      <c r="AC40" s="331">
        <f t="shared" si="37"/>
        <v>0</v>
      </c>
      <c r="AD40" s="331">
        <f t="shared" si="37"/>
        <v>1734.127</v>
      </c>
      <c r="AE40" s="331">
        <f t="shared" si="37"/>
        <v>0</v>
      </c>
      <c r="AF40" s="1025" t="s">
        <v>540</v>
      </c>
    </row>
    <row r="41" spans="1:32" x14ac:dyDescent="0.25">
      <c r="A41" s="329" t="s">
        <v>32</v>
      </c>
      <c r="B41" s="331">
        <f>H41+J41+L41+N41+P41+R41+T41+V41+X41+Z41+AB41+AD41</f>
        <v>0</v>
      </c>
      <c r="C41" s="330">
        <f>H41+J41+L41</f>
        <v>0</v>
      </c>
      <c r="D41" s="331">
        <f>E41</f>
        <v>0</v>
      </c>
      <c r="E41" s="331">
        <f>I41+K41+M41+O41+Q41+S41+U41+W41+Y41+AA41+AC41+AE41</f>
        <v>0</v>
      </c>
      <c r="F41" s="339">
        <f>IFERROR(E41/B41%,0)</f>
        <v>0</v>
      </c>
      <c r="G41" s="339">
        <f>IFERROR(E41/C41%,0)</f>
        <v>0</v>
      </c>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1025"/>
    </row>
    <row r="42" spans="1:32" ht="44.25" customHeight="1" x14ac:dyDescent="0.25">
      <c r="A42" s="329" t="s">
        <v>33</v>
      </c>
      <c r="B42" s="331">
        <f>H42+J42+L42+N42+P42+R42+T42+V42+X42+Z42+AB42+AD42</f>
        <v>1734.127</v>
      </c>
      <c r="C42" s="330">
        <f t="shared" ref="C42:C44" si="38">H42+J42+L42</f>
        <v>0</v>
      </c>
      <c r="D42" s="331">
        <f>E42</f>
        <v>0</v>
      </c>
      <c r="E42" s="331">
        <f>I42+K42+M42+O42+Q42+S42+U42+W42+Y42+AA42+AC42+AE42</f>
        <v>0</v>
      </c>
      <c r="F42" s="339">
        <f>IFERROR(E42/B42%,0)</f>
        <v>0</v>
      </c>
      <c r="G42" s="339">
        <f>IFERROR(E42/C42%,0)</f>
        <v>0</v>
      </c>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v>1734.127</v>
      </c>
      <c r="AE42" s="330"/>
      <c r="AF42" s="1025"/>
    </row>
    <row r="43" spans="1:32" ht="31.5" x14ac:dyDescent="0.25">
      <c r="A43" s="343" t="s">
        <v>174</v>
      </c>
      <c r="B43" s="331">
        <f t="shared" ref="B43:B44" si="39">H43+J43+L43+N43+P43+R43+T43+V43+X43+Z43+AB43+AD43</f>
        <v>0</v>
      </c>
      <c r="C43" s="330">
        <f t="shared" si="38"/>
        <v>0</v>
      </c>
      <c r="D43" s="331">
        <f t="shared" ref="D43:D44" si="40">E43</f>
        <v>0</v>
      </c>
      <c r="E43" s="331">
        <f t="shared" ref="E43:E44" si="41">I43+K43+M43+O43+Q43+S43+U43+W43+Y43+AA43+AC43+AE43</f>
        <v>0</v>
      </c>
      <c r="F43" s="339">
        <f t="shared" ref="F43:F44" si="42">IFERROR(E43/B43%,0)</f>
        <v>0</v>
      </c>
      <c r="G43" s="339">
        <f t="shared" ref="G43:G44" si="43">IFERROR(E43/C43%,0)</f>
        <v>0</v>
      </c>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1025"/>
    </row>
    <row r="44" spans="1:32" x14ac:dyDescent="0.25">
      <c r="A44" s="329" t="s">
        <v>389</v>
      </c>
      <c r="B44" s="331">
        <f t="shared" si="39"/>
        <v>0</v>
      </c>
      <c r="C44" s="330">
        <f t="shared" si="38"/>
        <v>0</v>
      </c>
      <c r="D44" s="331">
        <f t="shared" si="40"/>
        <v>0</v>
      </c>
      <c r="E44" s="331">
        <f t="shared" si="41"/>
        <v>0</v>
      </c>
      <c r="F44" s="339">
        <f t="shared" si="42"/>
        <v>0</v>
      </c>
      <c r="G44" s="339">
        <f t="shared" si="43"/>
        <v>0</v>
      </c>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1026"/>
    </row>
    <row r="45" spans="1:32" x14ac:dyDescent="0.25">
      <c r="A45" s="1015" t="s">
        <v>420</v>
      </c>
      <c r="B45" s="1016"/>
      <c r="C45" s="1016"/>
      <c r="D45" s="1016"/>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7"/>
      <c r="AF45" s="344"/>
    </row>
    <row r="46" spans="1:32" x14ac:dyDescent="0.25">
      <c r="A46" s="329" t="s">
        <v>31</v>
      </c>
      <c r="B46" s="331">
        <f>B47+B48+B50</f>
        <v>4540.54</v>
      </c>
      <c r="C46" s="331">
        <f t="shared" ref="C46:E46" si="44">C47+C48+C50</f>
        <v>4540.54</v>
      </c>
      <c r="D46" s="331">
        <f t="shared" si="44"/>
        <v>4540.54</v>
      </c>
      <c r="E46" s="331">
        <f t="shared" si="44"/>
        <v>4540.54</v>
      </c>
      <c r="F46" s="331">
        <f>IFERROR(E46/B46%,0)</f>
        <v>100</v>
      </c>
      <c r="G46" s="331">
        <f>IFERROR(E46/C46%,0)</f>
        <v>100</v>
      </c>
      <c r="H46" s="331">
        <f>H47+H48+H50</f>
        <v>0</v>
      </c>
      <c r="I46" s="331">
        <f t="shared" ref="I46:AE46" si="45">I47+I48+I50</f>
        <v>0</v>
      </c>
      <c r="J46" s="331">
        <f t="shared" si="45"/>
        <v>4540.54</v>
      </c>
      <c r="K46" s="331">
        <f t="shared" si="45"/>
        <v>4540.54</v>
      </c>
      <c r="L46" s="331">
        <f t="shared" si="45"/>
        <v>0</v>
      </c>
      <c r="M46" s="331">
        <f t="shared" si="45"/>
        <v>0</v>
      </c>
      <c r="N46" s="331">
        <f t="shared" si="45"/>
        <v>0</v>
      </c>
      <c r="O46" s="331">
        <f t="shared" si="45"/>
        <v>0</v>
      </c>
      <c r="P46" s="331">
        <f t="shared" si="45"/>
        <v>0</v>
      </c>
      <c r="Q46" s="331">
        <f t="shared" si="45"/>
        <v>0</v>
      </c>
      <c r="R46" s="331">
        <f t="shared" si="45"/>
        <v>0</v>
      </c>
      <c r="S46" s="331">
        <f t="shared" si="45"/>
        <v>0</v>
      </c>
      <c r="T46" s="331">
        <f t="shared" si="45"/>
        <v>0</v>
      </c>
      <c r="U46" s="331">
        <f t="shared" si="45"/>
        <v>0</v>
      </c>
      <c r="V46" s="331">
        <f t="shared" si="45"/>
        <v>0</v>
      </c>
      <c r="W46" s="331">
        <f t="shared" si="45"/>
        <v>0</v>
      </c>
      <c r="X46" s="331">
        <f t="shared" si="45"/>
        <v>0</v>
      </c>
      <c r="Y46" s="331">
        <f t="shared" si="45"/>
        <v>0</v>
      </c>
      <c r="Z46" s="331">
        <f t="shared" si="45"/>
        <v>0</v>
      </c>
      <c r="AA46" s="331">
        <f t="shared" si="45"/>
        <v>0</v>
      </c>
      <c r="AB46" s="331">
        <f t="shared" si="45"/>
        <v>0</v>
      </c>
      <c r="AC46" s="331">
        <f t="shared" si="45"/>
        <v>0</v>
      </c>
      <c r="AD46" s="331">
        <f t="shared" si="45"/>
        <v>0</v>
      </c>
      <c r="AE46" s="331">
        <f t="shared" si="45"/>
        <v>0</v>
      </c>
      <c r="AF46" s="1025" t="s">
        <v>501</v>
      </c>
    </row>
    <row r="47" spans="1:32" x14ac:dyDescent="0.25">
      <c r="A47" s="329" t="s">
        <v>32</v>
      </c>
      <c r="B47" s="331">
        <f>H47+J47+L47+N47+P47+R47+T47+V47+X47+Z47+AB47+AD47</f>
        <v>0</v>
      </c>
      <c r="C47" s="330">
        <f>H47+J47+L47</f>
        <v>0</v>
      </c>
      <c r="D47" s="331">
        <f>E47</f>
        <v>0</v>
      </c>
      <c r="E47" s="331">
        <f>I47+K47+M47+O47+Q47+S47+U47+W47+Y47+AA47+AC47+AE47</f>
        <v>0</v>
      </c>
      <c r="F47" s="339">
        <f>IFERROR(E47/B47%,0)</f>
        <v>0</v>
      </c>
      <c r="G47" s="339">
        <f>IFERROR(E47/C47%,0)</f>
        <v>0</v>
      </c>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1025"/>
    </row>
    <row r="48" spans="1:32" ht="30" customHeight="1" x14ac:dyDescent="0.25">
      <c r="A48" s="329" t="s">
        <v>33</v>
      </c>
      <c r="B48" s="331">
        <f>H48+J48+L48+N48+P48+R48+T48+V48+X48+Z48+AB48+AD48</f>
        <v>4540.54</v>
      </c>
      <c r="C48" s="330">
        <f t="shared" ref="C48:C50" si="46">H48+J48+L48</f>
        <v>4540.54</v>
      </c>
      <c r="D48" s="331">
        <f>E48</f>
        <v>4540.54</v>
      </c>
      <c r="E48" s="331">
        <f>I48+K48+M48+O48+Q48+S48+U48+W48+Y48+AA48+AC48+AE48</f>
        <v>4540.54</v>
      </c>
      <c r="F48" s="339">
        <f>IFERROR(E48/B48%,0)</f>
        <v>100</v>
      </c>
      <c r="G48" s="339">
        <f>IFERROR(E48/C48%,0)</f>
        <v>100</v>
      </c>
      <c r="H48" s="330"/>
      <c r="I48" s="330"/>
      <c r="J48" s="330">
        <v>4540.54</v>
      </c>
      <c r="K48" s="330">
        <v>4540.54</v>
      </c>
      <c r="L48" s="330"/>
      <c r="M48" s="330"/>
      <c r="N48" s="330"/>
      <c r="O48" s="330"/>
      <c r="P48" s="330"/>
      <c r="Q48" s="330"/>
      <c r="R48" s="330"/>
      <c r="S48" s="330"/>
      <c r="T48" s="330"/>
      <c r="U48" s="330"/>
      <c r="V48" s="330"/>
      <c r="W48" s="330"/>
      <c r="X48" s="330"/>
      <c r="Y48" s="330"/>
      <c r="Z48" s="330"/>
      <c r="AA48" s="330"/>
      <c r="AB48" s="330"/>
      <c r="AC48" s="330"/>
      <c r="AD48" s="330"/>
      <c r="AE48" s="330"/>
      <c r="AF48" s="1025"/>
    </row>
    <row r="49" spans="1:32" ht="31.5" x14ac:dyDescent="0.25">
      <c r="A49" s="343" t="s">
        <v>174</v>
      </c>
      <c r="B49" s="331">
        <f t="shared" ref="B49:B50" si="47">H49+J49+L49+N49+P49+R49+T49+V49+X49+Z49+AB49+AD49</f>
        <v>0</v>
      </c>
      <c r="C49" s="330">
        <f t="shared" si="46"/>
        <v>0</v>
      </c>
      <c r="D49" s="331">
        <f t="shared" ref="D49:D50" si="48">E49</f>
        <v>0</v>
      </c>
      <c r="E49" s="331">
        <f t="shared" ref="E49:E50" si="49">I49+K49+M49+O49+Q49+S49+U49+W49+Y49+AA49+AC49+AE49</f>
        <v>0</v>
      </c>
      <c r="F49" s="339">
        <f t="shared" ref="F49:F50" si="50">IFERROR(E49/B49%,0)</f>
        <v>0</v>
      </c>
      <c r="G49" s="339">
        <f t="shared" ref="G49:G50" si="51">IFERROR(E49/C49%,0)</f>
        <v>0</v>
      </c>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1025"/>
    </row>
    <row r="50" spans="1:32" ht="20.25" customHeight="1" x14ac:dyDescent="0.25">
      <c r="A50" s="329" t="s">
        <v>389</v>
      </c>
      <c r="B50" s="331">
        <f t="shared" si="47"/>
        <v>0</v>
      </c>
      <c r="C50" s="330">
        <f t="shared" si="46"/>
        <v>0</v>
      </c>
      <c r="D50" s="331">
        <f t="shared" si="48"/>
        <v>0</v>
      </c>
      <c r="E50" s="331">
        <f t="shared" si="49"/>
        <v>0</v>
      </c>
      <c r="F50" s="339">
        <f t="shared" si="50"/>
        <v>0</v>
      </c>
      <c r="G50" s="339">
        <f t="shared" si="51"/>
        <v>0</v>
      </c>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1025"/>
    </row>
    <row r="51" spans="1:32" x14ac:dyDescent="0.25">
      <c r="A51" s="1009" t="s">
        <v>421</v>
      </c>
      <c r="B51" s="1010"/>
      <c r="C51" s="1010"/>
      <c r="D51" s="1010"/>
      <c r="E51" s="1010"/>
      <c r="F51" s="1010"/>
      <c r="G51" s="1010"/>
      <c r="H51" s="1010"/>
      <c r="I51" s="1010"/>
      <c r="J51" s="1010"/>
      <c r="K51" s="1010"/>
      <c r="L51" s="1010"/>
      <c r="M51" s="1010"/>
      <c r="N51" s="1010"/>
      <c r="O51" s="1010"/>
      <c r="P51" s="1010"/>
      <c r="Q51" s="1010"/>
      <c r="R51" s="1010"/>
      <c r="S51" s="1010"/>
      <c r="T51" s="1010"/>
      <c r="U51" s="1010"/>
      <c r="V51" s="1010"/>
      <c r="W51" s="1010"/>
      <c r="X51" s="1010"/>
      <c r="Y51" s="1010"/>
      <c r="Z51" s="1010"/>
      <c r="AA51" s="1010"/>
      <c r="AB51" s="1010"/>
      <c r="AC51" s="1010"/>
      <c r="AD51" s="1010"/>
      <c r="AE51" s="1011"/>
      <c r="AF51" s="344"/>
    </row>
    <row r="52" spans="1:32" x14ac:dyDescent="0.25">
      <c r="A52" s="337" t="s">
        <v>31</v>
      </c>
      <c r="B52" s="338">
        <f>B53+B54+B56</f>
        <v>229690.005</v>
      </c>
      <c r="C52" s="338">
        <f t="shared" ref="C52:E52" si="52">C53+C54+C56</f>
        <v>79921.938999999998</v>
      </c>
      <c r="D52" s="338">
        <f t="shared" si="52"/>
        <v>62746.68</v>
      </c>
      <c r="E52" s="338">
        <f t="shared" si="52"/>
        <v>62746.68</v>
      </c>
      <c r="F52" s="338">
        <f>E52/B52*100</f>
        <v>27.317984515695404</v>
      </c>
      <c r="G52" s="338">
        <f>E52/C52*100</f>
        <v>78.509957071987458</v>
      </c>
      <c r="H52" s="338">
        <f>H53+H54+H56</f>
        <v>33912.783000000003</v>
      </c>
      <c r="I52" s="338">
        <f t="shared" ref="I52:AE52" si="53">I53+I54+I56</f>
        <v>17885.599999999999</v>
      </c>
      <c r="J52" s="338">
        <f t="shared" si="53"/>
        <v>22577.74</v>
      </c>
      <c r="K52" s="338">
        <f t="shared" si="53"/>
        <v>25737.760000000002</v>
      </c>
      <c r="L52" s="338">
        <f t="shared" si="53"/>
        <v>23431.416000000005</v>
      </c>
      <c r="M52" s="338">
        <f t="shared" si="53"/>
        <v>19123.32</v>
      </c>
      <c r="N52" s="338">
        <f t="shared" si="53"/>
        <v>28452.109000000004</v>
      </c>
      <c r="O52" s="338">
        <f t="shared" si="53"/>
        <v>0</v>
      </c>
      <c r="P52" s="338">
        <f t="shared" si="53"/>
        <v>18063.654000000002</v>
      </c>
      <c r="Q52" s="338">
        <f t="shared" si="53"/>
        <v>0</v>
      </c>
      <c r="R52" s="338">
        <f t="shared" si="53"/>
        <v>17240.697</v>
      </c>
      <c r="S52" s="338">
        <f t="shared" si="53"/>
        <v>0</v>
      </c>
      <c r="T52" s="338">
        <f t="shared" si="53"/>
        <v>19437.449000000004</v>
      </c>
      <c r="U52" s="338">
        <f t="shared" si="53"/>
        <v>0</v>
      </c>
      <c r="V52" s="338">
        <f t="shared" si="53"/>
        <v>12077.357</v>
      </c>
      <c r="W52" s="338">
        <f t="shared" si="53"/>
        <v>0</v>
      </c>
      <c r="X52" s="338">
        <f t="shared" si="53"/>
        <v>11058.033000000001</v>
      </c>
      <c r="Y52" s="338">
        <f t="shared" si="53"/>
        <v>0</v>
      </c>
      <c r="Z52" s="338">
        <f t="shared" si="53"/>
        <v>21173.49</v>
      </c>
      <c r="AA52" s="338">
        <f t="shared" si="53"/>
        <v>0</v>
      </c>
      <c r="AB52" s="338">
        <f t="shared" si="53"/>
        <v>12038.495000000001</v>
      </c>
      <c r="AC52" s="338">
        <f t="shared" si="53"/>
        <v>0</v>
      </c>
      <c r="AD52" s="338">
        <f t="shared" si="53"/>
        <v>10226.781999999999</v>
      </c>
      <c r="AE52" s="338">
        <f t="shared" si="53"/>
        <v>0</v>
      </c>
      <c r="AF52" s="1024" t="s">
        <v>541</v>
      </c>
    </row>
    <row r="53" spans="1:32" x14ac:dyDescent="0.25">
      <c r="A53" s="329" t="s">
        <v>32</v>
      </c>
      <c r="B53" s="331">
        <f>H53+J53+L53+N53+P53+R53+T53+V53+X53+Z53+AB53+AD53</f>
        <v>0</v>
      </c>
      <c r="C53" s="331">
        <f>C59+C77+C83+C89</f>
        <v>0</v>
      </c>
      <c r="D53" s="331">
        <f>E53</f>
        <v>0</v>
      </c>
      <c r="E53" s="331">
        <f>I53+K53+M53+O53+Q53+S53+U53+W53+Y53+AA53+AC53+AE53</f>
        <v>0</v>
      </c>
      <c r="F53" s="331">
        <f>IFERROR(E53/B53*100,0)</f>
        <v>0</v>
      </c>
      <c r="G53" s="331">
        <f>IFERROR(E53/C53*100,0)</f>
        <v>0</v>
      </c>
      <c r="H53" s="330">
        <f>H59+H77+H83+H89+H95</f>
        <v>0</v>
      </c>
      <c r="I53" s="330">
        <f t="shared" ref="I53:AE56" si="54">I59+I77+I83+I89+I95</f>
        <v>0</v>
      </c>
      <c r="J53" s="330">
        <f t="shared" si="54"/>
        <v>0</v>
      </c>
      <c r="K53" s="330">
        <f t="shared" si="54"/>
        <v>0</v>
      </c>
      <c r="L53" s="330">
        <f t="shared" si="54"/>
        <v>0</v>
      </c>
      <c r="M53" s="330">
        <f t="shared" si="54"/>
        <v>0</v>
      </c>
      <c r="N53" s="330">
        <f t="shared" si="54"/>
        <v>0</v>
      </c>
      <c r="O53" s="330">
        <f t="shared" si="54"/>
        <v>0</v>
      </c>
      <c r="P53" s="330">
        <f t="shared" si="54"/>
        <v>0</v>
      </c>
      <c r="Q53" s="330">
        <f t="shared" si="54"/>
        <v>0</v>
      </c>
      <c r="R53" s="330">
        <f t="shared" si="54"/>
        <v>0</v>
      </c>
      <c r="S53" s="330">
        <f t="shared" si="54"/>
        <v>0</v>
      </c>
      <c r="T53" s="330">
        <f t="shared" si="54"/>
        <v>0</v>
      </c>
      <c r="U53" s="330">
        <f t="shared" si="54"/>
        <v>0</v>
      </c>
      <c r="V53" s="330">
        <f t="shared" si="54"/>
        <v>0</v>
      </c>
      <c r="W53" s="330">
        <f t="shared" si="54"/>
        <v>0</v>
      </c>
      <c r="X53" s="330">
        <f t="shared" si="54"/>
        <v>0</v>
      </c>
      <c r="Y53" s="330">
        <f t="shared" si="54"/>
        <v>0</v>
      </c>
      <c r="Z53" s="330">
        <f t="shared" si="54"/>
        <v>0</v>
      </c>
      <c r="AA53" s="330">
        <f t="shared" si="54"/>
        <v>0</v>
      </c>
      <c r="AB53" s="330">
        <f t="shared" si="54"/>
        <v>0</v>
      </c>
      <c r="AC53" s="330">
        <f t="shared" si="54"/>
        <v>0</v>
      </c>
      <c r="AD53" s="330">
        <f t="shared" si="54"/>
        <v>0</v>
      </c>
      <c r="AE53" s="330">
        <f t="shared" si="54"/>
        <v>0</v>
      </c>
      <c r="AF53" s="1025"/>
    </row>
    <row r="54" spans="1:32" x14ac:dyDescent="0.25">
      <c r="A54" s="329" t="s">
        <v>33</v>
      </c>
      <c r="B54" s="331">
        <f>H54+J54+L54+N54+P54+R54+T54+V54+X54+Z54+AB54+AD54</f>
        <v>229690.005</v>
      </c>
      <c r="C54" s="331">
        <f>C60+C78+C84+C90</f>
        <v>79921.938999999998</v>
      </c>
      <c r="D54" s="331">
        <f>E54</f>
        <v>62746.68</v>
      </c>
      <c r="E54" s="331">
        <f>I54+K54+M54+O54+Q54+S54+U54+W54+Y54+AA54+AC54+AE54</f>
        <v>62746.68</v>
      </c>
      <c r="F54" s="331">
        <f>IFERROR(E54/B54*100,0)</f>
        <v>27.317984515695404</v>
      </c>
      <c r="G54" s="331">
        <f>IFERROR(E54/C54*100,0)</f>
        <v>78.509957071987458</v>
      </c>
      <c r="H54" s="330">
        <f t="shared" ref="H54:W56" si="55">H60+H78+H84+H90+H96</f>
        <v>33912.783000000003</v>
      </c>
      <c r="I54" s="330">
        <f t="shared" si="55"/>
        <v>17885.599999999999</v>
      </c>
      <c r="J54" s="330">
        <f t="shared" si="55"/>
        <v>22577.74</v>
      </c>
      <c r="K54" s="330">
        <f t="shared" si="55"/>
        <v>25737.760000000002</v>
      </c>
      <c r="L54" s="330">
        <f t="shared" si="55"/>
        <v>23431.416000000005</v>
      </c>
      <c r="M54" s="330">
        <f t="shared" si="55"/>
        <v>19123.32</v>
      </c>
      <c r="N54" s="330">
        <f t="shared" si="55"/>
        <v>28452.109000000004</v>
      </c>
      <c r="O54" s="330">
        <f t="shared" si="55"/>
        <v>0</v>
      </c>
      <c r="P54" s="330">
        <f t="shared" si="55"/>
        <v>18063.654000000002</v>
      </c>
      <c r="Q54" s="330">
        <f t="shared" si="55"/>
        <v>0</v>
      </c>
      <c r="R54" s="330">
        <f t="shared" si="55"/>
        <v>17240.697</v>
      </c>
      <c r="S54" s="330">
        <f t="shared" si="55"/>
        <v>0</v>
      </c>
      <c r="T54" s="330">
        <f t="shared" si="55"/>
        <v>19437.449000000004</v>
      </c>
      <c r="U54" s="330">
        <f t="shared" si="55"/>
        <v>0</v>
      </c>
      <c r="V54" s="330">
        <f t="shared" si="55"/>
        <v>12077.357</v>
      </c>
      <c r="W54" s="330">
        <f t="shared" si="55"/>
        <v>0</v>
      </c>
      <c r="X54" s="330">
        <f t="shared" si="54"/>
        <v>11058.033000000001</v>
      </c>
      <c r="Y54" s="330">
        <f t="shared" si="54"/>
        <v>0</v>
      </c>
      <c r="Z54" s="330">
        <f t="shared" si="54"/>
        <v>21173.49</v>
      </c>
      <c r="AA54" s="330">
        <f t="shared" si="54"/>
        <v>0</v>
      </c>
      <c r="AB54" s="330">
        <f t="shared" si="54"/>
        <v>12038.495000000001</v>
      </c>
      <c r="AC54" s="330">
        <f t="shared" si="54"/>
        <v>0</v>
      </c>
      <c r="AD54" s="330">
        <f t="shared" si="54"/>
        <v>10226.781999999999</v>
      </c>
      <c r="AE54" s="330">
        <f t="shared" si="54"/>
        <v>0</v>
      </c>
      <c r="AF54" s="1025"/>
    </row>
    <row r="55" spans="1:32" ht="31.5" x14ac:dyDescent="0.25">
      <c r="A55" s="343" t="s">
        <v>174</v>
      </c>
      <c r="B55" s="331">
        <f t="shared" ref="B55:B56" si="56">H55+J55+L55+N55+P55+R55+T55+V55+X55+Z55+AB55+AD55</f>
        <v>0</v>
      </c>
      <c r="C55" s="331">
        <f t="shared" ref="C55:C56" si="57">C61+C79+C85+C91</f>
        <v>0</v>
      </c>
      <c r="D55" s="331">
        <f t="shared" ref="D55:D56" si="58">E55</f>
        <v>0</v>
      </c>
      <c r="E55" s="331">
        <f t="shared" ref="E55:E56" si="59">I55+K55+M55+O55+Q55+S55+U55+W55+Y55+AA55+AC55+AE55</f>
        <v>0</v>
      </c>
      <c r="F55" s="331">
        <f t="shared" ref="F55:F56" si="60">IFERROR(E55/B55*100,0)</f>
        <v>0</v>
      </c>
      <c r="G55" s="331">
        <f t="shared" ref="G55:G56" si="61">IFERROR(E55/C55*100,0)</f>
        <v>0</v>
      </c>
      <c r="H55" s="330">
        <f t="shared" si="55"/>
        <v>0</v>
      </c>
      <c r="I55" s="330">
        <f t="shared" si="55"/>
        <v>0</v>
      </c>
      <c r="J55" s="330">
        <f t="shared" si="55"/>
        <v>0</v>
      </c>
      <c r="K55" s="330">
        <f t="shared" si="55"/>
        <v>0</v>
      </c>
      <c r="L55" s="330">
        <f t="shared" si="55"/>
        <v>0</v>
      </c>
      <c r="M55" s="330">
        <f t="shared" si="55"/>
        <v>0</v>
      </c>
      <c r="N55" s="330">
        <f t="shared" si="55"/>
        <v>0</v>
      </c>
      <c r="O55" s="330">
        <f t="shared" si="55"/>
        <v>0</v>
      </c>
      <c r="P55" s="330">
        <f t="shared" si="55"/>
        <v>0</v>
      </c>
      <c r="Q55" s="330">
        <f t="shared" si="55"/>
        <v>0</v>
      </c>
      <c r="R55" s="330">
        <f t="shared" si="55"/>
        <v>0</v>
      </c>
      <c r="S55" s="330">
        <f t="shared" si="55"/>
        <v>0</v>
      </c>
      <c r="T55" s="330">
        <f t="shared" si="55"/>
        <v>0</v>
      </c>
      <c r="U55" s="330">
        <f t="shared" si="55"/>
        <v>0</v>
      </c>
      <c r="V55" s="330">
        <f t="shared" si="55"/>
        <v>0</v>
      </c>
      <c r="W55" s="330">
        <f t="shared" si="55"/>
        <v>0</v>
      </c>
      <c r="X55" s="330">
        <f t="shared" si="54"/>
        <v>0</v>
      </c>
      <c r="Y55" s="330">
        <f t="shared" si="54"/>
        <v>0</v>
      </c>
      <c r="Z55" s="330">
        <f t="shared" si="54"/>
        <v>0</v>
      </c>
      <c r="AA55" s="330">
        <f t="shared" si="54"/>
        <v>0</v>
      </c>
      <c r="AB55" s="330">
        <f t="shared" si="54"/>
        <v>0</v>
      </c>
      <c r="AC55" s="330">
        <f t="shared" si="54"/>
        <v>0</v>
      </c>
      <c r="AD55" s="330">
        <f t="shared" si="54"/>
        <v>0</v>
      </c>
      <c r="AE55" s="330">
        <f t="shared" si="54"/>
        <v>0</v>
      </c>
      <c r="AF55" s="1025"/>
    </row>
    <row r="56" spans="1:32" x14ac:dyDescent="0.25">
      <c r="A56" s="329" t="s">
        <v>389</v>
      </c>
      <c r="B56" s="331">
        <f t="shared" si="56"/>
        <v>0</v>
      </c>
      <c r="C56" s="331">
        <f t="shared" si="57"/>
        <v>0</v>
      </c>
      <c r="D56" s="331">
        <f t="shared" si="58"/>
        <v>0</v>
      </c>
      <c r="E56" s="331">
        <f t="shared" si="59"/>
        <v>0</v>
      </c>
      <c r="F56" s="331">
        <f t="shared" si="60"/>
        <v>0</v>
      </c>
      <c r="G56" s="331">
        <f t="shared" si="61"/>
        <v>0</v>
      </c>
      <c r="H56" s="330">
        <f t="shared" si="55"/>
        <v>0</v>
      </c>
      <c r="I56" s="330">
        <f t="shared" si="55"/>
        <v>0</v>
      </c>
      <c r="J56" s="330">
        <f t="shared" si="55"/>
        <v>0</v>
      </c>
      <c r="K56" s="330">
        <f t="shared" si="55"/>
        <v>0</v>
      </c>
      <c r="L56" s="330">
        <f t="shared" si="55"/>
        <v>0</v>
      </c>
      <c r="M56" s="330">
        <f t="shared" si="55"/>
        <v>0</v>
      </c>
      <c r="N56" s="330">
        <f t="shared" si="55"/>
        <v>0</v>
      </c>
      <c r="O56" s="330">
        <f t="shared" si="55"/>
        <v>0</v>
      </c>
      <c r="P56" s="330">
        <f t="shared" si="55"/>
        <v>0</v>
      </c>
      <c r="Q56" s="330">
        <f t="shared" si="55"/>
        <v>0</v>
      </c>
      <c r="R56" s="330">
        <f t="shared" si="55"/>
        <v>0</v>
      </c>
      <c r="S56" s="330">
        <f t="shared" si="55"/>
        <v>0</v>
      </c>
      <c r="T56" s="330">
        <f t="shared" si="55"/>
        <v>0</v>
      </c>
      <c r="U56" s="330">
        <f t="shared" si="55"/>
        <v>0</v>
      </c>
      <c r="V56" s="330">
        <f t="shared" si="55"/>
        <v>0</v>
      </c>
      <c r="W56" s="330">
        <f t="shared" si="55"/>
        <v>0</v>
      </c>
      <c r="X56" s="330">
        <f t="shared" si="54"/>
        <v>0</v>
      </c>
      <c r="Y56" s="330">
        <f t="shared" si="54"/>
        <v>0</v>
      </c>
      <c r="Z56" s="330">
        <f t="shared" si="54"/>
        <v>0</v>
      </c>
      <c r="AA56" s="330">
        <f t="shared" si="54"/>
        <v>0</v>
      </c>
      <c r="AB56" s="330">
        <f t="shared" si="54"/>
        <v>0</v>
      </c>
      <c r="AC56" s="330">
        <f t="shared" si="54"/>
        <v>0</v>
      </c>
      <c r="AD56" s="330">
        <f t="shared" si="54"/>
        <v>0</v>
      </c>
      <c r="AE56" s="330">
        <f t="shared" si="54"/>
        <v>0</v>
      </c>
      <c r="AF56" s="1025"/>
    </row>
    <row r="57" spans="1:32" x14ac:dyDescent="0.25">
      <c r="A57" s="1015" t="s">
        <v>422</v>
      </c>
      <c r="B57" s="1016"/>
      <c r="C57" s="1016"/>
      <c r="D57" s="1016"/>
      <c r="E57" s="1016"/>
      <c r="F57" s="1016"/>
      <c r="G57" s="1016"/>
      <c r="H57" s="1016"/>
      <c r="I57" s="1016"/>
      <c r="J57" s="1016"/>
      <c r="K57" s="1016"/>
      <c r="L57" s="1016"/>
      <c r="M57" s="1016"/>
      <c r="N57" s="1016"/>
      <c r="O57" s="1016"/>
      <c r="P57" s="1016"/>
      <c r="Q57" s="1016"/>
      <c r="R57" s="1016"/>
      <c r="S57" s="1016"/>
      <c r="T57" s="1016"/>
      <c r="U57" s="1016"/>
      <c r="V57" s="1016"/>
      <c r="W57" s="1016"/>
      <c r="X57" s="1016"/>
      <c r="Y57" s="1016"/>
      <c r="Z57" s="1016"/>
      <c r="AA57" s="1016"/>
      <c r="AB57" s="1016"/>
      <c r="AC57" s="1016"/>
      <c r="AD57" s="1016"/>
      <c r="AE57" s="1017"/>
      <c r="AF57" s="1025"/>
    </row>
    <row r="58" spans="1:32" ht="15.75" customHeight="1" x14ac:dyDescent="0.25">
      <c r="A58" s="329" t="s">
        <v>31</v>
      </c>
      <c r="B58" s="331">
        <f>B59+B60+B62</f>
        <v>215219.50599999996</v>
      </c>
      <c r="C58" s="331">
        <f t="shared" ref="C58:E58" si="62">C59+C60+C62</f>
        <v>78502.460000000006</v>
      </c>
      <c r="D58" s="331">
        <f t="shared" si="62"/>
        <v>61649.009999999995</v>
      </c>
      <c r="E58" s="331">
        <f t="shared" si="62"/>
        <v>61649.009999999995</v>
      </c>
      <c r="F58" s="331">
        <f>E58/B58*100</f>
        <v>28.644713086554525</v>
      </c>
      <c r="G58" s="331">
        <f>E58/C58*100</f>
        <v>78.531309719466108</v>
      </c>
      <c r="H58" s="331">
        <f>H59+H60+H62</f>
        <v>33667.464</v>
      </c>
      <c r="I58" s="331">
        <f t="shared" ref="I58:AE58" si="63">I59+I60+I62</f>
        <v>17651.48</v>
      </c>
      <c r="J58" s="331">
        <f t="shared" si="63"/>
        <v>21980.66</v>
      </c>
      <c r="K58" s="331">
        <f t="shared" si="63"/>
        <v>25296.47</v>
      </c>
      <c r="L58" s="331">
        <f t="shared" si="63"/>
        <v>22854.336000000003</v>
      </c>
      <c r="M58" s="331">
        <f t="shared" si="63"/>
        <v>18701.060000000001</v>
      </c>
      <c r="N58" s="331">
        <f t="shared" si="63"/>
        <v>27865.029000000002</v>
      </c>
      <c r="O58" s="331">
        <f t="shared" si="63"/>
        <v>0</v>
      </c>
      <c r="P58" s="331">
        <f t="shared" si="63"/>
        <v>17496.574000000001</v>
      </c>
      <c r="Q58" s="331">
        <f t="shared" si="63"/>
        <v>0</v>
      </c>
      <c r="R58" s="331">
        <f t="shared" si="63"/>
        <v>16653.616999999998</v>
      </c>
      <c r="S58" s="331">
        <f t="shared" si="63"/>
        <v>0</v>
      </c>
      <c r="T58" s="331">
        <f t="shared" si="63"/>
        <v>18860.369000000002</v>
      </c>
      <c r="U58" s="331">
        <f t="shared" si="63"/>
        <v>0</v>
      </c>
      <c r="V58" s="331">
        <f t="shared" si="63"/>
        <v>11510.277</v>
      </c>
      <c r="W58" s="331">
        <f t="shared" si="63"/>
        <v>0</v>
      </c>
      <c r="X58" s="331">
        <f t="shared" si="63"/>
        <v>10480.953000000001</v>
      </c>
      <c r="Y58" s="331">
        <f t="shared" si="63"/>
        <v>0</v>
      </c>
      <c r="Z58" s="331">
        <f t="shared" si="63"/>
        <v>12955.810000000001</v>
      </c>
      <c r="AA58" s="331">
        <f t="shared" si="63"/>
        <v>0</v>
      </c>
      <c r="AB58" s="331">
        <f t="shared" si="63"/>
        <v>11461.415000000001</v>
      </c>
      <c r="AC58" s="331">
        <f t="shared" si="63"/>
        <v>0</v>
      </c>
      <c r="AD58" s="331">
        <f t="shared" si="63"/>
        <v>9433.0020000000004</v>
      </c>
      <c r="AE58" s="331">
        <f t="shared" si="63"/>
        <v>0</v>
      </c>
      <c r="AF58" s="1025"/>
    </row>
    <row r="59" spans="1:32" x14ac:dyDescent="0.25">
      <c r="A59" s="329" t="s">
        <v>32</v>
      </c>
      <c r="B59" s="330">
        <f>B65+B71</f>
        <v>0</v>
      </c>
      <c r="C59" s="330">
        <f>C65+C71</f>
        <v>0</v>
      </c>
      <c r="D59" s="330">
        <f t="shared" ref="D59:E60" si="64">D65+D71</f>
        <v>0</v>
      </c>
      <c r="E59" s="330">
        <f t="shared" si="64"/>
        <v>0</v>
      </c>
      <c r="F59" s="345">
        <f>IFERROR(E59/B59*100,0)</f>
        <v>0</v>
      </c>
      <c r="G59" s="345">
        <f>IFERROR(E59/C59*100,0)</f>
        <v>0</v>
      </c>
      <c r="H59" s="330">
        <f>H65+H71</f>
        <v>0</v>
      </c>
      <c r="I59" s="330">
        <f t="shared" ref="I59:AE62" si="65">I65+I71</f>
        <v>0</v>
      </c>
      <c r="J59" s="330">
        <f t="shared" si="65"/>
        <v>0</v>
      </c>
      <c r="K59" s="330">
        <f t="shared" si="65"/>
        <v>0</v>
      </c>
      <c r="L59" s="330">
        <f t="shared" si="65"/>
        <v>0</v>
      </c>
      <c r="M59" s="330">
        <f t="shared" si="65"/>
        <v>0</v>
      </c>
      <c r="N59" s="330">
        <f t="shared" si="65"/>
        <v>0</v>
      </c>
      <c r="O59" s="330">
        <f t="shared" si="65"/>
        <v>0</v>
      </c>
      <c r="P59" s="330">
        <f t="shared" si="65"/>
        <v>0</v>
      </c>
      <c r="Q59" s="330">
        <f t="shared" si="65"/>
        <v>0</v>
      </c>
      <c r="R59" s="330">
        <f t="shared" si="65"/>
        <v>0</v>
      </c>
      <c r="S59" s="330">
        <f t="shared" si="65"/>
        <v>0</v>
      </c>
      <c r="T59" s="330">
        <f t="shared" si="65"/>
        <v>0</v>
      </c>
      <c r="U59" s="330">
        <f t="shared" si="65"/>
        <v>0</v>
      </c>
      <c r="V59" s="330">
        <f t="shared" si="65"/>
        <v>0</v>
      </c>
      <c r="W59" s="330">
        <f t="shared" si="65"/>
        <v>0</v>
      </c>
      <c r="X59" s="330">
        <f t="shared" si="65"/>
        <v>0</v>
      </c>
      <c r="Y59" s="330">
        <f t="shared" si="65"/>
        <v>0</v>
      </c>
      <c r="Z59" s="330">
        <f t="shared" si="65"/>
        <v>0</v>
      </c>
      <c r="AA59" s="330">
        <f t="shared" si="65"/>
        <v>0</v>
      </c>
      <c r="AB59" s="330">
        <f t="shared" si="65"/>
        <v>0</v>
      </c>
      <c r="AC59" s="330">
        <f t="shared" si="65"/>
        <v>0</v>
      </c>
      <c r="AD59" s="330">
        <f t="shared" si="65"/>
        <v>0</v>
      </c>
      <c r="AE59" s="330">
        <f t="shared" si="65"/>
        <v>0</v>
      </c>
      <c r="AF59" s="1025"/>
    </row>
    <row r="60" spans="1:32" x14ac:dyDescent="0.25">
      <c r="A60" s="329" t="s">
        <v>33</v>
      </c>
      <c r="B60" s="330">
        <f>B66+B72</f>
        <v>215219.50599999996</v>
      </c>
      <c r="C60" s="330">
        <f>C66+C72</f>
        <v>78502.460000000006</v>
      </c>
      <c r="D60" s="330">
        <f t="shared" si="64"/>
        <v>61649.009999999995</v>
      </c>
      <c r="E60" s="330">
        <f t="shared" si="64"/>
        <v>61649.009999999995</v>
      </c>
      <c r="F60" s="345">
        <f>IFERROR(E60/B60*100,0)</f>
        <v>28.644713086554525</v>
      </c>
      <c r="G60" s="345">
        <f>IFERROR(E60/C60*100,0)</f>
        <v>78.531309719466108</v>
      </c>
      <c r="H60" s="330">
        <f>H66+H72</f>
        <v>33667.464</v>
      </c>
      <c r="I60" s="330">
        <f t="shared" si="65"/>
        <v>17651.48</v>
      </c>
      <c r="J60" s="330">
        <f t="shared" si="65"/>
        <v>21980.66</v>
      </c>
      <c r="K60" s="330">
        <f t="shared" si="65"/>
        <v>25296.47</v>
      </c>
      <c r="L60" s="330">
        <f t="shared" si="65"/>
        <v>22854.336000000003</v>
      </c>
      <c r="M60" s="330">
        <f t="shared" si="65"/>
        <v>18701.060000000001</v>
      </c>
      <c r="N60" s="330">
        <f t="shared" si="65"/>
        <v>27865.029000000002</v>
      </c>
      <c r="O60" s="330">
        <f t="shared" si="65"/>
        <v>0</v>
      </c>
      <c r="P60" s="330">
        <f t="shared" si="65"/>
        <v>17496.574000000001</v>
      </c>
      <c r="Q60" s="330">
        <f t="shared" si="65"/>
        <v>0</v>
      </c>
      <c r="R60" s="330">
        <f t="shared" si="65"/>
        <v>16653.616999999998</v>
      </c>
      <c r="S60" s="330">
        <f t="shared" si="65"/>
        <v>0</v>
      </c>
      <c r="T60" s="330">
        <f t="shared" si="65"/>
        <v>18860.369000000002</v>
      </c>
      <c r="U60" s="330">
        <f t="shared" si="65"/>
        <v>0</v>
      </c>
      <c r="V60" s="330">
        <f t="shared" si="65"/>
        <v>11510.277</v>
      </c>
      <c r="W60" s="330">
        <f t="shared" si="65"/>
        <v>0</v>
      </c>
      <c r="X60" s="330">
        <f t="shared" si="65"/>
        <v>10480.953000000001</v>
      </c>
      <c r="Y60" s="330">
        <f t="shared" si="65"/>
        <v>0</v>
      </c>
      <c r="Z60" s="330">
        <f t="shared" si="65"/>
        <v>12955.810000000001</v>
      </c>
      <c r="AA60" s="330">
        <f t="shared" si="65"/>
        <v>0</v>
      </c>
      <c r="AB60" s="330">
        <f t="shared" si="65"/>
        <v>11461.415000000001</v>
      </c>
      <c r="AC60" s="330">
        <f t="shared" si="65"/>
        <v>0</v>
      </c>
      <c r="AD60" s="330">
        <f t="shared" si="65"/>
        <v>9433.0020000000004</v>
      </c>
      <c r="AE60" s="330">
        <f t="shared" si="65"/>
        <v>0</v>
      </c>
      <c r="AF60" s="1025"/>
    </row>
    <row r="61" spans="1:32" ht="31.5" x14ac:dyDescent="0.25">
      <c r="A61" s="343" t="s">
        <v>174</v>
      </c>
      <c r="B61" s="330">
        <f t="shared" ref="B61:E62" si="66">B67+B73</f>
        <v>0</v>
      </c>
      <c r="C61" s="330">
        <f t="shared" si="66"/>
        <v>0</v>
      </c>
      <c r="D61" s="330">
        <f t="shared" si="66"/>
        <v>0</v>
      </c>
      <c r="E61" s="330">
        <f t="shared" si="66"/>
        <v>0</v>
      </c>
      <c r="F61" s="345">
        <f t="shared" ref="F61:F62" si="67">IFERROR(E61/B61*100,0)</f>
        <v>0</v>
      </c>
      <c r="G61" s="345">
        <f t="shared" ref="G61:G62" si="68">IFERROR(E61/C61*100,0)</f>
        <v>0</v>
      </c>
      <c r="H61" s="330">
        <f t="shared" ref="H61:W62" si="69">H67+H73</f>
        <v>0</v>
      </c>
      <c r="I61" s="330">
        <f t="shared" si="69"/>
        <v>0</v>
      </c>
      <c r="J61" s="330">
        <f t="shared" si="69"/>
        <v>0</v>
      </c>
      <c r="K61" s="330">
        <f t="shared" si="69"/>
        <v>0</v>
      </c>
      <c r="L61" s="330">
        <f t="shared" si="69"/>
        <v>0</v>
      </c>
      <c r="M61" s="330">
        <f t="shared" si="69"/>
        <v>0</v>
      </c>
      <c r="N61" s="330">
        <f t="shared" si="69"/>
        <v>0</v>
      </c>
      <c r="O61" s="330">
        <f t="shared" si="69"/>
        <v>0</v>
      </c>
      <c r="P61" s="330">
        <f t="shared" si="69"/>
        <v>0</v>
      </c>
      <c r="Q61" s="330">
        <f t="shared" si="69"/>
        <v>0</v>
      </c>
      <c r="R61" s="330">
        <f t="shared" si="69"/>
        <v>0</v>
      </c>
      <c r="S61" s="330">
        <f t="shared" si="69"/>
        <v>0</v>
      </c>
      <c r="T61" s="330">
        <f t="shared" si="69"/>
        <v>0</v>
      </c>
      <c r="U61" s="330">
        <f t="shared" si="69"/>
        <v>0</v>
      </c>
      <c r="V61" s="330">
        <f t="shared" si="69"/>
        <v>0</v>
      </c>
      <c r="W61" s="330">
        <f t="shared" si="69"/>
        <v>0</v>
      </c>
      <c r="X61" s="330">
        <f t="shared" si="65"/>
        <v>0</v>
      </c>
      <c r="Y61" s="330">
        <f t="shared" si="65"/>
        <v>0</v>
      </c>
      <c r="Z61" s="330">
        <f t="shared" si="65"/>
        <v>0</v>
      </c>
      <c r="AA61" s="330">
        <f t="shared" si="65"/>
        <v>0</v>
      </c>
      <c r="AB61" s="330">
        <f t="shared" si="65"/>
        <v>0</v>
      </c>
      <c r="AC61" s="330">
        <f t="shared" si="65"/>
        <v>0</v>
      </c>
      <c r="AD61" s="330">
        <f t="shared" si="65"/>
        <v>0</v>
      </c>
      <c r="AE61" s="330">
        <f t="shared" si="65"/>
        <v>0</v>
      </c>
      <c r="AF61" s="1025"/>
    </row>
    <row r="62" spans="1:32" x14ac:dyDescent="0.25">
      <c r="A62" s="329" t="s">
        <v>389</v>
      </c>
      <c r="B62" s="330">
        <f t="shared" si="66"/>
        <v>0</v>
      </c>
      <c r="C62" s="330">
        <f t="shared" si="66"/>
        <v>0</v>
      </c>
      <c r="D62" s="330">
        <f t="shared" si="66"/>
        <v>0</v>
      </c>
      <c r="E62" s="330">
        <f t="shared" si="66"/>
        <v>0</v>
      </c>
      <c r="F62" s="345">
        <f t="shared" si="67"/>
        <v>0</v>
      </c>
      <c r="G62" s="345">
        <f t="shared" si="68"/>
        <v>0</v>
      </c>
      <c r="H62" s="330">
        <f t="shared" si="69"/>
        <v>0</v>
      </c>
      <c r="I62" s="330">
        <f t="shared" si="69"/>
        <v>0</v>
      </c>
      <c r="J62" s="330">
        <f t="shared" si="69"/>
        <v>0</v>
      </c>
      <c r="K62" s="330">
        <f t="shared" si="69"/>
        <v>0</v>
      </c>
      <c r="L62" s="330">
        <f t="shared" si="69"/>
        <v>0</v>
      </c>
      <c r="M62" s="330">
        <f t="shared" si="69"/>
        <v>0</v>
      </c>
      <c r="N62" s="330">
        <f t="shared" si="69"/>
        <v>0</v>
      </c>
      <c r="O62" s="330">
        <f t="shared" si="69"/>
        <v>0</v>
      </c>
      <c r="P62" s="330">
        <f t="shared" si="69"/>
        <v>0</v>
      </c>
      <c r="Q62" s="330">
        <f t="shared" si="69"/>
        <v>0</v>
      </c>
      <c r="R62" s="330">
        <f t="shared" si="69"/>
        <v>0</v>
      </c>
      <c r="S62" s="330">
        <f t="shared" si="69"/>
        <v>0</v>
      </c>
      <c r="T62" s="330">
        <f t="shared" si="69"/>
        <v>0</v>
      </c>
      <c r="U62" s="330">
        <f t="shared" si="69"/>
        <v>0</v>
      </c>
      <c r="V62" s="330">
        <f t="shared" si="69"/>
        <v>0</v>
      </c>
      <c r="W62" s="330">
        <f t="shared" si="69"/>
        <v>0</v>
      </c>
      <c r="X62" s="330">
        <f t="shared" si="65"/>
        <v>0</v>
      </c>
      <c r="Y62" s="330">
        <f t="shared" si="65"/>
        <v>0</v>
      </c>
      <c r="Z62" s="330">
        <f t="shared" si="65"/>
        <v>0</v>
      </c>
      <c r="AA62" s="330">
        <f t="shared" si="65"/>
        <v>0</v>
      </c>
      <c r="AB62" s="330">
        <f t="shared" si="65"/>
        <v>0</v>
      </c>
      <c r="AC62" s="330">
        <f t="shared" si="65"/>
        <v>0</v>
      </c>
      <c r="AD62" s="330">
        <f t="shared" si="65"/>
        <v>0</v>
      </c>
      <c r="AE62" s="330">
        <f t="shared" si="65"/>
        <v>0</v>
      </c>
      <c r="AF62" s="1025"/>
    </row>
    <row r="63" spans="1:32" x14ac:dyDescent="0.25">
      <c r="A63" s="1015" t="s">
        <v>423</v>
      </c>
      <c r="B63" s="1016"/>
      <c r="C63" s="1016"/>
      <c r="D63" s="1016"/>
      <c r="E63" s="1016"/>
      <c r="F63" s="1016"/>
      <c r="G63" s="1016"/>
      <c r="H63" s="1016"/>
      <c r="I63" s="1016"/>
      <c r="J63" s="1016"/>
      <c r="K63" s="1016"/>
      <c r="L63" s="1016"/>
      <c r="M63" s="1016"/>
      <c r="N63" s="1016"/>
      <c r="O63" s="1016"/>
      <c r="P63" s="1016"/>
      <c r="Q63" s="1016"/>
      <c r="R63" s="1016"/>
      <c r="S63" s="1016"/>
      <c r="T63" s="1016"/>
      <c r="U63" s="1016"/>
      <c r="V63" s="1016"/>
      <c r="W63" s="1016"/>
      <c r="X63" s="1016"/>
      <c r="Y63" s="1016"/>
      <c r="Z63" s="1016"/>
      <c r="AA63" s="1016"/>
      <c r="AB63" s="1016"/>
      <c r="AC63" s="1016"/>
      <c r="AD63" s="1016"/>
      <c r="AE63" s="1017"/>
      <c r="AF63" s="1025"/>
    </row>
    <row r="64" spans="1:32" x14ac:dyDescent="0.25">
      <c r="A64" s="329" t="s">
        <v>31</v>
      </c>
      <c r="B64" s="345">
        <f>B65+B66+B68</f>
        <v>195874.58499999996</v>
      </c>
      <c r="C64" s="345">
        <f t="shared" ref="C64:E64" si="70">C65+C66+C68</f>
        <v>67353.339000000007</v>
      </c>
      <c r="D64" s="345">
        <f t="shared" si="70"/>
        <v>50981.31</v>
      </c>
      <c r="E64" s="345">
        <f t="shared" si="70"/>
        <v>50981.31</v>
      </c>
      <c r="F64" s="345">
        <f t="shared" ref="F64" si="71">E64/B64*100</f>
        <v>26.027526746259603</v>
      </c>
      <c r="G64" s="345">
        <f>E64/C64*100</f>
        <v>75.692327591955006</v>
      </c>
      <c r="H64" s="345">
        <f>H65+H66+H68</f>
        <v>24766.143</v>
      </c>
      <c r="I64" s="345">
        <f t="shared" ref="I64:AE64" si="72">I65+I66+I68</f>
        <v>8911.5</v>
      </c>
      <c r="J64" s="345">
        <f t="shared" si="72"/>
        <v>20856.759999999998</v>
      </c>
      <c r="K64" s="345">
        <f t="shared" si="72"/>
        <v>24332.61</v>
      </c>
      <c r="L64" s="345">
        <f t="shared" si="72"/>
        <v>21730.436000000002</v>
      </c>
      <c r="M64" s="345">
        <f t="shared" si="72"/>
        <v>17737.2</v>
      </c>
      <c r="N64" s="331">
        <f t="shared" si="72"/>
        <v>26938.329000000002</v>
      </c>
      <c r="O64" s="331">
        <f t="shared" si="72"/>
        <v>0</v>
      </c>
      <c r="P64" s="331">
        <f t="shared" si="72"/>
        <v>16569.874</v>
      </c>
      <c r="Q64" s="331">
        <f t="shared" si="72"/>
        <v>0</v>
      </c>
      <c r="R64" s="331">
        <f t="shared" si="72"/>
        <v>15726.916999999999</v>
      </c>
      <c r="S64" s="331">
        <f t="shared" si="72"/>
        <v>0</v>
      </c>
      <c r="T64" s="331">
        <f t="shared" si="72"/>
        <v>17933.669000000002</v>
      </c>
      <c r="U64" s="331">
        <f t="shared" si="72"/>
        <v>0</v>
      </c>
      <c r="V64" s="331">
        <f t="shared" si="72"/>
        <v>10583.576999999999</v>
      </c>
      <c r="W64" s="331">
        <f t="shared" si="72"/>
        <v>0</v>
      </c>
      <c r="X64" s="331">
        <f t="shared" si="72"/>
        <v>9554.2530000000006</v>
      </c>
      <c r="Y64" s="331">
        <f t="shared" si="72"/>
        <v>0</v>
      </c>
      <c r="Z64" s="331">
        <f t="shared" si="72"/>
        <v>12029.11</v>
      </c>
      <c r="AA64" s="331">
        <f t="shared" si="72"/>
        <v>0</v>
      </c>
      <c r="AB64" s="331">
        <f t="shared" si="72"/>
        <v>10534.715</v>
      </c>
      <c r="AC64" s="331"/>
      <c r="AD64" s="331">
        <f t="shared" si="72"/>
        <v>8650.8019999999997</v>
      </c>
      <c r="AE64" s="331">
        <f t="shared" si="72"/>
        <v>0</v>
      </c>
      <c r="AF64" s="1025"/>
    </row>
    <row r="65" spans="1:32" x14ac:dyDescent="0.25">
      <c r="A65" s="329" t="s">
        <v>32</v>
      </c>
      <c r="B65" s="345"/>
      <c r="C65" s="659"/>
      <c r="D65" s="345"/>
      <c r="E65" s="345"/>
      <c r="F65" s="345"/>
      <c r="G65" s="345"/>
      <c r="H65" s="659"/>
      <c r="I65" s="659"/>
      <c r="J65" s="659"/>
      <c r="K65" s="659"/>
      <c r="L65" s="659"/>
      <c r="M65" s="659"/>
      <c r="N65" s="330"/>
      <c r="O65" s="330"/>
      <c r="P65" s="330"/>
      <c r="Q65" s="330"/>
      <c r="R65" s="330"/>
      <c r="S65" s="330"/>
      <c r="T65" s="330"/>
      <c r="U65" s="330"/>
      <c r="V65" s="330"/>
      <c r="W65" s="330"/>
      <c r="X65" s="330"/>
      <c r="Y65" s="330"/>
      <c r="Z65" s="330"/>
      <c r="AA65" s="330"/>
      <c r="AB65" s="330"/>
      <c r="AC65" s="330"/>
      <c r="AD65" s="330"/>
      <c r="AE65" s="330"/>
      <c r="AF65" s="1025"/>
    </row>
    <row r="66" spans="1:32" x14ac:dyDescent="0.25">
      <c r="A66" s="329" t="s">
        <v>33</v>
      </c>
      <c r="B66" s="345">
        <f>H66+J66+L66+N66+P66+R66+T66+V66+X66+Z66+AB66+AD66</f>
        <v>195874.58499999996</v>
      </c>
      <c r="C66" s="659">
        <f t="shared" ref="C66" si="73">H66+J66+L66</f>
        <v>67353.339000000007</v>
      </c>
      <c r="D66" s="345">
        <f>E66</f>
        <v>50981.31</v>
      </c>
      <c r="E66" s="345">
        <f>I66+K66+M66+O66+Q66+S66+U66+W66+Y66+AA66+AC66+AE66</f>
        <v>50981.31</v>
      </c>
      <c r="F66" s="345">
        <f t="shared" ref="F66" si="74">IFERROR(E66/B66*100,0)</f>
        <v>26.027526746259603</v>
      </c>
      <c r="G66" s="345">
        <f t="shared" ref="G66" si="75">IFERROR(E66/C66*100,0)</f>
        <v>75.692327591955006</v>
      </c>
      <c r="H66" s="659">
        <v>24766.143</v>
      </c>
      <c r="I66" s="659">
        <v>8911.5</v>
      </c>
      <c r="J66" s="659">
        <v>20856.759999999998</v>
      </c>
      <c r="K66" s="659">
        <v>24332.61</v>
      </c>
      <c r="L66" s="659">
        <v>21730.436000000002</v>
      </c>
      <c r="M66" s="659">
        <v>17737.2</v>
      </c>
      <c r="N66" s="330">
        <v>26938.329000000002</v>
      </c>
      <c r="O66" s="330"/>
      <c r="P66" s="330">
        <v>16569.874</v>
      </c>
      <c r="Q66" s="330"/>
      <c r="R66" s="330">
        <v>15726.916999999999</v>
      </c>
      <c r="S66" s="330"/>
      <c r="T66" s="330">
        <v>17933.669000000002</v>
      </c>
      <c r="U66" s="330"/>
      <c r="V66" s="330">
        <v>10583.576999999999</v>
      </c>
      <c r="W66" s="330"/>
      <c r="X66" s="330">
        <v>9554.2530000000006</v>
      </c>
      <c r="Y66" s="330"/>
      <c r="Z66" s="330">
        <v>12029.11</v>
      </c>
      <c r="AA66" s="330"/>
      <c r="AB66" s="330">
        <v>10534.715</v>
      </c>
      <c r="AC66" s="330"/>
      <c r="AD66" s="330">
        <v>8650.8019999999997</v>
      </c>
      <c r="AE66" s="330"/>
      <c r="AF66" s="1025"/>
    </row>
    <row r="67" spans="1:32" ht="31.5" x14ac:dyDescent="0.25">
      <c r="A67" s="343" t="s">
        <v>174</v>
      </c>
      <c r="B67" s="345"/>
      <c r="C67" s="659"/>
      <c r="D67" s="345"/>
      <c r="E67" s="345"/>
      <c r="F67" s="345"/>
      <c r="G67" s="345"/>
      <c r="H67" s="659"/>
      <c r="I67" s="659"/>
      <c r="J67" s="659"/>
      <c r="K67" s="659"/>
      <c r="L67" s="659"/>
      <c r="M67" s="659"/>
      <c r="N67" s="330"/>
      <c r="O67" s="330"/>
      <c r="P67" s="330"/>
      <c r="Q67" s="330"/>
      <c r="R67" s="330"/>
      <c r="S67" s="330"/>
      <c r="T67" s="330"/>
      <c r="U67" s="330"/>
      <c r="V67" s="330"/>
      <c r="W67" s="330"/>
      <c r="X67" s="330"/>
      <c r="Y67" s="330"/>
      <c r="Z67" s="330"/>
      <c r="AA67" s="330"/>
      <c r="AB67" s="330"/>
      <c r="AC67" s="330"/>
      <c r="AD67" s="330"/>
      <c r="AE67" s="330"/>
      <c r="AF67" s="1025"/>
    </row>
    <row r="68" spans="1:32" x14ac:dyDescent="0.25">
      <c r="A68" s="329" t="s">
        <v>389</v>
      </c>
      <c r="B68" s="331"/>
      <c r="C68" s="659"/>
      <c r="D68" s="331"/>
      <c r="E68" s="331"/>
      <c r="F68" s="345"/>
      <c r="G68" s="345"/>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1026"/>
    </row>
    <row r="69" spans="1:32" x14ac:dyDescent="0.25">
      <c r="A69" s="1015" t="s">
        <v>424</v>
      </c>
      <c r="B69" s="1016"/>
      <c r="C69" s="1016"/>
      <c r="D69" s="1016"/>
      <c r="E69" s="1016"/>
      <c r="F69" s="1016"/>
      <c r="G69" s="1016"/>
      <c r="H69" s="1016"/>
      <c r="I69" s="1016"/>
      <c r="J69" s="1016"/>
      <c r="K69" s="1016"/>
      <c r="L69" s="1016"/>
      <c r="M69" s="1016"/>
      <c r="N69" s="1016"/>
      <c r="O69" s="1016"/>
      <c r="P69" s="1016"/>
      <c r="Q69" s="1016"/>
      <c r="R69" s="1016"/>
      <c r="S69" s="1016"/>
      <c r="T69" s="1016"/>
      <c r="U69" s="1016"/>
      <c r="V69" s="1016"/>
      <c r="W69" s="1016"/>
      <c r="X69" s="1016"/>
      <c r="Y69" s="1016"/>
      <c r="Z69" s="1016"/>
      <c r="AA69" s="1016"/>
      <c r="AB69" s="1016"/>
      <c r="AC69" s="1016"/>
      <c r="AD69" s="1016"/>
      <c r="AE69" s="1017"/>
      <c r="AF69" s="346"/>
    </row>
    <row r="70" spans="1:32" x14ac:dyDescent="0.25">
      <c r="A70" s="329" t="s">
        <v>31</v>
      </c>
      <c r="B70" s="345">
        <f>B71+B72+B74</f>
        <v>19344.921000000006</v>
      </c>
      <c r="C70" s="345">
        <f t="shared" ref="C70:E70" si="76">C71+C72+C74</f>
        <v>11149.120999999999</v>
      </c>
      <c r="D70" s="345">
        <f t="shared" si="76"/>
        <v>10667.7</v>
      </c>
      <c r="E70" s="345">
        <f t="shared" si="76"/>
        <v>10667.7</v>
      </c>
      <c r="F70" s="331">
        <f t="shared" ref="F70:G70" si="77">F72</f>
        <v>55.14470697502459</v>
      </c>
      <c r="G70" s="331">
        <f t="shared" si="77"/>
        <v>95.681982463012119</v>
      </c>
      <c r="H70" s="330">
        <f>H71+H72+H74</f>
        <v>8901.3209999999999</v>
      </c>
      <c r="I70" s="330">
        <f t="shared" ref="I70:AE70" si="78">I71+I72+I74</f>
        <v>8739.98</v>
      </c>
      <c r="J70" s="330">
        <f t="shared" si="78"/>
        <v>1123.9000000000001</v>
      </c>
      <c r="K70" s="330">
        <f t="shared" si="78"/>
        <v>963.86</v>
      </c>
      <c r="L70" s="330">
        <f t="shared" si="78"/>
        <v>1123.9000000000001</v>
      </c>
      <c r="M70" s="330">
        <f t="shared" si="78"/>
        <v>963.86</v>
      </c>
      <c r="N70" s="330">
        <f t="shared" si="78"/>
        <v>926.7</v>
      </c>
      <c r="O70" s="330">
        <f t="shared" si="78"/>
        <v>0</v>
      </c>
      <c r="P70" s="330">
        <f t="shared" si="78"/>
        <v>926.7</v>
      </c>
      <c r="Q70" s="330">
        <f t="shared" si="78"/>
        <v>0</v>
      </c>
      <c r="R70" s="330">
        <f t="shared" si="78"/>
        <v>926.7</v>
      </c>
      <c r="S70" s="330">
        <f t="shared" si="78"/>
        <v>0</v>
      </c>
      <c r="T70" s="330">
        <f t="shared" si="78"/>
        <v>926.7</v>
      </c>
      <c r="U70" s="330">
        <f t="shared" si="78"/>
        <v>0</v>
      </c>
      <c r="V70" s="330">
        <f t="shared" si="78"/>
        <v>926.7</v>
      </c>
      <c r="W70" s="330">
        <f t="shared" si="78"/>
        <v>0</v>
      </c>
      <c r="X70" s="330">
        <f t="shared" si="78"/>
        <v>926.7</v>
      </c>
      <c r="Y70" s="330">
        <f t="shared" si="78"/>
        <v>0</v>
      </c>
      <c r="Z70" s="330">
        <f t="shared" si="78"/>
        <v>926.7</v>
      </c>
      <c r="AA70" s="330">
        <f t="shared" si="78"/>
        <v>0</v>
      </c>
      <c r="AB70" s="330">
        <f t="shared" si="78"/>
        <v>926.7</v>
      </c>
      <c r="AC70" s="330">
        <f t="shared" si="78"/>
        <v>0</v>
      </c>
      <c r="AD70" s="330">
        <f t="shared" si="78"/>
        <v>782.2</v>
      </c>
      <c r="AE70" s="330">
        <f t="shared" si="78"/>
        <v>0</v>
      </c>
      <c r="AF70" s="1018" t="s">
        <v>542</v>
      </c>
    </row>
    <row r="71" spans="1:32" x14ac:dyDescent="0.25">
      <c r="A71" s="329" t="s">
        <v>32</v>
      </c>
      <c r="B71" s="331"/>
      <c r="C71" s="330"/>
      <c r="D71" s="331"/>
      <c r="E71" s="331"/>
      <c r="F71" s="331"/>
      <c r="G71" s="331"/>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1019"/>
    </row>
    <row r="72" spans="1:32" x14ac:dyDescent="0.25">
      <c r="A72" s="329" t="s">
        <v>33</v>
      </c>
      <c r="B72" s="331">
        <f>H72+J72+L72+N72+P72+R72+T72+V72+X72+Z72+AB72+AD72</f>
        <v>19344.921000000006</v>
      </c>
      <c r="C72" s="330">
        <f>H72+J72+L72</f>
        <v>11149.120999999999</v>
      </c>
      <c r="D72" s="331">
        <f>E72</f>
        <v>10667.7</v>
      </c>
      <c r="E72" s="331">
        <f>I72+K72+M72+O72+Q72+S72+U72+W72+Y72+AA72+AC72+AE72</f>
        <v>10667.7</v>
      </c>
      <c r="F72" s="331">
        <f t="shared" ref="F72" si="79">IFERROR(E72/B72*100,0)</f>
        <v>55.14470697502459</v>
      </c>
      <c r="G72" s="331">
        <f t="shared" ref="G72" si="80">IFERROR(E72/C72*100,0)</f>
        <v>95.681982463012119</v>
      </c>
      <c r="H72" s="330">
        <v>8901.3209999999999</v>
      </c>
      <c r="I72" s="330">
        <v>8739.98</v>
      </c>
      <c r="J72" s="330">
        <v>1123.9000000000001</v>
      </c>
      <c r="K72" s="330">
        <v>963.86</v>
      </c>
      <c r="L72" s="330">
        <v>1123.9000000000001</v>
      </c>
      <c r="M72" s="330">
        <v>963.86</v>
      </c>
      <c r="N72" s="330">
        <v>926.7</v>
      </c>
      <c r="O72" s="330"/>
      <c r="P72" s="330">
        <v>926.7</v>
      </c>
      <c r="Q72" s="330"/>
      <c r="R72" s="330">
        <v>926.7</v>
      </c>
      <c r="S72" s="330"/>
      <c r="T72" s="330">
        <v>926.7</v>
      </c>
      <c r="U72" s="330"/>
      <c r="V72" s="330">
        <v>926.7</v>
      </c>
      <c r="W72" s="330"/>
      <c r="X72" s="330">
        <v>926.7</v>
      </c>
      <c r="Y72" s="330"/>
      <c r="Z72" s="330">
        <v>926.7</v>
      </c>
      <c r="AA72" s="330"/>
      <c r="AB72" s="330">
        <v>926.7</v>
      </c>
      <c r="AC72" s="330"/>
      <c r="AD72" s="330">
        <v>782.2</v>
      </c>
      <c r="AE72" s="330"/>
      <c r="AF72" s="1019"/>
    </row>
    <row r="73" spans="1:32" ht="31.5" x14ac:dyDescent="0.25">
      <c r="A73" s="343" t="s">
        <v>174</v>
      </c>
      <c r="B73" s="331"/>
      <c r="C73" s="330"/>
      <c r="D73" s="331"/>
      <c r="E73" s="331"/>
      <c r="F73" s="331"/>
      <c r="G73" s="331"/>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1019"/>
    </row>
    <row r="74" spans="1:32" x14ac:dyDescent="0.25">
      <c r="A74" s="329" t="s">
        <v>389</v>
      </c>
      <c r="B74" s="331"/>
      <c r="C74" s="330"/>
      <c r="D74" s="331"/>
      <c r="E74" s="331"/>
      <c r="F74" s="331"/>
      <c r="G74" s="331"/>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1020"/>
    </row>
    <row r="75" spans="1:32" x14ac:dyDescent="0.25">
      <c r="A75" s="1015" t="s">
        <v>425</v>
      </c>
      <c r="B75" s="1016"/>
      <c r="C75" s="1016"/>
      <c r="D75" s="1016"/>
      <c r="E75" s="1016"/>
      <c r="F75" s="1016"/>
      <c r="G75" s="1016"/>
      <c r="H75" s="1016"/>
      <c r="I75" s="1016"/>
      <c r="J75" s="1016"/>
      <c r="K75" s="1016"/>
      <c r="L75" s="1016"/>
      <c r="M75" s="1016"/>
      <c r="N75" s="1016"/>
      <c r="O75" s="1016"/>
      <c r="P75" s="1016"/>
      <c r="Q75" s="1016"/>
      <c r="R75" s="1016"/>
      <c r="S75" s="1016"/>
      <c r="T75" s="1016"/>
      <c r="U75" s="1016"/>
      <c r="V75" s="1016"/>
      <c r="W75" s="1016"/>
      <c r="X75" s="1016"/>
      <c r="Y75" s="1016"/>
      <c r="Z75" s="1016"/>
      <c r="AA75" s="1016"/>
      <c r="AB75" s="1016"/>
      <c r="AC75" s="1016"/>
      <c r="AD75" s="1016"/>
      <c r="AE75" s="1017"/>
      <c r="AF75" s="328"/>
    </row>
    <row r="76" spans="1:32" x14ac:dyDescent="0.25">
      <c r="A76" s="329" t="s">
        <v>31</v>
      </c>
      <c r="B76" s="331">
        <f>B77+B78+B80</f>
        <v>6062.2990000000009</v>
      </c>
      <c r="C76" s="345">
        <f t="shared" ref="C76:E76" si="81">C77+C78+C80</f>
        <v>1261.279</v>
      </c>
      <c r="D76" s="345">
        <f t="shared" si="81"/>
        <v>1029.47</v>
      </c>
      <c r="E76" s="331">
        <f t="shared" si="81"/>
        <v>1029.47</v>
      </c>
      <c r="F76" s="331">
        <f t="shared" ref="F76:G76" si="82">F78</f>
        <v>16.981511469493668</v>
      </c>
      <c r="G76" s="331">
        <f t="shared" si="82"/>
        <v>81.621116343013725</v>
      </c>
      <c r="H76" s="330">
        <f>H77+H78+H80</f>
        <v>222.51900000000001</v>
      </c>
      <c r="I76" s="330">
        <f t="shared" ref="I76:AE76" si="83">I77+I78+I80</f>
        <v>211.32</v>
      </c>
      <c r="J76" s="330">
        <f t="shared" si="83"/>
        <v>529.38</v>
      </c>
      <c r="K76" s="330">
        <f t="shared" si="83"/>
        <v>424.49</v>
      </c>
      <c r="L76" s="330">
        <f t="shared" si="83"/>
        <v>509.38</v>
      </c>
      <c r="M76" s="330">
        <f t="shared" si="83"/>
        <v>393.66</v>
      </c>
      <c r="N76" s="330">
        <f t="shared" si="83"/>
        <v>519.38</v>
      </c>
      <c r="O76" s="330">
        <f t="shared" si="83"/>
        <v>0</v>
      </c>
      <c r="P76" s="330">
        <f t="shared" si="83"/>
        <v>499.38</v>
      </c>
      <c r="Q76" s="330">
        <f t="shared" si="83"/>
        <v>0</v>
      </c>
      <c r="R76" s="330">
        <f t="shared" si="83"/>
        <v>519.38</v>
      </c>
      <c r="S76" s="330">
        <f t="shared" si="83"/>
        <v>0</v>
      </c>
      <c r="T76" s="330">
        <f t="shared" si="83"/>
        <v>509.38</v>
      </c>
      <c r="U76" s="330">
        <f t="shared" si="83"/>
        <v>0</v>
      </c>
      <c r="V76" s="330">
        <f t="shared" si="83"/>
        <v>499.38</v>
      </c>
      <c r="W76" s="330">
        <f t="shared" si="83"/>
        <v>0</v>
      </c>
      <c r="X76" s="330">
        <f t="shared" si="83"/>
        <v>509.38</v>
      </c>
      <c r="Y76" s="330">
        <f t="shared" si="83"/>
        <v>0</v>
      </c>
      <c r="Z76" s="330">
        <f t="shared" si="83"/>
        <v>509.38</v>
      </c>
      <c r="AA76" s="330">
        <f t="shared" si="83"/>
        <v>0</v>
      </c>
      <c r="AB76" s="330">
        <f t="shared" si="83"/>
        <v>509.38</v>
      </c>
      <c r="AC76" s="330">
        <f t="shared" si="83"/>
        <v>0</v>
      </c>
      <c r="AD76" s="330">
        <f t="shared" si="83"/>
        <v>725.98</v>
      </c>
      <c r="AE76" s="330">
        <f t="shared" si="83"/>
        <v>0</v>
      </c>
      <c r="AF76" s="1024" t="s">
        <v>491</v>
      </c>
    </row>
    <row r="77" spans="1:32" ht="33" customHeight="1" x14ac:dyDescent="0.25">
      <c r="A77" s="329" t="s">
        <v>32</v>
      </c>
      <c r="B77" s="331"/>
      <c r="C77" s="330"/>
      <c r="D77" s="331"/>
      <c r="E77" s="331"/>
      <c r="F77" s="331"/>
      <c r="G77" s="331"/>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1025"/>
    </row>
    <row r="78" spans="1:32" ht="118.5" customHeight="1" x14ac:dyDescent="0.25">
      <c r="A78" s="329" t="s">
        <v>33</v>
      </c>
      <c r="B78" s="331">
        <f>H78+J78+L78+N78+P78+R78+T78+V78+X78+Z78+AB78+AD78</f>
        <v>6062.2990000000009</v>
      </c>
      <c r="C78" s="330">
        <f>H78+J78+L78</f>
        <v>1261.279</v>
      </c>
      <c r="D78" s="331">
        <f>E78</f>
        <v>1029.47</v>
      </c>
      <c r="E78" s="331">
        <f>I78+K78+M78+O78+Q78+S78+U78+W78+Y78+AA78+AC78+AE78</f>
        <v>1029.47</v>
      </c>
      <c r="F78" s="331">
        <f>IFERROR(E78/B78*100,0)</f>
        <v>16.981511469493668</v>
      </c>
      <c r="G78" s="331">
        <f>IFERROR(E78/C78*100,0)</f>
        <v>81.621116343013725</v>
      </c>
      <c r="H78" s="330">
        <v>222.51900000000001</v>
      </c>
      <c r="I78" s="330">
        <v>211.32</v>
      </c>
      <c r="J78" s="330">
        <v>529.38</v>
      </c>
      <c r="K78" s="330">
        <v>424.49</v>
      </c>
      <c r="L78" s="330">
        <v>509.38</v>
      </c>
      <c r="M78" s="330">
        <v>393.66</v>
      </c>
      <c r="N78" s="330">
        <v>519.38</v>
      </c>
      <c r="O78" s="330"/>
      <c r="P78" s="330">
        <v>499.38</v>
      </c>
      <c r="Q78" s="330"/>
      <c r="R78" s="330">
        <v>519.38</v>
      </c>
      <c r="S78" s="330"/>
      <c r="T78" s="330">
        <v>509.38</v>
      </c>
      <c r="U78" s="330"/>
      <c r="V78" s="330">
        <v>499.38</v>
      </c>
      <c r="W78" s="330"/>
      <c r="X78" s="330">
        <v>509.38</v>
      </c>
      <c r="Y78" s="330"/>
      <c r="Z78" s="330">
        <v>509.38</v>
      </c>
      <c r="AA78" s="330"/>
      <c r="AB78" s="330">
        <v>509.38</v>
      </c>
      <c r="AC78" s="330"/>
      <c r="AD78" s="330">
        <v>725.98</v>
      </c>
      <c r="AE78" s="330"/>
      <c r="AF78" s="1025"/>
    </row>
    <row r="79" spans="1:32" ht="42" customHeight="1" x14ac:dyDescent="0.25">
      <c r="A79" s="343" t="s">
        <v>174</v>
      </c>
      <c r="B79" s="331"/>
      <c r="C79" s="330"/>
      <c r="D79" s="331"/>
      <c r="E79" s="331"/>
      <c r="F79" s="331"/>
      <c r="G79" s="331"/>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1025"/>
    </row>
    <row r="80" spans="1:32" ht="63" customHeight="1" x14ac:dyDescent="0.25">
      <c r="A80" s="329" t="s">
        <v>389</v>
      </c>
      <c r="B80" s="331"/>
      <c r="C80" s="330"/>
      <c r="D80" s="331"/>
      <c r="E80" s="331"/>
      <c r="F80" s="331"/>
      <c r="G80" s="331"/>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1026"/>
    </row>
    <row r="81" spans="1:32" x14ac:dyDescent="0.25">
      <c r="A81" s="1015" t="s">
        <v>426</v>
      </c>
      <c r="B81" s="1016"/>
      <c r="C81" s="1016"/>
      <c r="D81" s="1016"/>
      <c r="E81" s="1016"/>
      <c r="F81" s="1016"/>
      <c r="G81" s="1016"/>
      <c r="H81" s="1016"/>
      <c r="I81" s="1016"/>
      <c r="J81" s="1016"/>
      <c r="K81" s="1016"/>
      <c r="L81" s="1016"/>
      <c r="M81" s="1016"/>
      <c r="N81" s="1016"/>
      <c r="O81" s="1016"/>
      <c r="P81" s="1016"/>
      <c r="Q81" s="1016"/>
      <c r="R81" s="1016"/>
      <c r="S81" s="1016"/>
      <c r="T81" s="1016"/>
      <c r="U81" s="1016"/>
      <c r="V81" s="1016"/>
      <c r="W81" s="1016"/>
      <c r="X81" s="1016"/>
      <c r="Y81" s="1016"/>
      <c r="Z81" s="1016"/>
      <c r="AA81" s="1016"/>
      <c r="AB81" s="1016"/>
      <c r="AC81" s="1016"/>
      <c r="AD81" s="1016"/>
      <c r="AE81" s="1017"/>
      <c r="AF81" s="347"/>
    </row>
    <row r="82" spans="1:32" ht="24.75" customHeight="1" x14ac:dyDescent="0.25">
      <c r="A82" s="329" t="s">
        <v>31</v>
      </c>
      <c r="B82" s="345">
        <f>B83+B84+B86</f>
        <v>767.6</v>
      </c>
      <c r="C82" s="345">
        <f t="shared" ref="C82:E82" si="84">C83+C84+C86</f>
        <v>158.19999999999999</v>
      </c>
      <c r="D82" s="345">
        <f t="shared" si="84"/>
        <v>68.2</v>
      </c>
      <c r="E82" s="331">
        <f t="shared" si="84"/>
        <v>68.2</v>
      </c>
      <c r="F82" s="331">
        <f t="shared" ref="F82:G82" si="85">F84</f>
        <v>8.8848358520062529</v>
      </c>
      <c r="G82" s="331">
        <f t="shared" si="85"/>
        <v>43.109987357774976</v>
      </c>
      <c r="H82" s="330">
        <f>H83+H84+H86</f>
        <v>22.8</v>
      </c>
      <c r="I82" s="330">
        <f t="shared" ref="I82:AE82" si="86">I83+I84+I86</f>
        <v>22.8</v>
      </c>
      <c r="J82" s="330">
        <f t="shared" si="86"/>
        <v>67.7</v>
      </c>
      <c r="K82" s="330">
        <f t="shared" si="86"/>
        <v>16.8</v>
      </c>
      <c r="L82" s="330">
        <f t="shared" si="86"/>
        <v>67.7</v>
      </c>
      <c r="M82" s="330">
        <f t="shared" si="86"/>
        <v>28.6</v>
      </c>
      <c r="N82" s="330">
        <f t="shared" si="86"/>
        <v>67.7</v>
      </c>
      <c r="O82" s="330">
        <f t="shared" si="86"/>
        <v>0</v>
      </c>
      <c r="P82" s="330">
        <f t="shared" si="86"/>
        <v>67.7</v>
      </c>
      <c r="Q82" s="330">
        <f t="shared" si="86"/>
        <v>0</v>
      </c>
      <c r="R82" s="330">
        <f t="shared" si="86"/>
        <v>67.7</v>
      </c>
      <c r="S82" s="330">
        <f t="shared" si="86"/>
        <v>0</v>
      </c>
      <c r="T82" s="330">
        <f t="shared" si="86"/>
        <v>67.7</v>
      </c>
      <c r="U82" s="330">
        <f t="shared" si="86"/>
        <v>0</v>
      </c>
      <c r="V82" s="330">
        <f t="shared" si="86"/>
        <v>67.7</v>
      </c>
      <c r="W82" s="330">
        <f t="shared" si="86"/>
        <v>0</v>
      </c>
      <c r="X82" s="330">
        <f t="shared" si="86"/>
        <v>67.7</v>
      </c>
      <c r="Y82" s="330">
        <f t="shared" si="86"/>
        <v>0</v>
      </c>
      <c r="Z82" s="330">
        <f t="shared" si="86"/>
        <v>67.7</v>
      </c>
      <c r="AA82" s="330">
        <f t="shared" si="86"/>
        <v>0</v>
      </c>
      <c r="AB82" s="330">
        <f t="shared" si="86"/>
        <v>67.7</v>
      </c>
      <c r="AC82" s="330">
        <f t="shared" si="86"/>
        <v>0</v>
      </c>
      <c r="AD82" s="330">
        <f t="shared" si="86"/>
        <v>67.8</v>
      </c>
      <c r="AE82" s="330">
        <f t="shared" si="86"/>
        <v>0</v>
      </c>
      <c r="AF82" s="1024" t="s">
        <v>502</v>
      </c>
    </row>
    <row r="83" spans="1:32" ht="42" customHeight="1" x14ac:dyDescent="0.25">
      <c r="A83" s="329" t="s">
        <v>32</v>
      </c>
      <c r="B83" s="331"/>
      <c r="C83" s="330"/>
      <c r="D83" s="331"/>
      <c r="E83" s="331"/>
      <c r="F83" s="331"/>
      <c r="G83" s="331"/>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1025"/>
    </row>
    <row r="84" spans="1:32" ht="34.5" customHeight="1" x14ac:dyDescent="0.25">
      <c r="A84" s="329" t="s">
        <v>33</v>
      </c>
      <c r="B84" s="331">
        <f>H84+J84+L84+N84+P84+R84+T84+V84+X84+Z84+AB84+AD84</f>
        <v>767.6</v>
      </c>
      <c r="C84" s="330">
        <f>H84+J84+L84</f>
        <v>158.19999999999999</v>
      </c>
      <c r="D84" s="331">
        <f>E84</f>
        <v>68.2</v>
      </c>
      <c r="E84" s="331">
        <f>I84+K84+M84+O84+Q84+S84+U84+W84+Y84+AA84+AC84+AE84</f>
        <v>68.2</v>
      </c>
      <c r="F84" s="331">
        <f>IFERROR(E84/B84*100,0)</f>
        <v>8.8848358520062529</v>
      </c>
      <c r="G84" s="331">
        <f>IFERROR(E84/C84*100,0)</f>
        <v>43.109987357774976</v>
      </c>
      <c r="H84" s="330">
        <v>22.8</v>
      </c>
      <c r="I84" s="330">
        <v>22.8</v>
      </c>
      <c r="J84" s="330">
        <v>67.7</v>
      </c>
      <c r="K84" s="330">
        <v>16.8</v>
      </c>
      <c r="L84" s="330">
        <v>67.7</v>
      </c>
      <c r="M84" s="330">
        <v>28.6</v>
      </c>
      <c r="N84" s="330">
        <v>67.7</v>
      </c>
      <c r="O84" s="330"/>
      <c r="P84" s="330">
        <v>67.7</v>
      </c>
      <c r="Q84" s="330"/>
      <c r="R84" s="330">
        <v>67.7</v>
      </c>
      <c r="S84" s="330"/>
      <c r="T84" s="330">
        <v>67.7</v>
      </c>
      <c r="U84" s="330"/>
      <c r="V84" s="330">
        <v>67.7</v>
      </c>
      <c r="W84" s="330"/>
      <c r="X84" s="330">
        <v>67.7</v>
      </c>
      <c r="Y84" s="330"/>
      <c r="Z84" s="330">
        <v>67.7</v>
      </c>
      <c r="AA84" s="330"/>
      <c r="AB84" s="330">
        <v>67.7</v>
      </c>
      <c r="AC84" s="330"/>
      <c r="AD84" s="330">
        <v>67.8</v>
      </c>
      <c r="AE84" s="330"/>
      <c r="AF84" s="1025"/>
    </row>
    <row r="85" spans="1:32" ht="45" customHeight="1" x14ac:dyDescent="0.25">
      <c r="A85" s="343" t="s">
        <v>174</v>
      </c>
      <c r="B85" s="331"/>
      <c r="C85" s="330"/>
      <c r="D85" s="331"/>
      <c r="E85" s="331"/>
      <c r="F85" s="331"/>
      <c r="G85" s="331"/>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1025"/>
    </row>
    <row r="86" spans="1:32" x14ac:dyDescent="0.25">
      <c r="A86" s="329" t="s">
        <v>389</v>
      </c>
      <c r="B86" s="331"/>
      <c r="C86" s="330"/>
      <c r="D86" s="331"/>
      <c r="E86" s="331"/>
      <c r="F86" s="331"/>
      <c r="G86" s="331"/>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1026"/>
    </row>
    <row r="87" spans="1:32" x14ac:dyDescent="0.25">
      <c r="A87" s="1015" t="s">
        <v>427</v>
      </c>
      <c r="B87" s="1016"/>
      <c r="C87" s="1016"/>
      <c r="D87" s="1016"/>
      <c r="E87" s="1016"/>
      <c r="F87" s="1016"/>
      <c r="G87" s="1016"/>
      <c r="H87" s="1016"/>
      <c r="I87" s="1016"/>
      <c r="J87" s="1016"/>
      <c r="K87" s="1016"/>
      <c r="L87" s="1016"/>
      <c r="M87" s="1016"/>
      <c r="N87" s="1016"/>
      <c r="O87" s="1016"/>
      <c r="P87" s="1016"/>
      <c r="Q87" s="1016"/>
      <c r="R87" s="1016"/>
      <c r="S87" s="1016"/>
      <c r="T87" s="1016"/>
      <c r="U87" s="1016"/>
      <c r="V87" s="1016"/>
      <c r="W87" s="1016"/>
      <c r="X87" s="1016"/>
      <c r="Y87" s="1016"/>
      <c r="Z87" s="1016"/>
      <c r="AA87" s="1016"/>
      <c r="AB87" s="1016"/>
      <c r="AC87" s="1016"/>
      <c r="AD87" s="1016"/>
      <c r="AE87" s="1017"/>
      <c r="AF87" s="347"/>
    </row>
    <row r="88" spans="1:32" x14ac:dyDescent="0.25">
      <c r="A88" s="329" t="s">
        <v>31</v>
      </c>
      <c r="B88" s="345">
        <f>B89+B90+B92</f>
        <v>7140.6</v>
      </c>
      <c r="C88" s="345">
        <f t="shared" ref="C88:E88" si="87">C89+C90+C92</f>
        <v>0</v>
      </c>
      <c r="D88" s="345">
        <f t="shared" si="87"/>
        <v>0</v>
      </c>
      <c r="E88" s="331">
        <f t="shared" si="87"/>
        <v>0</v>
      </c>
      <c r="F88" s="331">
        <f t="shared" ref="F88:G88" si="88">F90</f>
        <v>0</v>
      </c>
      <c r="G88" s="331">
        <f t="shared" si="88"/>
        <v>0</v>
      </c>
      <c r="H88" s="330">
        <f>H89+H90+H92</f>
        <v>0</v>
      </c>
      <c r="I88" s="330">
        <f t="shared" ref="I88:AE88" si="89">I89+I90+I92</f>
        <v>0</v>
      </c>
      <c r="J88" s="330">
        <f t="shared" si="89"/>
        <v>0</v>
      </c>
      <c r="K88" s="330">
        <f t="shared" si="89"/>
        <v>0</v>
      </c>
      <c r="L88" s="330">
        <f t="shared" si="89"/>
        <v>0</v>
      </c>
      <c r="M88" s="330">
        <f t="shared" si="89"/>
        <v>0</v>
      </c>
      <c r="N88" s="330">
        <f t="shared" si="89"/>
        <v>0</v>
      </c>
      <c r="O88" s="330">
        <f t="shared" si="89"/>
        <v>0</v>
      </c>
      <c r="P88" s="330">
        <f t="shared" si="89"/>
        <v>0</v>
      </c>
      <c r="Q88" s="330">
        <f t="shared" si="89"/>
        <v>0</v>
      </c>
      <c r="R88" s="330">
        <f t="shared" si="89"/>
        <v>0</v>
      </c>
      <c r="S88" s="330">
        <f t="shared" si="89"/>
        <v>0</v>
      </c>
      <c r="T88" s="330">
        <f t="shared" si="89"/>
        <v>0</v>
      </c>
      <c r="U88" s="330">
        <f t="shared" si="89"/>
        <v>0</v>
      </c>
      <c r="V88" s="330">
        <f t="shared" si="89"/>
        <v>0</v>
      </c>
      <c r="W88" s="330">
        <f t="shared" si="89"/>
        <v>0</v>
      </c>
      <c r="X88" s="330">
        <f t="shared" si="89"/>
        <v>0</v>
      </c>
      <c r="Y88" s="330">
        <f t="shared" si="89"/>
        <v>0</v>
      </c>
      <c r="Z88" s="330">
        <f t="shared" si="89"/>
        <v>7140.6</v>
      </c>
      <c r="AA88" s="330">
        <f t="shared" si="89"/>
        <v>0</v>
      </c>
      <c r="AB88" s="330">
        <f t="shared" si="89"/>
        <v>0</v>
      </c>
      <c r="AC88" s="330">
        <f t="shared" si="89"/>
        <v>0</v>
      </c>
      <c r="AD88" s="330">
        <f t="shared" si="89"/>
        <v>0</v>
      </c>
      <c r="AE88" s="330">
        <f t="shared" si="89"/>
        <v>0</v>
      </c>
      <c r="AF88" s="1027"/>
    </row>
    <row r="89" spans="1:32" x14ac:dyDescent="0.25">
      <c r="A89" s="329" t="s">
        <v>32</v>
      </c>
      <c r="B89" s="331"/>
      <c r="C89" s="330"/>
      <c r="D89" s="331"/>
      <c r="E89" s="331"/>
      <c r="F89" s="339"/>
      <c r="G89" s="339"/>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1028"/>
    </row>
    <row r="90" spans="1:32" x14ac:dyDescent="0.25">
      <c r="A90" s="710" t="s">
        <v>33</v>
      </c>
      <c r="B90" s="331">
        <f>H90+J90+L90+N90+P90+R90+T90+V90+X90+Z90+AB90+AD90</f>
        <v>7140.6</v>
      </c>
      <c r="C90" s="330">
        <f t="shared" ref="C90" si="90">H90+J90+L90</f>
        <v>0</v>
      </c>
      <c r="D90" s="331">
        <f>E90</f>
        <v>0</v>
      </c>
      <c r="E90" s="331">
        <f t="shared" ref="E90" si="91">I90+K90+M90+O90+Q90+S90+U90+W90+Y90+AA90+AC90+AE90</f>
        <v>0</v>
      </c>
      <c r="F90" s="339">
        <f t="shared" ref="F90" si="92">IFERROR(E90/B90%,0)</f>
        <v>0</v>
      </c>
      <c r="G90" s="339">
        <f>IFERROR(E90/C90%,0)</f>
        <v>0</v>
      </c>
      <c r="H90" s="330"/>
      <c r="I90" s="330"/>
      <c r="J90" s="330"/>
      <c r="K90" s="330"/>
      <c r="L90" s="330"/>
      <c r="M90" s="330"/>
      <c r="N90" s="330"/>
      <c r="O90" s="330"/>
      <c r="P90" s="330"/>
      <c r="Q90" s="330"/>
      <c r="R90" s="330"/>
      <c r="S90" s="330"/>
      <c r="T90" s="330"/>
      <c r="U90" s="330"/>
      <c r="V90" s="330"/>
      <c r="W90" s="330"/>
      <c r="X90" s="330"/>
      <c r="Y90" s="330"/>
      <c r="Z90" s="330">
        <v>7140.6</v>
      </c>
      <c r="AA90" s="330"/>
      <c r="AB90" s="330"/>
      <c r="AC90" s="330"/>
      <c r="AD90" s="330"/>
      <c r="AE90" s="330"/>
      <c r="AF90" s="1028"/>
    </row>
    <row r="91" spans="1:32" ht="31.5" x14ac:dyDescent="0.25">
      <c r="A91" s="343" t="s">
        <v>174</v>
      </c>
      <c r="B91" s="331"/>
      <c r="C91" s="330"/>
      <c r="D91" s="331"/>
      <c r="E91" s="331"/>
      <c r="F91" s="339"/>
      <c r="G91" s="339"/>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1028"/>
    </row>
    <row r="92" spans="1:32" x14ac:dyDescent="0.25">
      <c r="A92" s="329" t="s">
        <v>389</v>
      </c>
      <c r="B92" s="331"/>
      <c r="C92" s="330"/>
      <c r="D92" s="331"/>
      <c r="E92" s="331"/>
      <c r="F92" s="339"/>
      <c r="G92" s="339"/>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1029"/>
    </row>
    <row r="93" spans="1:32" x14ac:dyDescent="0.25">
      <c r="A93" s="1015" t="s">
        <v>503</v>
      </c>
      <c r="B93" s="1016"/>
      <c r="C93" s="1016"/>
      <c r="D93" s="1016"/>
      <c r="E93" s="1016"/>
      <c r="F93" s="1016"/>
      <c r="G93" s="1016"/>
      <c r="H93" s="1016"/>
      <c r="I93" s="1016"/>
      <c r="J93" s="1016"/>
      <c r="K93" s="1016"/>
      <c r="L93" s="1016"/>
      <c r="M93" s="1016"/>
      <c r="N93" s="1016"/>
      <c r="O93" s="1016"/>
      <c r="P93" s="1016"/>
      <c r="Q93" s="1016"/>
      <c r="R93" s="1016"/>
      <c r="S93" s="1016"/>
      <c r="T93" s="1016"/>
      <c r="U93" s="1016"/>
      <c r="V93" s="1016"/>
      <c r="W93" s="1016"/>
      <c r="X93" s="1016"/>
      <c r="Y93" s="1016"/>
      <c r="Z93" s="1016"/>
      <c r="AA93" s="1016"/>
      <c r="AB93" s="1016"/>
      <c r="AC93" s="1016"/>
      <c r="AD93" s="1016"/>
      <c r="AE93" s="1017"/>
      <c r="AF93" s="348"/>
    </row>
    <row r="94" spans="1:32" x14ac:dyDescent="0.25">
      <c r="A94" s="329" t="s">
        <v>31</v>
      </c>
      <c r="B94" s="345">
        <f>B95+B96+B98</f>
        <v>500</v>
      </c>
      <c r="C94" s="345">
        <f t="shared" ref="C94:E94" si="93">C95+C96+C98</f>
        <v>0</v>
      </c>
      <c r="D94" s="345">
        <f t="shared" si="93"/>
        <v>0</v>
      </c>
      <c r="E94" s="331">
        <f t="shared" si="93"/>
        <v>0</v>
      </c>
      <c r="F94" s="331">
        <f t="shared" ref="F94:G94" si="94">F96</f>
        <v>0</v>
      </c>
      <c r="G94" s="331">
        <f t="shared" si="94"/>
        <v>0</v>
      </c>
      <c r="H94" s="330">
        <f>H95+H96+H98</f>
        <v>0</v>
      </c>
      <c r="I94" s="330">
        <f t="shared" ref="I94:AE94" si="95">I95+I96+I98</f>
        <v>0</v>
      </c>
      <c r="J94" s="330">
        <f t="shared" si="95"/>
        <v>0</v>
      </c>
      <c r="K94" s="330">
        <f t="shared" si="95"/>
        <v>0</v>
      </c>
      <c r="L94" s="330">
        <f t="shared" si="95"/>
        <v>0</v>
      </c>
      <c r="M94" s="330">
        <f t="shared" si="95"/>
        <v>0</v>
      </c>
      <c r="N94" s="330">
        <f t="shared" si="95"/>
        <v>0</v>
      </c>
      <c r="O94" s="330">
        <f t="shared" si="95"/>
        <v>0</v>
      </c>
      <c r="P94" s="330">
        <f t="shared" si="95"/>
        <v>0</v>
      </c>
      <c r="Q94" s="330">
        <f t="shared" si="95"/>
        <v>0</v>
      </c>
      <c r="R94" s="330">
        <f t="shared" si="95"/>
        <v>0</v>
      </c>
      <c r="S94" s="330">
        <f t="shared" si="95"/>
        <v>0</v>
      </c>
      <c r="T94" s="330">
        <f t="shared" si="95"/>
        <v>0</v>
      </c>
      <c r="U94" s="330">
        <f t="shared" si="95"/>
        <v>0</v>
      </c>
      <c r="V94" s="330">
        <f t="shared" si="95"/>
        <v>0</v>
      </c>
      <c r="W94" s="330">
        <f t="shared" si="95"/>
        <v>0</v>
      </c>
      <c r="X94" s="330">
        <f t="shared" si="95"/>
        <v>0</v>
      </c>
      <c r="Y94" s="330">
        <f t="shared" si="95"/>
        <v>0</v>
      </c>
      <c r="Z94" s="330">
        <f t="shared" si="95"/>
        <v>500</v>
      </c>
      <c r="AA94" s="330">
        <f t="shared" si="95"/>
        <v>0</v>
      </c>
      <c r="AB94" s="330">
        <f t="shared" si="95"/>
        <v>0</v>
      </c>
      <c r="AC94" s="330">
        <f t="shared" si="95"/>
        <v>0</v>
      </c>
      <c r="AD94" s="330">
        <f t="shared" si="95"/>
        <v>0</v>
      </c>
      <c r="AE94" s="330">
        <f t="shared" si="95"/>
        <v>0</v>
      </c>
      <c r="AF94" s="1042"/>
    </row>
    <row r="95" spans="1:32" x14ac:dyDescent="0.25">
      <c r="A95" s="329" t="s">
        <v>32</v>
      </c>
      <c r="B95" s="331"/>
      <c r="C95" s="330"/>
      <c r="D95" s="331"/>
      <c r="E95" s="331"/>
      <c r="F95" s="339"/>
      <c r="G95" s="339"/>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1042"/>
    </row>
    <row r="96" spans="1:32" x14ac:dyDescent="0.25">
      <c r="A96" s="329" t="s">
        <v>33</v>
      </c>
      <c r="B96" s="331">
        <f>H96+J96+L96+N96+P96+R96+T96+V96+X96+Z96+AB96+AD96</f>
        <v>500</v>
      </c>
      <c r="C96" s="330">
        <f>H96+J96+L96</f>
        <v>0</v>
      </c>
      <c r="D96" s="331">
        <f>E96</f>
        <v>0</v>
      </c>
      <c r="E96" s="331">
        <f t="shared" ref="E96" si="96">I96+K96+M96+O96+Q96+S96+U96+W96+Y96+AA96+AC96+AE96</f>
        <v>0</v>
      </c>
      <c r="F96" s="339">
        <f t="shared" ref="F96" si="97">IFERROR(E96/B96%,0)</f>
        <v>0</v>
      </c>
      <c r="G96" s="339">
        <f>IFERROR(E96/C96%,0)</f>
        <v>0</v>
      </c>
      <c r="H96" s="330"/>
      <c r="I96" s="330"/>
      <c r="J96" s="330"/>
      <c r="K96" s="330"/>
      <c r="L96" s="330"/>
      <c r="M96" s="330"/>
      <c r="N96" s="330"/>
      <c r="O96" s="330"/>
      <c r="P96" s="330"/>
      <c r="Q96" s="330"/>
      <c r="R96" s="330"/>
      <c r="S96" s="330"/>
      <c r="T96" s="330"/>
      <c r="U96" s="330"/>
      <c r="V96" s="330"/>
      <c r="W96" s="330"/>
      <c r="X96" s="330"/>
      <c r="Y96" s="330"/>
      <c r="Z96" s="330">
        <v>500</v>
      </c>
      <c r="AA96" s="330"/>
      <c r="AB96" s="330"/>
      <c r="AC96" s="330"/>
      <c r="AD96" s="330"/>
      <c r="AE96" s="330"/>
      <c r="AF96" s="1042"/>
    </row>
    <row r="97" spans="1:32" ht="31.5" x14ac:dyDescent="0.25">
      <c r="A97" s="343" t="s">
        <v>174</v>
      </c>
      <c r="B97" s="331"/>
      <c r="C97" s="330"/>
      <c r="D97" s="331"/>
      <c r="E97" s="331"/>
      <c r="F97" s="339"/>
      <c r="G97" s="339"/>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1042"/>
    </row>
    <row r="98" spans="1:32" x14ac:dyDescent="0.25">
      <c r="A98" s="329" t="s">
        <v>389</v>
      </c>
      <c r="B98" s="331"/>
      <c r="C98" s="330"/>
      <c r="D98" s="331"/>
      <c r="E98" s="331"/>
      <c r="F98" s="339"/>
      <c r="G98" s="33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1042"/>
    </row>
    <row r="99" spans="1:32" x14ac:dyDescent="0.25">
      <c r="A99" s="1009" t="s">
        <v>428</v>
      </c>
      <c r="B99" s="1010"/>
      <c r="C99" s="1010"/>
      <c r="D99" s="1010"/>
      <c r="E99" s="1010"/>
      <c r="F99" s="1010"/>
      <c r="G99" s="1010"/>
      <c r="H99" s="1010"/>
      <c r="I99" s="1010"/>
      <c r="J99" s="1010"/>
      <c r="K99" s="1010"/>
      <c r="L99" s="1010"/>
      <c r="M99" s="1010"/>
      <c r="N99" s="1010"/>
      <c r="O99" s="1010"/>
      <c r="P99" s="1010"/>
      <c r="Q99" s="1010"/>
      <c r="R99" s="1010"/>
      <c r="S99" s="1010"/>
      <c r="T99" s="1010"/>
      <c r="U99" s="1010"/>
      <c r="V99" s="1010"/>
      <c r="W99" s="1010"/>
      <c r="X99" s="1010"/>
      <c r="Y99" s="1010"/>
      <c r="Z99" s="1010"/>
      <c r="AA99" s="1010"/>
      <c r="AB99" s="1010"/>
      <c r="AC99" s="1010"/>
      <c r="AD99" s="1010"/>
      <c r="AE99" s="1011"/>
      <c r="AF99" s="348"/>
    </row>
    <row r="100" spans="1:32" x14ac:dyDescent="0.25">
      <c r="A100" s="329" t="s">
        <v>31</v>
      </c>
      <c r="B100" s="345">
        <f>B101+B102+B104</f>
        <v>7367.8</v>
      </c>
      <c r="C100" s="345">
        <f t="shared" ref="C100:E100" si="98">C101+C102+C104</f>
        <v>0</v>
      </c>
      <c r="D100" s="345">
        <f t="shared" si="98"/>
        <v>0</v>
      </c>
      <c r="E100" s="331">
        <f t="shared" si="98"/>
        <v>0</v>
      </c>
      <c r="F100" s="331">
        <f t="shared" ref="F100:G100" si="99">F102</f>
        <v>0</v>
      </c>
      <c r="G100" s="331">
        <f t="shared" si="99"/>
        <v>0</v>
      </c>
      <c r="H100" s="330">
        <f>H101+H102+H104</f>
        <v>0</v>
      </c>
      <c r="I100" s="330">
        <f t="shared" ref="I100:AE100" si="100">I101+I102+I104</f>
        <v>0</v>
      </c>
      <c r="J100" s="330">
        <f t="shared" si="100"/>
        <v>0</v>
      </c>
      <c r="K100" s="330">
        <f t="shared" si="100"/>
        <v>0</v>
      </c>
      <c r="L100" s="330">
        <f t="shared" si="100"/>
        <v>0</v>
      </c>
      <c r="M100" s="330">
        <f t="shared" si="100"/>
        <v>0</v>
      </c>
      <c r="N100" s="330">
        <f t="shared" si="100"/>
        <v>0</v>
      </c>
      <c r="O100" s="330">
        <f t="shared" si="100"/>
        <v>0</v>
      </c>
      <c r="P100" s="330">
        <f t="shared" si="100"/>
        <v>0</v>
      </c>
      <c r="Q100" s="330">
        <f t="shared" si="100"/>
        <v>0</v>
      </c>
      <c r="R100" s="330">
        <f t="shared" si="100"/>
        <v>0</v>
      </c>
      <c r="S100" s="330">
        <f t="shared" si="100"/>
        <v>0</v>
      </c>
      <c r="T100" s="330">
        <f t="shared" si="100"/>
        <v>0</v>
      </c>
      <c r="U100" s="330">
        <f t="shared" si="100"/>
        <v>0</v>
      </c>
      <c r="V100" s="330">
        <f t="shared" si="100"/>
        <v>0</v>
      </c>
      <c r="W100" s="330">
        <f t="shared" si="100"/>
        <v>0</v>
      </c>
      <c r="X100" s="330">
        <f t="shared" si="100"/>
        <v>0</v>
      </c>
      <c r="Y100" s="330">
        <f t="shared" si="100"/>
        <v>0</v>
      </c>
      <c r="Z100" s="330">
        <f t="shared" si="100"/>
        <v>0</v>
      </c>
      <c r="AA100" s="330">
        <f t="shared" si="100"/>
        <v>0</v>
      </c>
      <c r="AB100" s="330">
        <f t="shared" si="100"/>
        <v>0</v>
      </c>
      <c r="AC100" s="330">
        <f t="shared" si="100"/>
        <v>0</v>
      </c>
      <c r="AD100" s="330">
        <f t="shared" si="100"/>
        <v>7367.8</v>
      </c>
      <c r="AE100" s="330">
        <f t="shared" si="100"/>
        <v>0</v>
      </c>
      <c r="AF100" s="1042"/>
    </row>
    <row r="101" spans="1:32" x14ac:dyDescent="0.25">
      <c r="A101" s="329" t="s">
        <v>32</v>
      </c>
      <c r="B101" s="331"/>
      <c r="C101" s="330"/>
      <c r="D101" s="331"/>
      <c r="E101" s="331"/>
      <c r="F101" s="339"/>
      <c r="G101" s="339"/>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1042"/>
    </row>
    <row r="102" spans="1:32" x14ac:dyDescent="0.25">
      <c r="A102" s="329" t="s">
        <v>33</v>
      </c>
      <c r="B102" s="331">
        <f>H102+J102+L102+N102+P102+R102+T102+V102+X102+Z102+AB102+AD102</f>
        <v>7367.8</v>
      </c>
      <c r="C102" s="330">
        <f t="shared" ref="C102" si="101">H102+J102+L102</f>
        <v>0</v>
      </c>
      <c r="D102" s="331">
        <f>E102</f>
        <v>0</v>
      </c>
      <c r="E102" s="331">
        <f t="shared" ref="E102" si="102">I102+K102+M102+O102+Q102+S102+U102+W102+Y102+AA102+AC102+AE102</f>
        <v>0</v>
      </c>
      <c r="F102" s="339">
        <f t="shared" ref="F102" si="103">IFERROR(E102/B102%,0)</f>
        <v>0</v>
      </c>
      <c r="G102" s="339">
        <f>IFERROR(E102/C102%,0)</f>
        <v>0</v>
      </c>
      <c r="H102" s="330">
        <f t="shared" ref="H102:W102" si="104">H108</f>
        <v>0</v>
      </c>
      <c r="I102" s="330">
        <f t="shared" si="104"/>
        <v>0</v>
      </c>
      <c r="J102" s="330">
        <f t="shared" si="104"/>
        <v>0</v>
      </c>
      <c r="K102" s="330">
        <f t="shared" si="104"/>
        <v>0</v>
      </c>
      <c r="L102" s="330">
        <f t="shared" si="104"/>
        <v>0</v>
      </c>
      <c r="M102" s="330">
        <f t="shared" si="104"/>
        <v>0</v>
      </c>
      <c r="N102" s="330">
        <f t="shared" si="104"/>
        <v>0</v>
      </c>
      <c r="O102" s="330">
        <f t="shared" si="104"/>
        <v>0</v>
      </c>
      <c r="P102" s="330">
        <f t="shared" si="104"/>
        <v>0</v>
      </c>
      <c r="Q102" s="330">
        <f t="shared" si="104"/>
        <v>0</v>
      </c>
      <c r="R102" s="330">
        <f t="shared" si="104"/>
        <v>0</v>
      </c>
      <c r="S102" s="330">
        <f t="shared" si="104"/>
        <v>0</v>
      </c>
      <c r="T102" s="330">
        <f t="shared" si="104"/>
        <v>0</v>
      </c>
      <c r="U102" s="330">
        <f t="shared" si="104"/>
        <v>0</v>
      </c>
      <c r="V102" s="330">
        <f t="shared" si="104"/>
        <v>0</v>
      </c>
      <c r="W102" s="330">
        <f t="shared" si="104"/>
        <v>0</v>
      </c>
      <c r="X102" s="330">
        <f t="shared" ref="X102:AE102" si="105">X108</f>
        <v>0</v>
      </c>
      <c r="Y102" s="330">
        <f t="shared" si="105"/>
        <v>0</v>
      </c>
      <c r="Z102" s="330">
        <f t="shared" si="105"/>
        <v>0</v>
      </c>
      <c r="AA102" s="330">
        <f t="shared" si="105"/>
        <v>0</v>
      </c>
      <c r="AB102" s="330">
        <f t="shared" si="105"/>
        <v>0</v>
      </c>
      <c r="AC102" s="330">
        <f t="shared" si="105"/>
        <v>0</v>
      </c>
      <c r="AD102" s="330">
        <f t="shared" si="105"/>
        <v>7367.8</v>
      </c>
      <c r="AE102" s="330">
        <f t="shared" si="105"/>
        <v>0</v>
      </c>
      <c r="AF102" s="1042"/>
    </row>
    <row r="103" spans="1:32" ht="31.5" x14ac:dyDescent="0.25">
      <c r="A103" s="343" t="s">
        <v>174</v>
      </c>
      <c r="B103" s="331"/>
      <c r="C103" s="330"/>
      <c r="D103" s="331"/>
      <c r="E103" s="331"/>
      <c r="F103" s="339"/>
      <c r="G103" s="339"/>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1042"/>
    </row>
    <row r="104" spans="1:32" x14ac:dyDescent="0.25">
      <c r="A104" s="329" t="s">
        <v>389</v>
      </c>
      <c r="B104" s="331"/>
      <c r="C104" s="330"/>
      <c r="D104" s="331"/>
      <c r="E104" s="331"/>
      <c r="F104" s="339"/>
      <c r="G104" s="339"/>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1042"/>
    </row>
    <row r="105" spans="1:32" x14ac:dyDescent="0.25">
      <c r="A105" s="1015" t="s">
        <v>429</v>
      </c>
      <c r="B105" s="1016"/>
      <c r="C105" s="1016"/>
      <c r="D105" s="1016"/>
      <c r="E105" s="1016"/>
      <c r="F105" s="1016"/>
      <c r="G105" s="1016"/>
      <c r="H105" s="1016"/>
      <c r="I105" s="1016"/>
      <c r="J105" s="1016"/>
      <c r="K105" s="101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7"/>
      <c r="AF105" s="348"/>
    </row>
    <row r="106" spans="1:32" x14ac:dyDescent="0.25">
      <c r="A106" s="329" t="s">
        <v>31</v>
      </c>
      <c r="B106" s="345">
        <f>B107+B108+B110</f>
        <v>7367.8</v>
      </c>
      <c r="C106" s="345">
        <f t="shared" ref="C106:E106" si="106">C107+C108+C110</f>
        <v>0</v>
      </c>
      <c r="D106" s="345">
        <f t="shared" si="106"/>
        <v>0</v>
      </c>
      <c r="E106" s="345">
        <f t="shared" si="106"/>
        <v>0</v>
      </c>
      <c r="F106" s="331">
        <f t="shared" ref="F106:G106" si="107">F108</f>
        <v>0</v>
      </c>
      <c r="G106" s="331">
        <f t="shared" si="107"/>
        <v>0</v>
      </c>
      <c r="H106" s="330">
        <f>H107+H108+H110</f>
        <v>0</v>
      </c>
      <c r="I106" s="330">
        <f t="shared" ref="I106:AE106" si="108">I107+I108+I110</f>
        <v>0</v>
      </c>
      <c r="J106" s="330">
        <f t="shared" si="108"/>
        <v>0</v>
      </c>
      <c r="K106" s="330">
        <f t="shared" si="108"/>
        <v>0</v>
      </c>
      <c r="L106" s="330">
        <f t="shared" si="108"/>
        <v>0</v>
      </c>
      <c r="M106" s="330">
        <f t="shared" si="108"/>
        <v>0</v>
      </c>
      <c r="N106" s="330">
        <f t="shared" si="108"/>
        <v>0</v>
      </c>
      <c r="O106" s="330">
        <f t="shared" si="108"/>
        <v>0</v>
      </c>
      <c r="P106" s="330">
        <f t="shared" si="108"/>
        <v>0</v>
      </c>
      <c r="Q106" s="330">
        <f t="shared" si="108"/>
        <v>0</v>
      </c>
      <c r="R106" s="330">
        <f t="shared" si="108"/>
        <v>0</v>
      </c>
      <c r="S106" s="330">
        <f t="shared" si="108"/>
        <v>0</v>
      </c>
      <c r="T106" s="330">
        <f t="shared" si="108"/>
        <v>0</v>
      </c>
      <c r="U106" s="330">
        <f t="shared" si="108"/>
        <v>0</v>
      </c>
      <c r="V106" s="330">
        <f t="shared" si="108"/>
        <v>0</v>
      </c>
      <c r="W106" s="330">
        <f t="shared" si="108"/>
        <v>0</v>
      </c>
      <c r="X106" s="330">
        <f t="shared" si="108"/>
        <v>0</v>
      </c>
      <c r="Y106" s="330">
        <f t="shared" si="108"/>
        <v>0</v>
      </c>
      <c r="Z106" s="330">
        <f t="shared" si="108"/>
        <v>0</v>
      </c>
      <c r="AA106" s="330">
        <f t="shared" si="108"/>
        <v>0</v>
      </c>
      <c r="AB106" s="330">
        <f t="shared" si="108"/>
        <v>0</v>
      </c>
      <c r="AC106" s="330">
        <f t="shared" si="108"/>
        <v>0</v>
      </c>
      <c r="AD106" s="330">
        <f t="shared" si="108"/>
        <v>7367.8</v>
      </c>
      <c r="AE106" s="330">
        <f t="shared" si="108"/>
        <v>0</v>
      </c>
      <c r="AF106" s="1042"/>
    </row>
    <row r="107" spans="1:32" x14ac:dyDescent="0.25">
      <c r="A107" s="329" t="s">
        <v>32</v>
      </c>
      <c r="B107" s="331"/>
      <c r="C107" s="330"/>
      <c r="D107" s="331"/>
      <c r="E107" s="331"/>
      <c r="F107" s="339"/>
      <c r="G107" s="339"/>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1042"/>
    </row>
    <row r="108" spans="1:32" x14ac:dyDescent="0.25">
      <c r="A108" s="329" t="s">
        <v>33</v>
      </c>
      <c r="B108" s="331">
        <f>H108+J108+L108+N108+P108+R108+T108+V108+X108+Z108+AB108+AD108</f>
        <v>7367.8</v>
      </c>
      <c r="C108" s="330">
        <f>H108+J108+L108</f>
        <v>0</v>
      </c>
      <c r="D108" s="331">
        <f>E108</f>
        <v>0</v>
      </c>
      <c r="E108" s="331">
        <f t="shared" ref="E108" si="109">I108+K108+M108+O108+Q108+S108+U108+W108+Y108+AA108+AC108+AE108</f>
        <v>0</v>
      </c>
      <c r="F108" s="339">
        <f t="shared" ref="F108" si="110">IFERROR(E108/B108%,0)</f>
        <v>0</v>
      </c>
      <c r="G108" s="339">
        <f>IFERROR(E108/C108%,0)</f>
        <v>0</v>
      </c>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v>7367.8</v>
      </c>
      <c r="AE108" s="330"/>
      <c r="AF108" s="1042"/>
    </row>
    <row r="109" spans="1:32" ht="31.5" x14ac:dyDescent="0.25">
      <c r="A109" s="343" t="s">
        <v>174</v>
      </c>
      <c r="B109" s="331"/>
      <c r="C109" s="330"/>
      <c r="D109" s="331"/>
      <c r="E109" s="331"/>
      <c r="F109" s="339"/>
      <c r="G109" s="339"/>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1042"/>
    </row>
    <row r="110" spans="1:32" x14ac:dyDescent="0.25">
      <c r="A110" s="329" t="s">
        <v>389</v>
      </c>
      <c r="B110" s="331"/>
      <c r="C110" s="330"/>
      <c r="D110" s="331"/>
      <c r="E110" s="331"/>
      <c r="F110" s="339"/>
      <c r="G110" s="339"/>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1042"/>
    </row>
    <row r="111" spans="1:32" x14ac:dyDescent="0.25">
      <c r="A111" s="332" t="s">
        <v>35</v>
      </c>
      <c r="B111" s="660">
        <f>B112+B113+B115</f>
        <v>841104.929</v>
      </c>
      <c r="C111" s="660">
        <f t="shared" ref="C111:E111" si="111">C112+C113+C115</f>
        <v>84521.479000000021</v>
      </c>
      <c r="D111" s="660">
        <f t="shared" si="111"/>
        <v>67346.22</v>
      </c>
      <c r="E111" s="660">
        <f t="shared" si="111"/>
        <v>67346.22</v>
      </c>
      <c r="F111" s="660">
        <f>E111/B111*100</f>
        <v>8.0068749662504946</v>
      </c>
      <c r="G111" s="660">
        <f>E111/C111*100</f>
        <v>79.679414980421697</v>
      </c>
      <c r="H111" s="660">
        <f>H112+H113+H115</f>
        <v>33912.783000000003</v>
      </c>
      <c r="I111" s="660">
        <f t="shared" ref="I111:AE111" si="112">I112+I113+I115</f>
        <v>17885.599999999999</v>
      </c>
      <c r="J111" s="660">
        <f t="shared" si="112"/>
        <v>27118.280000000002</v>
      </c>
      <c r="K111" s="660">
        <f t="shared" si="112"/>
        <v>30278.300000000003</v>
      </c>
      <c r="L111" s="660">
        <f t="shared" si="112"/>
        <v>23490.416000000005</v>
      </c>
      <c r="M111" s="660">
        <f t="shared" si="112"/>
        <v>19182.32</v>
      </c>
      <c r="N111" s="660">
        <f t="shared" si="112"/>
        <v>28452.109000000004</v>
      </c>
      <c r="O111" s="660">
        <f t="shared" si="112"/>
        <v>0</v>
      </c>
      <c r="P111" s="660">
        <f t="shared" si="112"/>
        <v>18063.654000000002</v>
      </c>
      <c r="Q111" s="660">
        <f t="shared" si="112"/>
        <v>0</v>
      </c>
      <c r="R111" s="660">
        <f t="shared" si="112"/>
        <v>17240.697</v>
      </c>
      <c r="S111" s="660">
        <f t="shared" si="112"/>
        <v>0</v>
      </c>
      <c r="T111" s="660">
        <f t="shared" si="112"/>
        <v>36275.188999999998</v>
      </c>
      <c r="U111" s="660">
        <f t="shared" si="112"/>
        <v>0</v>
      </c>
      <c r="V111" s="660">
        <f t="shared" si="112"/>
        <v>12077.357</v>
      </c>
      <c r="W111" s="660">
        <f t="shared" si="112"/>
        <v>0</v>
      </c>
      <c r="X111" s="660">
        <f t="shared" si="112"/>
        <v>349646.283</v>
      </c>
      <c r="Y111" s="660">
        <f t="shared" si="112"/>
        <v>0</v>
      </c>
      <c r="Z111" s="660">
        <f t="shared" si="112"/>
        <v>208924.476</v>
      </c>
      <c r="AA111" s="660">
        <f t="shared" si="112"/>
        <v>0</v>
      </c>
      <c r="AB111" s="660">
        <f t="shared" si="112"/>
        <v>14432.276</v>
      </c>
      <c r="AC111" s="660">
        <f t="shared" si="112"/>
        <v>0</v>
      </c>
      <c r="AD111" s="660">
        <f t="shared" si="112"/>
        <v>71471.409</v>
      </c>
      <c r="AE111" s="660">
        <f t="shared" si="112"/>
        <v>0</v>
      </c>
      <c r="AF111" s="1030"/>
    </row>
    <row r="112" spans="1:32" x14ac:dyDescent="0.25">
      <c r="A112" s="329" t="s">
        <v>32</v>
      </c>
      <c r="B112" s="661">
        <f>H112+J112+L112+N112+P112+R112+T112+V112+X112+Z112+AB112+AD112</f>
        <v>97889.347000000009</v>
      </c>
      <c r="C112" s="661">
        <f>H112+J112+L112</f>
        <v>0</v>
      </c>
      <c r="D112" s="661">
        <f t="shared" ref="D112:E115" si="113">D17+D53</f>
        <v>0</v>
      </c>
      <c r="E112" s="661">
        <f t="shared" si="113"/>
        <v>0</v>
      </c>
      <c r="F112" s="345">
        <f>IFERROR(E112/B112*100,0)</f>
        <v>0</v>
      </c>
      <c r="G112" s="345">
        <f>IFERROR(E112/C112*100,0)</f>
        <v>0</v>
      </c>
      <c r="H112" s="661">
        <f t="shared" ref="H112:AE112" si="114">H17+H53+H101</f>
        <v>0</v>
      </c>
      <c r="I112" s="661">
        <f t="shared" si="114"/>
        <v>0</v>
      </c>
      <c r="J112" s="661">
        <f t="shared" si="114"/>
        <v>0</v>
      </c>
      <c r="K112" s="661">
        <f t="shared" si="114"/>
        <v>0</v>
      </c>
      <c r="L112" s="661">
        <f t="shared" si="114"/>
        <v>0</v>
      </c>
      <c r="M112" s="661">
        <f t="shared" si="114"/>
        <v>0</v>
      </c>
      <c r="N112" s="661">
        <f t="shared" si="114"/>
        <v>0</v>
      </c>
      <c r="O112" s="661">
        <f t="shared" si="114"/>
        <v>0</v>
      </c>
      <c r="P112" s="661">
        <f t="shared" si="114"/>
        <v>0</v>
      </c>
      <c r="Q112" s="661">
        <f t="shared" si="114"/>
        <v>0</v>
      </c>
      <c r="R112" s="661">
        <f t="shared" si="114"/>
        <v>0</v>
      </c>
      <c r="S112" s="661">
        <f t="shared" si="114"/>
        <v>0</v>
      </c>
      <c r="T112" s="661">
        <f t="shared" si="114"/>
        <v>5612.58</v>
      </c>
      <c r="U112" s="661">
        <f t="shared" si="114"/>
        <v>0</v>
      </c>
      <c r="V112" s="661">
        <f t="shared" si="114"/>
        <v>0</v>
      </c>
      <c r="W112" s="661">
        <f t="shared" si="114"/>
        <v>0</v>
      </c>
      <c r="X112" s="661">
        <f t="shared" si="114"/>
        <v>0</v>
      </c>
      <c r="Y112" s="661">
        <f t="shared" si="114"/>
        <v>0</v>
      </c>
      <c r="Z112" s="661">
        <f t="shared" si="114"/>
        <v>76501.275999999998</v>
      </c>
      <c r="AA112" s="661">
        <f t="shared" si="114"/>
        <v>0</v>
      </c>
      <c r="AB112" s="661">
        <f t="shared" si="114"/>
        <v>857.53099999999995</v>
      </c>
      <c r="AC112" s="661">
        <f t="shared" si="114"/>
        <v>0</v>
      </c>
      <c r="AD112" s="661">
        <f t="shared" si="114"/>
        <v>14917.96</v>
      </c>
      <c r="AE112" s="661">
        <f t="shared" si="114"/>
        <v>0</v>
      </c>
      <c r="AF112" s="1031"/>
    </row>
    <row r="113" spans="1:32" x14ac:dyDescent="0.25">
      <c r="A113" s="329" t="s">
        <v>33</v>
      </c>
      <c r="B113" s="661">
        <f>H113+J113+L113+N113+P113+R113+T113+V113+X113+Z113+AB113+AD113</f>
        <v>386607.82200000004</v>
      </c>
      <c r="C113" s="661">
        <f t="shared" ref="C113:C115" si="115">H113+J113+L113</f>
        <v>84521.479000000021</v>
      </c>
      <c r="D113" s="661">
        <f t="shared" si="113"/>
        <v>67346.22</v>
      </c>
      <c r="E113" s="661">
        <f t="shared" si="113"/>
        <v>67346.22</v>
      </c>
      <c r="F113" s="345">
        <f>IFERROR(E113/B113*100,0)</f>
        <v>17.419776881803493</v>
      </c>
      <c r="G113" s="345">
        <f>IFERROR(E113/C113*100,0)</f>
        <v>79.679414980421697</v>
      </c>
      <c r="H113" s="661">
        <f t="shared" ref="H113:AE113" si="116">H18+H54+H102</f>
        <v>33912.783000000003</v>
      </c>
      <c r="I113" s="661">
        <f t="shared" si="116"/>
        <v>17885.599999999999</v>
      </c>
      <c r="J113" s="661">
        <f t="shared" si="116"/>
        <v>27118.280000000002</v>
      </c>
      <c r="K113" s="661">
        <f t="shared" si="116"/>
        <v>30278.300000000003</v>
      </c>
      <c r="L113" s="661">
        <f t="shared" si="116"/>
        <v>23490.416000000005</v>
      </c>
      <c r="M113" s="661">
        <f t="shared" si="116"/>
        <v>19182.32</v>
      </c>
      <c r="N113" s="661">
        <f t="shared" si="116"/>
        <v>28452.109000000004</v>
      </c>
      <c r="O113" s="661">
        <f t="shared" si="116"/>
        <v>0</v>
      </c>
      <c r="P113" s="661">
        <f t="shared" si="116"/>
        <v>18063.654000000002</v>
      </c>
      <c r="Q113" s="661">
        <f t="shared" si="116"/>
        <v>0</v>
      </c>
      <c r="R113" s="661">
        <f t="shared" si="116"/>
        <v>17240.697</v>
      </c>
      <c r="S113" s="661">
        <f t="shared" si="116"/>
        <v>0</v>
      </c>
      <c r="T113" s="661">
        <f t="shared" si="116"/>
        <v>19437.449000000004</v>
      </c>
      <c r="U113" s="661">
        <f t="shared" si="116"/>
        <v>0</v>
      </c>
      <c r="V113" s="661">
        <f t="shared" si="116"/>
        <v>12077.357</v>
      </c>
      <c r="W113" s="661">
        <f t="shared" si="116"/>
        <v>0</v>
      </c>
      <c r="X113" s="661">
        <f t="shared" si="116"/>
        <v>123920.783</v>
      </c>
      <c r="Y113" s="661">
        <f t="shared" si="116"/>
        <v>0</v>
      </c>
      <c r="Z113" s="661">
        <f t="shared" si="116"/>
        <v>33758.450000000004</v>
      </c>
      <c r="AA113" s="661">
        <f t="shared" si="116"/>
        <v>0</v>
      </c>
      <c r="AB113" s="661">
        <f t="shared" si="116"/>
        <v>12427.395</v>
      </c>
      <c r="AC113" s="661">
        <f t="shared" si="116"/>
        <v>0</v>
      </c>
      <c r="AD113" s="661">
        <f t="shared" si="116"/>
        <v>36708.449000000001</v>
      </c>
      <c r="AE113" s="661">
        <f t="shared" si="116"/>
        <v>0</v>
      </c>
      <c r="AF113" s="1031"/>
    </row>
    <row r="114" spans="1:32" ht="31.5" x14ac:dyDescent="0.25">
      <c r="A114" s="343" t="s">
        <v>174</v>
      </c>
      <c r="B114" s="661">
        <f>H114+J114+L114+N114+P114+R114+T114+V114+X114+Z114+AB114+AD114</f>
        <v>0</v>
      </c>
      <c r="C114" s="661">
        <f t="shared" si="115"/>
        <v>0</v>
      </c>
      <c r="D114" s="661">
        <f t="shared" si="113"/>
        <v>0</v>
      </c>
      <c r="E114" s="661">
        <f t="shared" si="113"/>
        <v>0</v>
      </c>
      <c r="F114" s="345">
        <f t="shared" ref="F114:F115" si="117">IFERROR(E114/B114*100,0)</f>
        <v>0</v>
      </c>
      <c r="G114" s="345">
        <f t="shared" ref="G114:G115" si="118">IFERROR(E114/C114*100,0)</f>
        <v>0</v>
      </c>
      <c r="H114" s="661">
        <f t="shared" ref="H114:AE114" si="119">H19+H55+H103</f>
        <v>0</v>
      </c>
      <c r="I114" s="661">
        <f t="shared" si="119"/>
        <v>0</v>
      </c>
      <c r="J114" s="661">
        <f t="shared" si="119"/>
        <v>0</v>
      </c>
      <c r="K114" s="661">
        <f t="shared" si="119"/>
        <v>0</v>
      </c>
      <c r="L114" s="661">
        <f t="shared" si="119"/>
        <v>0</v>
      </c>
      <c r="M114" s="661">
        <f t="shared" si="119"/>
        <v>0</v>
      </c>
      <c r="N114" s="661">
        <f t="shared" si="119"/>
        <v>0</v>
      </c>
      <c r="O114" s="661">
        <f t="shared" si="119"/>
        <v>0</v>
      </c>
      <c r="P114" s="661">
        <f t="shared" si="119"/>
        <v>0</v>
      </c>
      <c r="Q114" s="661">
        <f t="shared" si="119"/>
        <v>0</v>
      </c>
      <c r="R114" s="661">
        <f t="shared" si="119"/>
        <v>0</v>
      </c>
      <c r="S114" s="661">
        <f t="shared" si="119"/>
        <v>0</v>
      </c>
      <c r="T114" s="661">
        <f t="shared" si="119"/>
        <v>0</v>
      </c>
      <c r="U114" s="661">
        <f t="shared" si="119"/>
        <v>0</v>
      </c>
      <c r="V114" s="661">
        <f t="shared" si="119"/>
        <v>0</v>
      </c>
      <c r="W114" s="661">
        <f t="shared" si="119"/>
        <v>0</v>
      </c>
      <c r="X114" s="661">
        <f t="shared" si="119"/>
        <v>0</v>
      </c>
      <c r="Y114" s="661">
        <f t="shared" si="119"/>
        <v>0</v>
      </c>
      <c r="Z114" s="661">
        <f t="shared" si="119"/>
        <v>0</v>
      </c>
      <c r="AA114" s="661">
        <f t="shared" si="119"/>
        <v>0</v>
      </c>
      <c r="AB114" s="661">
        <f t="shared" si="119"/>
        <v>0</v>
      </c>
      <c r="AC114" s="661">
        <f t="shared" si="119"/>
        <v>0</v>
      </c>
      <c r="AD114" s="661">
        <f t="shared" si="119"/>
        <v>0</v>
      </c>
      <c r="AE114" s="661">
        <f t="shared" si="119"/>
        <v>0</v>
      </c>
      <c r="AF114" s="1031"/>
    </row>
    <row r="115" spans="1:32" x14ac:dyDescent="0.25">
      <c r="A115" s="329" t="s">
        <v>389</v>
      </c>
      <c r="B115" s="661">
        <f>H115+J115+L115+N115+P115+R115+T115+V115+X115+Z115+AB115+AD115</f>
        <v>356607.76</v>
      </c>
      <c r="C115" s="661">
        <f t="shared" si="115"/>
        <v>0</v>
      </c>
      <c r="D115" s="661">
        <f t="shared" si="113"/>
        <v>0</v>
      </c>
      <c r="E115" s="661">
        <f t="shared" si="113"/>
        <v>0</v>
      </c>
      <c r="F115" s="345">
        <f t="shared" si="117"/>
        <v>0</v>
      </c>
      <c r="G115" s="345">
        <f t="shared" si="118"/>
        <v>0</v>
      </c>
      <c r="H115" s="661">
        <f t="shared" ref="H115:AE115" si="120">H20+H56+H104</f>
        <v>0</v>
      </c>
      <c r="I115" s="661">
        <f t="shared" si="120"/>
        <v>0</v>
      </c>
      <c r="J115" s="661">
        <f t="shared" si="120"/>
        <v>0</v>
      </c>
      <c r="K115" s="661">
        <f t="shared" si="120"/>
        <v>0</v>
      </c>
      <c r="L115" s="661">
        <f t="shared" si="120"/>
        <v>0</v>
      </c>
      <c r="M115" s="661">
        <f t="shared" si="120"/>
        <v>0</v>
      </c>
      <c r="N115" s="661">
        <f t="shared" si="120"/>
        <v>0</v>
      </c>
      <c r="O115" s="661">
        <f t="shared" si="120"/>
        <v>0</v>
      </c>
      <c r="P115" s="661">
        <f t="shared" si="120"/>
        <v>0</v>
      </c>
      <c r="Q115" s="661">
        <f t="shared" si="120"/>
        <v>0</v>
      </c>
      <c r="R115" s="661">
        <f t="shared" si="120"/>
        <v>0</v>
      </c>
      <c r="S115" s="661">
        <f t="shared" si="120"/>
        <v>0</v>
      </c>
      <c r="T115" s="661">
        <f t="shared" si="120"/>
        <v>11225.16</v>
      </c>
      <c r="U115" s="661">
        <f t="shared" si="120"/>
        <v>0</v>
      </c>
      <c r="V115" s="661">
        <f t="shared" si="120"/>
        <v>0</v>
      </c>
      <c r="W115" s="661">
        <f t="shared" si="120"/>
        <v>0</v>
      </c>
      <c r="X115" s="661">
        <f t="shared" si="120"/>
        <v>225725.5</v>
      </c>
      <c r="Y115" s="661">
        <f t="shared" si="120"/>
        <v>0</v>
      </c>
      <c r="Z115" s="661">
        <f t="shared" si="120"/>
        <v>98664.75</v>
      </c>
      <c r="AA115" s="661">
        <f t="shared" si="120"/>
        <v>0</v>
      </c>
      <c r="AB115" s="661">
        <f t="shared" si="120"/>
        <v>1147.3499999999999</v>
      </c>
      <c r="AC115" s="661">
        <f t="shared" si="120"/>
        <v>0</v>
      </c>
      <c r="AD115" s="661">
        <f t="shared" si="120"/>
        <v>19845</v>
      </c>
      <c r="AE115" s="661">
        <f t="shared" si="120"/>
        <v>0</v>
      </c>
      <c r="AF115" s="1032"/>
    </row>
    <row r="116" spans="1:32" x14ac:dyDescent="0.25">
      <c r="A116" s="1021" t="s">
        <v>430</v>
      </c>
      <c r="B116" s="1022"/>
      <c r="C116" s="1022"/>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2"/>
      <c r="AA116" s="1022"/>
      <c r="AB116" s="1022"/>
      <c r="AC116" s="1022"/>
      <c r="AD116" s="1022"/>
      <c r="AE116" s="1023"/>
      <c r="AF116" s="317"/>
    </row>
    <row r="117" spans="1:32" x14ac:dyDescent="0.25">
      <c r="A117" s="318" t="s">
        <v>54</v>
      </c>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5"/>
      <c r="Y117" s="325"/>
      <c r="Z117" s="325"/>
      <c r="AA117" s="325"/>
      <c r="AB117" s="325"/>
      <c r="AC117" s="325"/>
      <c r="AD117" s="325"/>
      <c r="AE117" s="325"/>
      <c r="AF117" s="306"/>
    </row>
    <row r="118" spans="1:32" x14ac:dyDescent="0.25">
      <c r="A118" s="1009" t="s">
        <v>431</v>
      </c>
      <c r="B118" s="1010"/>
      <c r="C118" s="1010"/>
      <c r="D118" s="1010"/>
      <c r="E118" s="1010"/>
      <c r="F118" s="1010"/>
      <c r="G118" s="1010"/>
      <c r="H118" s="1010"/>
      <c r="I118" s="1010"/>
      <c r="J118" s="1010"/>
      <c r="K118" s="1010"/>
      <c r="L118" s="1010"/>
      <c r="M118" s="1010"/>
      <c r="N118" s="1010"/>
      <c r="O118" s="1010"/>
      <c r="P118" s="1010"/>
      <c r="Q118" s="1010"/>
      <c r="R118" s="1010"/>
      <c r="S118" s="1010"/>
      <c r="T118" s="1010"/>
      <c r="U118" s="1010"/>
      <c r="V118" s="1010"/>
      <c r="W118" s="1010"/>
      <c r="X118" s="1010"/>
      <c r="Y118" s="1010"/>
      <c r="Z118" s="1010"/>
      <c r="AA118" s="1010"/>
      <c r="AB118" s="1010"/>
      <c r="AC118" s="1010"/>
      <c r="AD118" s="1010"/>
      <c r="AE118" s="1011"/>
      <c r="AF118" s="336"/>
    </row>
    <row r="119" spans="1:32" x14ac:dyDescent="0.25">
      <c r="A119" s="337" t="s">
        <v>31</v>
      </c>
      <c r="B119" s="338">
        <f>B120+B121+B123</f>
        <v>9358.1959999999999</v>
      </c>
      <c r="C119" s="338">
        <f t="shared" ref="C119:E119" si="121">C120+C121+C123</f>
        <v>1349.1399999999999</v>
      </c>
      <c r="D119" s="338">
        <f t="shared" si="121"/>
        <v>885.73</v>
      </c>
      <c r="E119" s="338">
        <f t="shared" si="121"/>
        <v>885.73</v>
      </c>
      <c r="F119" s="338">
        <f>E119/B119*100</f>
        <v>9.4647515397198347</v>
      </c>
      <c r="G119" s="338">
        <f>E119/C119*100</f>
        <v>65.651452036111905</v>
      </c>
      <c r="H119" s="338">
        <f>H120+H121+H123</f>
        <v>309.10599999999999</v>
      </c>
      <c r="I119" s="338">
        <f t="shared" ref="I119:AE119" si="122">I120+I121+I123</f>
        <v>290.38</v>
      </c>
      <c r="J119" s="338">
        <f t="shared" si="122"/>
        <v>520.11699999999996</v>
      </c>
      <c r="K119" s="338">
        <f t="shared" si="122"/>
        <v>297.3</v>
      </c>
      <c r="L119" s="338">
        <f t="shared" si="122"/>
        <v>519.91700000000003</v>
      </c>
      <c r="M119" s="338">
        <f t="shared" si="122"/>
        <v>298.05</v>
      </c>
      <c r="N119" s="338">
        <f t="shared" si="122"/>
        <v>519.91700000000003</v>
      </c>
      <c r="O119" s="338">
        <f t="shared" si="122"/>
        <v>0</v>
      </c>
      <c r="P119" s="338">
        <f t="shared" si="122"/>
        <v>519.91700000000003</v>
      </c>
      <c r="Q119" s="338">
        <f t="shared" si="122"/>
        <v>0</v>
      </c>
      <c r="R119" s="338">
        <f t="shared" si="122"/>
        <v>645.81700000000001</v>
      </c>
      <c r="S119" s="338">
        <f t="shared" si="122"/>
        <v>0</v>
      </c>
      <c r="T119" s="338">
        <f t="shared" si="122"/>
        <v>519.91600000000005</v>
      </c>
      <c r="U119" s="338">
        <f t="shared" si="122"/>
        <v>0</v>
      </c>
      <c r="V119" s="338">
        <f t="shared" si="122"/>
        <v>519.91600000000005</v>
      </c>
      <c r="W119" s="338">
        <f t="shared" si="122"/>
        <v>0</v>
      </c>
      <c r="X119" s="338">
        <f t="shared" si="122"/>
        <v>519.91600000000005</v>
      </c>
      <c r="Y119" s="338">
        <f t="shared" si="122"/>
        <v>0</v>
      </c>
      <c r="Z119" s="338">
        <f t="shared" si="122"/>
        <v>3700.4160000000002</v>
      </c>
      <c r="AA119" s="338">
        <f t="shared" si="122"/>
        <v>0</v>
      </c>
      <c r="AB119" s="338">
        <f t="shared" si="122"/>
        <v>519.91700000000003</v>
      </c>
      <c r="AC119" s="338">
        <f t="shared" si="122"/>
        <v>0</v>
      </c>
      <c r="AD119" s="338">
        <f t="shared" si="122"/>
        <v>543.32399999999996</v>
      </c>
      <c r="AE119" s="338">
        <f t="shared" si="122"/>
        <v>0</v>
      </c>
      <c r="AF119" s="1012"/>
    </row>
    <row r="120" spans="1:32" x14ac:dyDescent="0.25">
      <c r="A120" s="329" t="s">
        <v>32</v>
      </c>
      <c r="B120" s="331">
        <f>H120+J120+L120+N120+P120+R120+T120+V120+X120+Z120+AB120+AD120</f>
        <v>0</v>
      </c>
      <c r="C120" s="331">
        <f>C126+C132</f>
        <v>0</v>
      </c>
      <c r="D120" s="331">
        <f>E120</f>
        <v>0</v>
      </c>
      <c r="E120" s="331">
        <f>I120+K120+M120+O120+Q120+S120+U120+W120+Y120+AA120+AC120+AE120</f>
        <v>0</v>
      </c>
      <c r="F120" s="345">
        <f>IFERROR(E120/B120*100,0)</f>
        <v>0</v>
      </c>
      <c r="G120" s="345">
        <f>IFERROR(E120/C120*100,0)</f>
        <v>0</v>
      </c>
      <c r="H120" s="331">
        <f>H126+H132</f>
        <v>0</v>
      </c>
      <c r="I120" s="331">
        <f t="shared" ref="I120:AE123" si="123">I126+I132</f>
        <v>0</v>
      </c>
      <c r="J120" s="331">
        <f t="shared" si="123"/>
        <v>0</v>
      </c>
      <c r="K120" s="331">
        <f t="shared" si="123"/>
        <v>0</v>
      </c>
      <c r="L120" s="331">
        <f t="shared" si="123"/>
        <v>0</v>
      </c>
      <c r="M120" s="331">
        <f t="shared" si="123"/>
        <v>0</v>
      </c>
      <c r="N120" s="331">
        <f t="shared" si="123"/>
        <v>0</v>
      </c>
      <c r="O120" s="331">
        <f t="shared" si="123"/>
        <v>0</v>
      </c>
      <c r="P120" s="331">
        <f t="shared" si="123"/>
        <v>0</v>
      </c>
      <c r="Q120" s="331">
        <f t="shared" si="123"/>
        <v>0</v>
      </c>
      <c r="R120" s="331">
        <f t="shared" si="123"/>
        <v>0</v>
      </c>
      <c r="S120" s="331">
        <f t="shared" si="123"/>
        <v>0</v>
      </c>
      <c r="T120" s="331">
        <f t="shared" si="123"/>
        <v>0</v>
      </c>
      <c r="U120" s="331">
        <f t="shared" si="123"/>
        <v>0</v>
      </c>
      <c r="V120" s="331">
        <f t="shared" si="123"/>
        <v>0</v>
      </c>
      <c r="W120" s="331">
        <f t="shared" si="123"/>
        <v>0</v>
      </c>
      <c r="X120" s="331">
        <f t="shared" si="123"/>
        <v>0</v>
      </c>
      <c r="Y120" s="331">
        <f t="shared" si="123"/>
        <v>0</v>
      </c>
      <c r="Z120" s="331">
        <f t="shared" si="123"/>
        <v>0</v>
      </c>
      <c r="AA120" s="331">
        <f t="shared" si="123"/>
        <v>0</v>
      </c>
      <c r="AB120" s="331">
        <f t="shared" si="123"/>
        <v>0</v>
      </c>
      <c r="AC120" s="331">
        <f t="shared" si="123"/>
        <v>0</v>
      </c>
      <c r="AD120" s="331">
        <f t="shared" si="123"/>
        <v>0</v>
      </c>
      <c r="AE120" s="331">
        <f t="shared" si="123"/>
        <v>0</v>
      </c>
      <c r="AF120" s="1013"/>
    </row>
    <row r="121" spans="1:32" x14ac:dyDescent="0.25">
      <c r="A121" s="329" t="s">
        <v>33</v>
      </c>
      <c r="B121" s="331">
        <f>H121+J121+L121+N121+P121+R121+T121+V121+X121+Z121+AB121+AD121</f>
        <v>9358.1959999999999</v>
      </c>
      <c r="C121" s="331">
        <f>C127+C133</f>
        <v>1349.1399999999999</v>
      </c>
      <c r="D121" s="331">
        <f>E121</f>
        <v>885.73</v>
      </c>
      <c r="E121" s="331">
        <f>I121+K121+M121+O121+Q121+S121+U121+W121+Y121+AA121+AC121+AE121</f>
        <v>885.73</v>
      </c>
      <c r="F121" s="345">
        <f>IFERROR(E121/B121*100,0)</f>
        <v>9.4647515397198347</v>
      </c>
      <c r="G121" s="345">
        <f>IFERROR(E121/C121*100,0)</f>
        <v>65.651452036111905</v>
      </c>
      <c r="H121" s="331">
        <f>H127+H133</f>
        <v>309.10599999999999</v>
      </c>
      <c r="I121" s="331">
        <f t="shared" si="123"/>
        <v>290.38</v>
      </c>
      <c r="J121" s="331">
        <f t="shared" si="123"/>
        <v>520.11699999999996</v>
      </c>
      <c r="K121" s="331">
        <f t="shared" si="123"/>
        <v>297.3</v>
      </c>
      <c r="L121" s="331">
        <f t="shared" si="123"/>
        <v>519.91700000000003</v>
      </c>
      <c r="M121" s="331">
        <f t="shared" si="123"/>
        <v>298.05</v>
      </c>
      <c r="N121" s="331">
        <f t="shared" si="123"/>
        <v>519.91700000000003</v>
      </c>
      <c r="O121" s="331">
        <f t="shared" si="123"/>
        <v>0</v>
      </c>
      <c r="P121" s="331">
        <f t="shared" si="123"/>
        <v>519.91700000000003</v>
      </c>
      <c r="Q121" s="331">
        <f t="shared" si="123"/>
        <v>0</v>
      </c>
      <c r="R121" s="331">
        <f t="shared" si="123"/>
        <v>645.81700000000001</v>
      </c>
      <c r="S121" s="331">
        <f t="shared" si="123"/>
        <v>0</v>
      </c>
      <c r="T121" s="331">
        <f t="shared" si="123"/>
        <v>519.91600000000005</v>
      </c>
      <c r="U121" s="331">
        <f t="shared" si="123"/>
        <v>0</v>
      </c>
      <c r="V121" s="331">
        <f t="shared" si="123"/>
        <v>519.91600000000005</v>
      </c>
      <c r="W121" s="331">
        <f t="shared" si="123"/>
        <v>0</v>
      </c>
      <c r="X121" s="331">
        <f t="shared" si="123"/>
        <v>519.91600000000005</v>
      </c>
      <c r="Y121" s="331">
        <f t="shared" si="123"/>
        <v>0</v>
      </c>
      <c r="Z121" s="331">
        <f t="shared" si="123"/>
        <v>3700.4160000000002</v>
      </c>
      <c r="AA121" s="331">
        <f t="shared" si="123"/>
        <v>0</v>
      </c>
      <c r="AB121" s="331">
        <f t="shared" si="123"/>
        <v>519.91700000000003</v>
      </c>
      <c r="AC121" s="331">
        <f t="shared" si="123"/>
        <v>0</v>
      </c>
      <c r="AD121" s="331">
        <f t="shared" si="123"/>
        <v>543.32399999999996</v>
      </c>
      <c r="AE121" s="331">
        <f t="shared" si="123"/>
        <v>0</v>
      </c>
      <c r="AF121" s="1013"/>
    </row>
    <row r="122" spans="1:32" ht="31.5" x14ac:dyDescent="0.25">
      <c r="A122" s="343" t="s">
        <v>174</v>
      </c>
      <c r="B122" s="331">
        <f t="shared" ref="B122:B123" si="124">H122+J122+L122+N122+P122+R122+T122+V122+X122+Z122+AB122+AD122</f>
        <v>0</v>
      </c>
      <c r="C122" s="331">
        <f t="shared" ref="C122:C123" si="125">C128+C134</f>
        <v>0</v>
      </c>
      <c r="D122" s="331">
        <f t="shared" ref="D122:D123" si="126">E122</f>
        <v>0</v>
      </c>
      <c r="E122" s="331">
        <f>I122+K122+M122+O122+Q122+S122+U122+W122+Y122+AA122+AC122+AE122</f>
        <v>0</v>
      </c>
      <c r="F122" s="345">
        <f t="shared" ref="F122:F123" si="127">IFERROR(E122/B122*100,0)</f>
        <v>0</v>
      </c>
      <c r="G122" s="345">
        <f t="shared" ref="G122:G123" si="128">IFERROR(E122/C122*100,0)</f>
        <v>0</v>
      </c>
      <c r="H122" s="331">
        <f t="shared" ref="H122:W123" si="129">H128+H134</f>
        <v>0</v>
      </c>
      <c r="I122" s="331">
        <f t="shared" si="129"/>
        <v>0</v>
      </c>
      <c r="J122" s="331">
        <f t="shared" si="129"/>
        <v>0</v>
      </c>
      <c r="K122" s="331">
        <f t="shared" si="129"/>
        <v>0</v>
      </c>
      <c r="L122" s="331">
        <f t="shared" si="129"/>
        <v>0</v>
      </c>
      <c r="M122" s="331">
        <f t="shared" si="129"/>
        <v>0</v>
      </c>
      <c r="N122" s="331">
        <f t="shared" si="129"/>
        <v>0</v>
      </c>
      <c r="O122" s="331">
        <f t="shared" si="129"/>
        <v>0</v>
      </c>
      <c r="P122" s="331">
        <f t="shared" si="129"/>
        <v>0</v>
      </c>
      <c r="Q122" s="331">
        <f t="shared" si="129"/>
        <v>0</v>
      </c>
      <c r="R122" s="331">
        <f t="shared" si="129"/>
        <v>0</v>
      </c>
      <c r="S122" s="331">
        <f t="shared" si="129"/>
        <v>0</v>
      </c>
      <c r="T122" s="331">
        <f t="shared" si="129"/>
        <v>0</v>
      </c>
      <c r="U122" s="331">
        <f t="shared" si="129"/>
        <v>0</v>
      </c>
      <c r="V122" s="331">
        <f t="shared" si="129"/>
        <v>0</v>
      </c>
      <c r="W122" s="331">
        <f t="shared" si="129"/>
        <v>0</v>
      </c>
      <c r="X122" s="331">
        <f t="shared" si="123"/>
        <v>0</v>
      </c>
      <c r="Y122" s="331">
        <f t="shared" si="123"/>
        <v>0</v>
      </c>
      <c r="Z122" s="331">
        <f t="shared" si="123"/>
        <v>0</v>
      </c>
      <c r="AA122" s="331">
        <f t="shared" si="123"/>
        <v>0</v>
      </c>
      <c r="AB122" s="331">
        <f t="shared" si="123"/>
        <v>0</v>
      </c>
      <c r="AC122" s="331">
        <f t="shared" si="123"/>
        <v>0</v>
      </c>
      <c r="AD122" s="331">
        <f t="shared" si="123"/>
        <v>0</v>
      </c>
      <c r="AE122" s="331">
        <f t="shared" si="123"/>
        <v>0</v>
      </c>
      <c r="AF122" s="1013"/>
    </row>
    <row r="123" spans="1:32" x14ac:dyDescent="0.25">
      <c r="A123" s="329" t="s">
        <v>389</v>
      </c>
      <c r="B123" s="331">
        <f t="shared" si="124"/>
        <v>0</v>
      </c>
      <c r="C123" s="331">
        <f t="shared" si="125"/>
        <v>0</v>
      </c>
      <c r="D123" s="331">
        <f t="shared" si="126"/>
        <v>0</v>
      </c>
      <c r="E123" s="331">
        <f>I123+K123+M123+O123+Q123+S123+U123+W123+Y123+AA123+AC123+AE123</f>
        <v>0</v>
      </c>
      <c r="F123" s="345">
        <f t="shared" si="127"/>
        <v>0</v>
      </c>
      <c r="G123" s="345">
        <f t="shared" si="128"/>
        <v>0</v>
      </c>
      <c r="H123" s="331">
        <f t="shared" si="129"/>
        <v>0</v>
      </c>
      <c r="I123" s="331">
        <f t="shared" si="129"/>
        <v>0</v>
      </c>
      <c r="J123" s="331">
        <f t="shared" si="129"/>
        <v>0</v>
      </c>
      <c r="K123" s="331">
        <f t="shared" si="129"/>
        <v>0</v>
      </c>
      <c r="L123" s="331">
        <f t="shared" si="129"/>
        <v>0</v>
      </c>
      <c r="M123" s="331">
        <f t="shared" si="129"/>
        <v>0</v>
      </c>
      <c r="N123" s="331">
        <f t="shared" si="129"/>
        <v>0</v>
      </c>
      <c r="O123" s="331">
        <f t="shared" si="129"/>
        <v>0</v>
      </c>
      <c r="P123" s="331">
        <f t="shared" si="129"/>
        <v>0</v>
      </c>
      <c r="Q123" s="331">
        <f t="shared" si="129"/>
        <v>0</v>
      </c>
      <c r="R123" s="331">
        <f t="shared" si="129"/>
        <v>0</v>
      </c>
      <c r="S123" s="331">
        <f t="shared" si="129"/>
        <v>0</v>
      </c>
      <c r="T123" s="331">
        <f t="shared" si="129"/>
        <v>0</v>
      </c>
      <c r="U123" s="331">
        <f t="shared" si="129"/>
        <v>0</v>
      </c>
      <c r="V123" s="331">
        <f t="shared" si="129"/>
        <v>0</v>
      </c>
      <c r="W123" s="331">
        <f t="shared" si="129"/>
        <v>0</v>
      </c>
      <c r="X123" s="331">
        <f t="shared" si="123"/>
        <v>0</v>
      </c>
      <c r="Y123" s="331">
        <f t="shared" si="123"/>
        <v>0</v>
      </c>
      <c r="Z123" s="331">
        <f t="shared" si="123"/>
        <v>0</v>
      </c>
      <c r="AA123" s="331">
        <f t="shared" si="123"/>
        <v>0</v>
      </c>
      <c r="AB123" s="331">
        <f t="shared" si="123"/>
        <v>0</v>
      </c>
      <c r="AC123" s="331">
        <f t="shared" si="123"/>
        <v>0</v>
      </c>
      <c r="AD123" s="331">
        <f t="shared" si="123"/>
        <v>0</v>
      </c>
      <c r="AE123" s="331">
        <f t="shared" si="123"/>
        <v>0</v>
      </c>
      <c r="AF123" s="1014"/>
    </row>
    <row r="124" spans="1:32" x14ac:dyDescent="0.25">
      <c r="A124" s="1015" t="s">
        <v>432</v>
      </c>
      <c r="B124" s="1016"/>
      <c r="C124" s="1016"/>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6"/>
      <c r="AA124" s="1016"/>
      <c r="AB124" s="1016"/>
      <c r="AC124" s="1016"/>
      <c r="AD124" s="1016"/>
      <c r="AE124" s="1017"/>
      <c r="AF124" s="340"/>
    </row>
    <row r="125" spans="1:32" x14ac:dyDescent="0.25">
      <c r="A125" s="329" t="s">
        <v>31</v>
      </c>
      <c r="B125" s="345">
        <f>B126+B127+B129</f>
        <v>6177.6959999999999</v>
      </c>
      <c r="C125" s="345">
        <f t="shared" ref="C125:E125" si="130">C126+C127+C129</f>
        <v>1349.1399999999999</v>
      </c>
      <c r="D125" s="345">
        <f t="shared" si="130"/>
        <v>885.73</v>
      </c>
      <c r="E125" s="345">
        <f t="shared" si="130"/>
        <v>885.73</v>
      </c>
      <c r="F125" s="331">
        <f>IFERROR(E125/B125*100,0)</f>
        <v>14.337545907082511</v>
      </c>
      <c r="G125" s="331">
        <f>IFERROR(E125/C125*100,0)</f>
        <v>65.651452036111905</v>
      </c>
      <c r="H125" s="331">
        <f>H126+H127+H129</f>
        <v>309.10599999999999</v>
      </c>
      <c r="I125" s="331">
        <f t="shared" ref="I125:AE125" si="131">I126+I127+I129</f>
        <v>290.38</v>
      </c>
      <c r="J125" s="331">
        <f t="shared" si="131"/>
        <v>520.11699999999996</v>
      </c>
      <c r="K125" s="331">
        <f t="shared" si="131"/>
        <v>297.3</v>
      </c>
      <c r="L125" s="331">
        <f t="shared" si="131"/>
        <v>519.91700000000003</v>
      </c>
      <c r="M125" s="331">
        <f t="shared" si="131"/>
        <v>298.05</v>
      </c>
      <c r="N125" s="331">
        <f t="shared" si="131"/>
        <v>519.91700000000003</v>
      </c>
      <c r="O125" s="331">
        <f t="shared" si="131"/>
        <v>0</v>
      </c>
      <c r="P125" s="331">
        <f t="shared" si="131"/>
        <v>519.91700000000003</v>
      </c>
      <c r="Q125" s="331">
        <f t="shared" si="131"/>
        <v>0</v>
      </c>
      <c r="R125" s="331">
        <f t="shared" si="131"/>
        <v>645.81700000000001</v>
      </c>
      <c r="S125" s="331">
        <f t="shared" si="131"/>
        <v>0</v>
      </c>
      <c r="T125" s="331">
        <f t="shared" si="131"/>
        <v>519.91600000000005</v>
      </c>
      <c r="U125" s="331">
        <f t="shared" si="131"/>
        <v>0</v>
      </c>
      <c r="V125" s="331">
        <f t="shared" si="131"/>
        <v>519.91600000000005</v>
      </c>
      <c r="W125" s="331">
        <f t="shared" si="131"/>
        <v>0</v>
      </c>
      <c r="X125" s="331">
        <f t="shared" si="131"/>
        <v>519.91600000000005</v>
      </c>
      <c r="Y125" s="331">
        <f t="shared" si="131"/>
        <v>0</v>
      </c>
      <c r="Z125" s="331">
        <f t="shared" si="131"/>
        <v>519.91600000000005</v>
      </c>
      <c r="AA125" s="331">
        <f t="shared" si="131"/>
        <v>0</v>
      </c>
      <c r="AB125" s="331">
        <f t="shared" si="131"/>
        <v>519.91700000000003</v>
      </c>
      <c r="AC125" s="331">
        <f t="shared" si="131"/>
        <v>0</v>
      </c>
      <c r="AD125" s="331">
        <f t="shared" si="131"/>
        <v>543.32399999999996</v>
      </c>
      <c r="AE125" s="331">
        <f t="shared" si="131"/>
        <v>0</v>
      </c>
      <c r="AF125" s="1018" t="s">
        <v>492</v>
      </c>
    </row>
    <row r="126" spans="1:32" x14ac:dyDescent="0.25">
      <c r="A126" s="329" t="s">
        <v>32</v>
      </c>
      <c r="B126" s="331"/>
      <c r="C126" s="330"/>
      <c r="D126" s="331"/>
      <c r="E126" s="331"/>
      <c r="F126" s="331"/>
      <c r="G126" s="331"/>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1019"/>
    </row>
    <row r="127" spans="1:32" x14ac:dyDescent="0.25">
      <c r="A127" s="329" t="s">
        <v>33</v>
      </c>
      <c r="B127" s="331">
        <f>H127+J127+L127+N127+P127+R127+T127+V127+X127+Z127+AB127+AD127</f>
        <v>6177.6959999999999</v>
      </c>
      <c r="C127" s="330">
        <f t="shared" ref="C127" si="132">H127+J127+L127</f>
        <v>1349.1399999999999</v>
      </c>
      <c r="D127" s="331">
        <f>E127</f>
        <v>885.73</v>
      </c>
      <c r="E127" s="331">
        <f>I127+K127+M127+O127+Q127+S127+U127+W127+Y127+AA127+AC127+AE127</f>
        <v>885.73</v>
      </c>
      <c r="F127" s="331">
        <f>IFERROR(E127/B127*100,0)</f>
        <v>14.337545907082511</v>
      </c>
      <c r="G127" s="331">
        <f>IFERROR(E127/C127*100,0)</f>
        <v>65.651452036111905</v>
      </c>
      <c r="H127" s="330">
        <v>309.10599999999999</v>
      </c>
      <c r="I127" s="330">
        <v>290.38</v>
      </c>
      <c r="J127" s="330">
        <v>520.11699999999996</v>
      </c>
      <c r="K127" s="330">
        <v>297.3</v>
      </c>
      <c r="L127" s="330">
        <v>519.91700000000003</v>
      </c>
      <c r="M127" s="330">
        <v>298.05</v>
      </c>
      <c r="N127" s="330">
        <v>519.91700000000003</v>
      </c>
      <c r="O127" s="330"/>
      <c r="P127" s="330">
        <v>519.91700000000003</v>
      </c>
      <c r="Q127" s="330"/>
      <c r="R127" s="330">
        <v>645.81700000000001</v>
      </c>
      <c r="S127" s="330"/>
      <c r="T127" s="330">
        <v>519.91600000000005</v>
      </c>
      <c r="U127" s="330"/>
      <c r="V127" s="330">
        <v>519.91600000000005</v>
      </c>
      <c r="W127" s="330"/>
      <c r="X127" s="330">
        <v>519.91600000000005</v>
      </c>
      <c r="Y127" s="330"/>
      <c r="Z127" s="330">
        <v>519.91600000000005</v>
      </c>
      <c r="AA127" s="330"/>
      <c r="AB127" s="330">
        <v>519.91700000000003</v>
      </c>
      <c r="AC127" s="330">
        <v>0</v>
      </c>
      <c r="AD127" s="330">
        <v>543.32399999999996</v>
      </c>
      <c r="AE127" s="330"/>
      <c r="AF127" s="1019"/>
    </row>
    <row r="128" spans="1:32" ht="31.5" x14ac:dyDescent="0.25">
      <c r="A128" s="343" t="s">
        <v>174</v>
      </c>
      <c r="B128" s="331"/>
      <c r="C128" s="330"/>
      <c r="D128" s="331"/>
      <c r="E128" s="331"/>
      <c r="F128" s="331"/>
      <c r="G128" s="331"/>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1019"/>
    </row>
    <row r="129" spans="1:32" x14ac:dyDescent="0.25">
      <c r="A129" s="329" t="s">
        <v>389</v>
      </c>
      <c r="B129" s="331"/>
      <c r="C129" s="330"/>
      <c r="D129" s="331"/>
      <c r="E129" s="331"/>
      <c r="F129" s="331"/>
      <c r="G129" s="331"/>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1020"/>
    </row>
    <row r="130" spans="1:32" x14ac:dyDescent="0.25">
      <c r="A130" s="1015" t="s">
        <v>433</v>
      </c>
      <c r="B130" s="1016"/>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016"/>
      <c r="X130" s="1016"/>
      <c r="Y130" s="1016"/>
      <c r="Z130" s="1016"/>
      <c r="AA130" s="1016"/>
      <c r="AB130" s="1016"/>
      <c r="AC130" s="1016"/>
      <c r="AD130" s="1016"/>
      <c r="AE130" s="1017"/>
      <c r="AF130" s="328"/>
    </row>
    <row r="131" spans="1:32" x14ac:dyDescent="0.25">
      <c r="A131" s="329" t="s">
        <v>31</v>
      </c>
      <c r="B131" s="345">
        <f>B132+B133+B135</f>
        <v>3180.5</v>
      </c>
      <c r="C131" s="345">
        <f t="shared" ref="C131:E131" si="133">C132+C133+C135</f>
        <v>0</v>
      </c>
      <c r="D131" s="345">
        <f t="shared" si="133"/>
        <v>0</v>
      </c>
      <c r="E131" s="345">
        <f t="shared" si="133"/>
        <v>0</v>
      </c>
      <c r="F131" s="331">
        <f>IFERROR(E131/B131*100,0)</f>
        <v>0</v>
      </c>
      <c r="G131" s="331">
        <f>IFERROR(E131/C131*100,0)</f>
        <v>0</v>
      </c>
      <c r="H131" s="331">
        <f>H132+H133+H135</f>
        <v>0</v>
      </c>
      <c r="I131" s="331">
        <f t="shared" ref="I131:AE131" si="134">I132+I133+I135</f>
        <v>0</v>
      </c>
      <c r="J131" s="331">
        <f t="shared" si="134"/>
        <v>0</v>
      </c>
      <c r="K131" s="331">
        <f t="shared" si="134"/>
        <v>0</v>
      </c>
      <c r="L131" s="331">
        <f t="shared" si="134"/>
        <v>0</v>
      </c>
      <c r="M131" s="331">
        <f t="shared" si="134"/>
        <v>0</v>
      </c>
      <c r="N131" s="331">
        <f t="shared" si="134"/>
        <v>0</v>
      </c>
      <c r="O131" s="331">
        <f t="shared" si="134"/>
        <v>0</v>
      </c>
      <c r="P131" s="331">
        <f t="shared" si="134"/>
        <v>0</v>
      </c>
      <c r="Q131" s="331">
        <f t="shared" si="134"/>
        <v>0</v>
      </c>
      <c r="R131" s="331">
        <f t="shared" si="134"/>
        <v>0</v>
      </c>
      <c r="S131" s="331">
        <f t="shared" si="134"/>
        <v>0</v>
      </c>
      <c r="T131" s="331">
        <f t="shared" si="134"/>
        <v>0</v>
      </c>
      <c r="U131" s="331">
        <f t="shared" si="134"/>
        <v>0</v>
      </c>
      <c r="V131" s="331">
        <f t="shared" si="134"/>
        <v>0</v>
      </c>
      <c r="W131" s="331">
        <f t="shared" si="134"/>
        <v>0</v>
      </c>
      <c r="X131" s="331">
        <f t="shared" si="134"/>
        <v>0</v>
      </c>
      <c r="Y131" s="331">
        <f t="shared" si="134"/>
        <v>0</v>
      </c>
      <c r="Z131" s="331">
        <f t="shared" si="134"/>
        <v>3180.5</v>
      </c>
      <c r="AA131" s="331">
        <f t="shared" si="134"/>
        <v>0</v>
      </c>
      <c r="AB131" s="331">
        <f t="shared" si="134"/>
        <v>0</v>
      </c>
      <c r="AC131" s="331">
        <f t="shared" si="134"/>
        <v>0</v>
      </c>
      <c r="AD131" s="331">
        <f t="shared" si="134"/>
        <v>0</v>
      </c>
      <c r="AE131" s="331">
        <f t="shared" si="134"/>
        <v>0</v>
      </c>
      <c r="AF131" s="1040"/>
    </row>
    <row r="132" spans="1:32" x14ac:dyDescent="0.25">
      <c r="A132" s="329" t="s">
        <v>32</v>
      </c>
      <c r="B132" s="331"/>
      <c r="C132" s="330"/>
      <c r="D132" s="331"/>
      <c r="E132" s="331"/>
      <c r="F132" s="331"/>
      <c r="G132" s="331"/>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1040"/>
    </row>
    <row r="133" spans="1:32" x14ac:dyDescent="0.25">
      <c r="A133" s="329" t="s">
        <v>33</v>
      </c>
      <c r="B133" s="331">
        <f>H133+J133+L133+N133+P133+R133+T133+V133+X133+Z133+AB133+AD133</f>
        <v>3180.5</v>
      </c>
      <c r="C133" s="330">
        <f>H133+J133+L133</f>
        <v>0</v>
      </c>
      <c r="D133" s="331">
        <f>E133</f>
        <v>0</v>
      </c>
      <c r="E133" s="331">
        <f>I133+K133+M133+O133+Q133+S133+U133+W133+Y133+AA133+AC133+AE133</f>
        <v>0</v>
      </c>
      <c r="F133" s="331">
        <f>IFERROR(E133/B133*100,0)</f>
        <v>0</v>
      </c>
      <c r="G133" s="331">
        <f>IFERROR(E133/C133*100,0)</f>
        <v>0</v>
      </c>
      <c r="H133" s="330"/>
      <c r="I133" s="330"/>
      <c r="J133" s="330"/>
      <c r="K133" s="330"/>
      <c r="L133" s="330"/>
      <c r="M133" s="330"/>
      <c r="N133" s="330"/>
      <c r="O133" s="330"/>
      <c r="P133" s="330"/>
      <c r="Q133" s="330"/>
      <c r="R133" s="330"/>
      <c r="S133" s="330"/>
      <c r="T133" s="330"/>
      <c r="U133" s="330"/>
      <c r="V133" s="330"/>
      <c r="W133" s="330"/>
      <c r="X133" s="330"/>
      <c r="Y133" s="330"/>
      <c r="Z133" s="330">
        <v>3180.5</v>
      </c>
      <c r="AA133" s="330"/>
      <c r="AB133" s="330"/>
      <c r="AC133" s="330"/>
      <c r="AD133" s="330"/>
      <c r="AE133" s="330"/>
      <c r="AF133" s="1040"/>
    </row>
    <row r="134" spans="1:32" ht="31.5" x14ac:dyDescent="0.25">
      <c r="A134" s="343" t="s">
        <v>174</v>
      </c>
      <c r="B134" s="331"/>
      <c r="C134" s="330"/>
      <c r="D134" s="331"/>
      <c r="E134" s="331"/>
      <c r="F134" s="331"/>
      <c r="G134" s="331"/>
      <c r="H134" s="330"/>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0"/>
      <c r="AE134" s="330"/>
      <c r="AF134" s="1040"/>
    </row>
    <row r="135" spans="1:32" x14ac:dyDescent="0.25">
      <c r="A135" s="329" t="s">
        <v>389</v>
      </c>
      <c r="B135" s="331"/>
      <c r="C135" s="330"/>
      <c r="D135" s="331"/>
      <c r="E135" s="331"/>
      <c r="F135" s="331"/>
      <c r="G135" s="331"/>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1041"/>
    </row>
    <row r="136" spans="1:32" x14ac:dyDescent="0.25">
      <c r="A136" s="332" t="s">
        <v>62</v>
      </c>
      <c r="B136" s="338">
        <f>B137+B138+B140</f>
        <v>9358.1959999999999</v>
      </c>
      <c r="C136" s="338">
        <f t="shared" ref="C136:E136" si="135">C137+C138+C140</f>
        <v>1349.1399999999999</v>
      </c>
      <c r="D136" s="338">
        <f t="shared" si="135"/>
        <v>885.73</v>
      </c>
      <c r="E136" s="338">
        <f t="shared" si="135"/>
        <v>885.73</v>
      </c>
      <c r="F136" s="338">
        <f>IFERROR(E136/B136*100,0)</f>
        <v>9.4647515397198347</v>
      </c>
      <c r="G136" s="338">
        <f>IFERROR(E136/C136*100,0)</f>
        <v>65.651452036111905</v>
      </c>
      <c r="H136" s="338">
        <f>H137+H138+H140</f>
        <v>309.10599999999999</v>
      </c>
      <c r="I136" s="338">
        <f t="shared" ref="I136:AE136" si="136">I137+I138+I140</f>
        <v>290.38</v>
      </c>
      <c r="J136" s="338">
        <f t="shared" si="136"/>
        <v>520.11699999999996</v>
      </c>
      <c r="K136" s="338">
        <f t="shared" si="136"/>
        <v>297.3</v>
      </c>
      <c r="L136" s="338">
        <f t="shared" si="136"/>
        <v>519.91700000000003</v>
      </c>
      <c r="M136" s="338">
        <f t="shared" si="136"/>
        <v>298.05</v>
      </c>
      <c r="N136" s="338">
        <f t="shared" si="136"/>
        <v>519.91700000000003</v>
      </c>
      <c r="O136" s="338">
        <f t="shared" si="136"/>
        <v>0</v>
      </c>
      <c r="P136" s="338">
        <f t="shared" si="136"/>
        <v>519.91700000000003</v>
      </c>
      <c r="Q136" s="338">
        <f t="shared" si="136"/>
        <v>0</v>
      </c>
      <c r="R136" s="338">
        <f t="shared" si="136"/>
        <v>645.81700000000001</v>
      </c>
      <c r="S136" s="338">
        <f t="shared" si="136"/>
        <v>0</v>
      </c>
      <c r="T136" s="338">
        <f t="shared" si="136"/>
        <v>519.91600000000005</v>
      </c>
      <c r="U136" s="338">
        <f t="shared" si="136"/>
        <v>0</v>
      </c>
      <c r="V136" s="338">
        <f t="shared" si="136"/>
        <v>519.91600000000005</v>
      </c>
      <c r="W136" s="338">
        <f t="shared" si="136"/>
        <v>0</v>
      </c>
      <c r="X136" s="338">
        <f t="shared" si="136"/>
        <v>519.91600000000005</v>
      </c>
      <c r="Y136" s="338">
        <f t="shared" si="136"/>
        <v>0</v>
      </c>
      <c r="Z136" s="338">
        <f t="shared" si="136"/>
        <v>3700.4160000000002</v>
      </c>
      <c r="AA136" s="338">
        <f t="shared" si="136"/>
        <v>0</v>
      </c>
      <c r="AB136" s="338">
        <f t="shared" si="136"/>
        <v>519.91700000000003</v>
      </c>
      <c r="AC136" s="338">
        <f t="shared" si="136"/>
        <v>0</v>
      </c>
      <c r="AD136" s="338">
        <f t="shared" si="136"/>
        <v>543.32399999999996</v>
      </c>
      <c r="AE136" s="338">
        <f t="shared" si="136"/>
        <v>0</v>
      </c>
      <c r="AF136" s="1030"/>
    </row>
    <row r="137" spans="1:32" x14ac:dyDescent="0.25">
      <c r="A137" s="329" t="s">
        <v>32</v>
      </c>
      <c r="B137" s="331"/>
      <c r="C137" s="331"/>
      <c r="D137" s="331"/>
      <c r="E137" s="331"/>
      <c r="F137" s="331"/>
      <c r="G137" s="331"/>
      <c r="H137" s="331"/>
      <c r="I137" s="331"/>
      <c r="J137" s="331"/>
      <c r="K137" s="331"/>
      <c r="L137" s="331"/>
      <c r="M137" s="331"/>
      <c r="N137" s="331"/>
      <c r="O137" s="331"/>
      <c r="P137" s="331"/>
      <c r="Q137" s="331"/>
      <c r="R137" s="331"/>
      <c r="S137" s="331"/>
      <c r="T137" s="331"/>
      <c r="U137" s="331"/>
      <c r="V137" s="331"/>
      <c r="W137" s="331"/>
      <c r="X137" s="331"/>
      <c r="Y137" s="331"/>
      <c r="Z137" s="331"/>
      <c r="AA137" s="331"/>
      <c r="AB137" s="331"/>
      <c r="AC137" s="331"/>
      <c r="AD137" s="331"/>
      <c r="AE137" s="331"/>
      <c r="AF137" s="1031"/>
    </row>
    <row r="138" spans="1:32" x14ac:dyDescent="0.25">
      <c r="A138" s="329" t="s">
        <v>93</v>
      </c>
      <c r="B138" s="331">
        <f>H138+J138+L138+N138+P138+R138+T138+V138+X138+Z138+AB138+AD138</f>
        <v>9358.1959999999999</v>
      </c>
      <c r="C138" s="331">
        <f>C121</f>
        <v>1349.1399999999999</v>
      </c>
      <c r="D138" s="331">
        <f>E138</f>
        <v>885.73</v>
      </c>
      <c r="E138" s="331">
        <f>I138+K138+M138+O138+Q138+S138+U138+W138+Y138+AA138+AC138+AE138</f>
        <v>885.73</v>
      </c>
      <c r="F138" s="331">
        <f t="shared" ref="F138" si="137">IFERROR(E138/B138*100,0)</f>
        <v>9.4647515397198347</v>
      </c>
      <c r="G138" s="331">
        <f t="shared" ref="G138" si="138">IFERROR(E138/C138*100,0)</f>
        <v>65.651452036111905</v>
      </c>
      <c r="H138" s="331">
        <f t="shared" ref="H138:W138" si="139">H121</f>
        <v>309.10599999999999</v>
      </c>
      <c r="I138" s="331">
        <f t="shared" si="139"/>
        <v>290.38</v>
      </c>
      <c r="J138" s="331">
        <f t="shared" si="139"/>
        <v>520.11699999999996</v>
      </c>
      <c r="K138" s="331">
        <f t="shared" si="139"/>
        <v>297.3</v>
      </c>
      <c r="L138" s="331">
        <f t="shared" si="139"/>
        <v>519.91700000000003</v>
      </c>
      <c r="M138" s="331">
        <f t="shared" si="139"/>
        <v>298.05</v>
      </c>
      <c r="N138" s="331">
        <f t="shared" si="139"/>
        <v>519.91700000000003</v>
      </c>
      <c r="O138" s="331">
        <f t="shared" si="139"/>
        <v>0</v>
      </c>
      <c r="P138" s="331">
        <f t="shared" si="139"/>
        <v>519.91700000000003</v>
      </c>
      <c r="Q138" s="331">
        <f t="shared" si="139"/>
        <v>0</v>
      </c>
      <c r="R138" s="331">
        <f t="shared" si="139"/>
        <v>645.81700000000001</v>
      </c>
      <c r="S138" s="331">
        <f t="shared" si="139"/>
        <v>0</v>
      </c>
      <c r="T138" s="331">
        <f t="shared" si="139"/>
        <v>519.91600000000005</v>
      </c>
      <c r="U138" s="331">
        <f t="shared" si="139"/>
        <v>0</v>
      </c>
      <c r="V138" s="331">
        <f t="shared" si="139"/>
        <v>519.91600000000005</v>
      </c>
      <c r="W138" s="331">
        <f t="shared" si="139"/>
        <v>0</v>
      </c>
      <c r="X138" s="331">
        <f t="shared" ref="X138:AE138" si="140">X121</f>
        <v>519.91600000000005</v>
      </c>
      <c r="Y138" s="331">
        <f t="shared" si="140"/>
        <v>0</v>
      </c>
      <c r="Z138" s="331">
        <f t="shared" si="140"/>
        <v>3700.4160000000002</v>
      </c>
      <c r="AA138" s="331">
        <f t="shared" si="140"/>
        <v>0</v>
      </c>
      <c r="AB138" s="331">
        <f t="shared" si="140"/>
        <v>519.91700000000003</v>
      </c>
      <c r="AC138" s="331">
        <f t="shared" si="140"/>
        <v>0</v>
      </c>
      <c r="AD138" s="331">
        <f t="shared" si="140"/>
        <v>543.32399999999996</v>
      </c>
      <c r="AE138" s="331">
        <f t="shared" si="140"/>
        <v>0</v>
      </c>
      <c r="AF138" s="1031"/>
    </row>
    <row r="139" spans="1:32" ht="31.5" x14ac:dyDescent="0.25">
      <c r="A139" s="343" t="s">
        <v>174</v>
      </c>
      <c r="B139" s="330"/>
      <c r="C139" s="331"/>
      <c r="D139" s="331"/>
      <c r="E139" s="331"/>
      <c r="F139" s="331"/>
      <c r="G139" s="331"/>
      <c r="H139" s="331"/>
      <c r="I139" s="331"/>
      <c r="J139" s="331"/>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1031"/>
    </row>
    <row r="140" spans="1:32" x14ac:dyDescent="0.25">
      <c r="A140" s="329" t="s">
        <v>389</v>
      </c>
      <c r="B140" s="330"/>
      <c r="C140" s="331"/>
      <c r="D140" s="331"/>
      <c r="E140" s="331"/>
      <c r="F140" s="331"/>
      <c r="G140" s="331"/>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1031"/>
    </row>
    <row r="141" spans="1:32" ht="31.5" x14ac:dyDescent="0.25">
      <c r="A141" s="332" t="s">
        <v>63</v>
      </c>
      <c r="B141" s="349">
        <f>B142+B143+B145</f>
        <v>890217.21699999995</v>
      </c>
      <c r="C141" s="349">
        <f t="shared" ref="C141:E141" si="141">C142+C143+C145</f>
        <v>95688.049000000014</v>
      </c>
      <c r="D141" s="349">
        <f t="shared" si="141"/>
        <v>78049.38</v>
      </c>
      <c r="E141" s="349">
        <f t="shared" si="141"/>
        <v>78049.38</v>
      </c>
      <c r="F141" s="349">
        <f>E141/B141*100</f>
        <v>8.7674534382769647</v>
      </c>
      <c r="G141" s="349">
        <f>E141/C141*100</f>
        <v>81.566486949692106</v>
      </c>
      <c r="H141" s="349">
        <f>H142+H143+H145</f>
        <v>37687.879000000001</v>
      </c>
      <c r="I141" s="349">
        <f t="shared" ref="I141:AE141" si="142">I142+I143+I145</f>
        <v>21641.969999999998</v>
      </c>
      <c r="J141" s="349">
        <f t="shared" si="142"/>
        <v>30920.217000000001</v>
      </c>
      <c r="K141" s="349">
        <f t="shared" si="142"/>
        <v>33857.420000000006</v>
      </c>
      <c r="L141" s="349">
        <f t="shared" si="142"/>
        <v>27079.953000000005</v>
      </c>
      <c r="M141" s="349">
        <f t="shared" si="142"/>
        <v>22549.989999999998</v>
      </c>
      <c r="N141" s="349">
        <f t="shared" si="142"/>
        <v>32253.851000000006</v>
      </c>
      <c r="O141" s="349">
        <f t="shared" si="142"/>
        <v>0</v>
      </c>
      <c r="P141" s="349">
        <f t="shared" si="142"/>
        <v>21759.444000000003</v>
      </c>
      <c r="Q141" s="349">
        <f t="shared" si="142"/>
        <v>0</v>
      </c>
      <c r="R141" s="349">
        <f t="shared" si="142"/>
        <v>21168.339</v>
      </c>
      <c r="S141" s="349">
        <f t="shared" si="142"/>
        <v>0</v>
      </c>
      <c r="T141" s="349">
        <f t="shared" si="142"/>
        <v>40216.904999999999</v>
      </c>
      <c r="U141" s="349">
        <f t="shared" si="142"/>
        <v>0</v>
      </c>
      <c r="V141" s="349">
        <f t="shared" si="142"/>
        <v>16152.05</v>
      </c>
      <c r="W141" s="349">
        <f t="shared" si="142"/>
        <v>0</v>
      </c>
      <c r="X141" s="349">
        <f t="shared" si="142"/>
        <v>353693.41099999996</v>
      </c>
      <c r="Y141" s="349">
        <f t="shared" si="142"/>
        <v>0</v>
      </c>
      <c r="Z141" s="349">
        <f t="shared" si="142"/>
        <v>215800.76500000001</v>
      </c>
      <c r="AA141" s="349">
        <f t="shared" si="142"/>
        <v>0</v>
      </c>
      <c r="AB141" s="349">
        <f t="shared" si="142"/>
        <v>18234.018</v>
      </c>
      <c r="AC141" s="349">
        <f t="shared" si="142"/>
        <v>0</v>
      </c>
      <c r="AD141" s="349">
        <f t="shared" si="142"/>
        <v>75250.385000000009</v>
      </c>
      <c r="AE141" s="349">
        <f t="shared" si="142"/>
        <v>0</v>
      </c>
      <c r="AF141" s="1031"/>
    </row>
    <row r="142" spans="1:32" x14ac:dyDescent="0.25">
      <c r="A142" s="329" t="s">
        <v>32</v>
      </c>
      <c r="B142" s="331">
        <f>H142+J142+L142+N142+P142+R142+T142+V142+X142+Z142+AB142+AD142</f>
        <v>97889.347000000009</v>
      </c>
      <c r="C142" s="331">
        <f>H142+J142+L142</f>
        <v>0</v>
      </c>
      <c r="D142" s="331">
        <f>E142</f>
        <v>0</v>
      </c>
      <c r="E142" s="331">
        <f>I142+K142+M142+O142+Q142+S142+U142+W142+Y142+AA142+AC142+AE142</f>
        <v>0</v>
      </c>
      <c r="F142" s="331">
        <f>IFERROR(E142/B142*100,0)</f>
        <v>0</v>
      </c>
      <c r="G142" s="331">
        <f>IFERROR(E142/C142*100,0)</f>
        <v>0</v>
      </c>
      <c r="H142" s="331">
        <f>H147</f>
        <v>0</v>
      </c>
      <c r="I142" s="331">
        <f t="shared" ref="I142:AE145" si="143">I147</f>
        <v>0</v>
      </c>
      <c r="J142" s="331">
        <f t="shared" si="143"/>
        <v>0</v>
      </c>
      <c r="K142" s="331">
        <f t="shared" si="143"/>
        <v>0</v>
      </c>
      <c r="L142" s="331">
        <f t="shared" si="143"/>
        <v>0</v>
      </c>
      <c r="M142" s="331">
        <f t="shared" si="143"/>
        <v>0</v>
      </c>
      <c r="N142" s="331">
        <f t="shared" si="143"/>
        <v>0</v>
      </c>
      <c r="O142" s="331">
        <f t="shared" si="143"/>
        <v>0</v>
      </c>
      <c r="P142" s="331">
        <f t="shared" si="143"/>
        <v>0</v>
      </c>
      <c r="Q142" s="331">
        <f t="shared" si="143"/>
        <v>0</v>
      </c>
      <c r="R142" s="331">
        <f t="shared" si="143"/>
        <v>0</v>
      </c>
      <c r="S142" s="331">
        <f t="shared" si="143"/>
        <v>0</v>
      </c>
      <c r="T142" s="331">
        <f t="shared" si="143"/>
        <v>5612.58</v>
      </c>
      <c r="U142" s="331">
        <f t="shared" si="143"/>
        <v>0</v>
      </c>
      <c r="V142" s="331">
        <f t="shared" si="143"/>
        <v>0</v>
      </c>
      <c r="W142" s="331">
        <f t="shared" si="143"/>
        <v>0</v>
      </c>
      <c r="X142" s="331">
        <f t="shared" si="143"/>
        <v>0</v>
      </c>
      <c r="Y142" s="331">
        <f t="shared" si="143"/>
        <v>0</v>
      </c>
      <c r="Z142" s="331">
        <f t="shared" si="143"/>
        <v>76501.275999999998</v>
      </c>
      <c r="AA142" s="331">
        <f t="shared" si="143"/>
        <v>0</v>
      </c>
      <c r="AB142" s="331">
        <f t="shared" si="143"/>
        <v>857.53099999999995</v>
      </c>
      <c r="AC142" s="331">
        <f t="shared" si="143"/>
        <v>0</v>
      </c>
      <c r="AD142" s="331">
        <f t="shared" si="143"/>
        <v>14917.96</v>
      </c>
      <c r="AE142" s="331">
        <f t="shared" si="143"/>
        <v>0</v>
      </c>
      <c r="AF142" s="1031"/>
    </row>
    <row r="143" spans="1:32" x14ac:dyDescent="0.25">
      <c r="A143" s="329" t="s">
        <v>33</v>
      </c>
      <c r="B143" s="331">
        <f t="shared" ref="B143:B145" si="144">H143+J143+L143+N143+P143+R143+T143+V143+X143+Z143+AB143+AD143</f>
        <v>435720.11</v>
      </c>
      <c r="C143" s="331">
        <f>H143+J143+L143</f>
        <v>95688.049000000014</v>
      </c>
      <c r="D143" s="331">
        <f t="shared" ref="D143:D145" si="145">E143</f>
        <v>78049.38</v>
      </c>
      <c r="E143" s="331">
        <f t="shared" ref="E143:E145" si="146">I143+K143+M143+O143+Q143+S143+U143+W143+Y143+AA143+AC143+AE143</f>
        <v>78049.38</v>
      </c>
      <c r="F143" s="331">
        <f t="shared" ref="F143:F145" si="147">IFERROR(E143/B143*100,0)</f>
        <v>17.912733015696709</v>
      </c>
      <c r="G143" s="331">
        <f t="shared" ref="G143:G145" si="148">IFERROR(E143/C143*100,0)</f>
        <v>81.566486949692106</v>
      </c>
      <c r="H143" s="331">
        <f t="shared" ref="H143:W145" si="149">H148</f>
        <v>37687.879000000001</v>
      </c>
      <c r="I143" s="331">
        <f t="shared" si="149"/>
        <v>21641.969999999998</v>
      </c>
      <c r="J143" s="331">
        <f t="shared" si="149"/>
        <v>30920.217000000001</v>
      </c>
      <c r="K143" s="331">
        <f t="shared" si="149"/>
        <v>33857.420000000006</v>
      </c>
      <c r="L143" s="331">
        <f t="shared" si="149"/>
        <v>27079.953000000005</v>
      </c>
      <c r="M143" s="331">
        <f t="shared" si="149"/>
        <v>22549.989999999998</v>
      </c>
      <c r="N143" s="331">
        <f t="shared" si="149"/>
        <v>32253.851000000006</v>
      </c>
      <c r="O143" s="331">
        <f t="shared" si="149"/>
        <v>0</v>
      </c>
      <c r="P143" s="331">
        <f t="shared" si="149"/>
        <v>21759.444000000003</v>
      </c>
      <c r="Q143" s="331">
        <f t="shared" si="149"/>
        <v>0</v>
      </c>
      <c r="R143" s="331">
        <f t="shared" si="149"/>
        <v>21168.339</v>
      </c>
      <c r="S143" s="331">
        <f t="shared" si="149"/>
        <v>0</v>
      </c>
      <c r="T143" s="331">
        <f t="shared" si="149"/>
        <v>23379.165000000005</v>
      </c>
      <c r="U143" s="331">
        <f t="shared" si="149"/>
        <v>0</v>
      </c>
      <c r="V143" s="331">
        <f t="shared" si="149"/>
        <v>16152.05</v>
      </c>
      <c r="W143" s="331">
        <f t="shared" si="149"/>
        <v>0</v>
      </c>
      <c r="X143" s="331">
        <f t="shared" si="143"/>
        <v>127967.91099999999</v>
      </c>
      <c r="Y143" s="331">
        <f t="shared" si="143"/>
        <v>0</v>
      </c>
      <c r="Z143" s="331">
        <f t="shared" si="143"/>
        <v>40634.739000000001</v>
      </c>
      <c r="AA143" s="331">
        <f t="shared" si="143"/>
        <v>0</v>
      </c>
      <c r="AB143" s="331">
        <f t="shared" si="143"/>
        <v>16229.137000000001</v>
      </c>
      <c r="AC143" s="331">
        <f t="shared" si="143"/>
        <v>0</v>
      </c>
      <c r="AD143" s="331">
        <f t="shared" si="143"/>
        <v>40487.425000000003</v>
      </c>
      <c r="AE143" s="331">
        <f t="shared" si="143"/>
        <v>0</v>
      </c>
      <c r="AF143" s="1031"/>
    </row>
    <row r="144" spans="1:32" ht="31.5" x14ac:dyDescent="0.25">
      <c r="A144" s="343" t="s">
        <v>174</v>
      </c>
      <c r="B144" s="331"/>
      <c r="C144" s="331"/>
      <c r="D144" s="331"/>
      <c r="E144" s="331"/>
      <c r="F144" s="331"/>
      <c r="G144" s="331"/>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1031"/>
    </row>
    <row r="145" spans="1:32" x14ac:dyDescent="0.25">
      <c r="A145" s="329" t="s">
        <v>389</v>
      </c>
      <c r="B145" s="331">
        <f t="shared" si="144"/>
        <v>356607.76</v>
      </c>
      <c r="C145" s="331">
        <f>H145+J145+L145</f>
        <v>0</v>
      </c>
      <c r="D145" s="331">
        <f t="shared" si="145"/>
        <v>0</v>
      </c>
      <c r="E145" s="331">
        <f t="shared" si="146"/>
        <v>0</v>
      </c>
      <c r="F145" s="331">
        <f t="shared" si="147"/>
        <v>0</v>
      </c>
      <c r="G145" s="331">
        <f t="shared" si="148"/>
        <v>0</v>
      </c>
      <c r="H145" s="331">
        <f t="shared" si="149"/>
        <v>0</v>
      </c>
      <c r="I145" s="331">
        <f t="shared" si="149"/>
        <v>0</v>
      </c>
      <c r="J145" s="331">
        <f t="shared" si="149"/>
        <v>0</v>
      </c>
      <c r="K145" s="331">
        <f t="shared" si="149"/>
        <v>0</v>
      </c>
      <c r="L145" s="331">
        <f t="shared" si="149"/>
        <v>0</v>
      </c>
      <c r="M145" s="331">
        <f t="shared" si="149"/>
        <v>0</v>
      </c>
      <c r="N145" s="331">
        <f t="shared" si="149"/>
        <v>0</v>
      </c>
      <c r="O145" s="331">
        <f t="shared" si="149"/>
        <v>0</v>
      </c>
      <c r="P145" s="331">
        <f t="shared" si="149"/>
        <v>0</v>
      </c>
      <c r="Q145" s="331">
        <f t="shared" si="149"/>
        <v>0</v>
      </c>
      <c r="R145" s="331">
        <f t="shared" si="149"/>
        <v>0</v>
      </c>
      <c r="S145" s="331">
        <f t="shared" si="149"/>
        <v>0</v>
      </c>
      <c r="T145" s="331">
        <f t="shared" si="149"/>
        <v>11225.16</v>
      </c>
      <c r="U145" s="331">
        <f t="shared" si="149"/>
        <v>0</v>
      </c>
      <c r="V145" s="331">
        <f t="shared" si="149"/>
        <v>0</v>
      </c>
      <c r="W145" s="331">
        <f t="shared" si="149"/>
        <v>0</v>
      </c>
      <c r="X145" s="331">
        <f t="shared" si="143"/>
        <v>225725.5</v>
      </c>
      <c r="Y145" s="331">
        <f t="shared" si="143"/>
        <v>0</v>
      </c>
      <c r="Z145" s="331">
        <f t="shared" si="143"/>
        <v>98664.75</v>
      </c>
      <c r="AA145" s="331">
        <f t="shared" si="143"/>
        <v>0</v>
      </c>
      <c r="AB145" s="331">
        <f t="shared" si="143"/>
        <v>1147.3499999999999</v>
      </c>
      <c r="AC145" s="331">
        <f t="shared" si="143"/>
        <v>0</v>
      </c>
      <c r="AD145" s="331">
        <f t="shared" si="143"/>
        <v>19845</v>
      </c>
      <c r="AE145" s="331">
        <f t="shared" si="143"/>
        <v>0</v>
      </c>
      <c r="AF145" s="1032"/>
    </row>
    <row r="146" spans="1:32" ht="31.5" x14ac:dyDescent="0.25">
      <c r="A146" s="350" t="s">
        <v>100</v>
      </c>
      <c r="B146" s="351">
        <f>B147+B148+B150</f>
        <v>890217.21699999995</v>
      </c>
      <c r="C146" s="351">
        <f t="shared" ref="C146:E146" si="150">C147+C148+C150</f>
        <v>95688.048999999999</v>
      </c>
      <c r="D146" s="351">
        <f t="shared" si="150"/>
        <v>78049.37999999999</v>
      </c>
      <c r="E146" s="351">
        <f t="shared" si="150"/>
        <v>78049.37999999999</v>
      </c>
      <c r="F146" s="351">
        <f>IFERROR(E146/B146%,0)</f>
        <v>8.7674534382769629</v>
      </c>
      <c r="G146" s="351">
        <f>IFERROR(E146/C146%,0)</f>
        <v>81.566486949692106</v>
      </c>
      <c r="H146" s="351">
        <f>H147+H148+H150</f>
        <v>37687.879000000001</v>
      </c>
      <c r="I146" s="351">
        <f t="shared" ref="I146:AE146" si="151">I147+I148+I150</f>
        <v>21641.969999999998</v>
      </c>
      <c r="J146" s="351">
        <f t="shared" si="151"/>
        <v>30920.217000000001</v>
      </c>
      <c r="K146" s="351">
        <f t="shared" si="151"/>
        <v>33857.420000000006</v>
      </c>
      <c r="L146" s="351">
        <f t="shared" si="151"/>
        <v>27079.953000000005</v>
      </c>
      <c r="M146" s="351">
        <f t="shared" si="151"/>
        <v>22549.989999999998</v>
      </c>
      <c r="N146" s="351">
        <f t="shared" si="151"/>
        <v>32253.851000000006</v>
      </c>
      <c r="O146" s="351">
        <f t="shared" si="151"/>
        <v>0</v>
      </c>
      <c r="P146" s="351">
        <f t="shared" si="151"/>
        <v>21759.444000000003</v>
      </c>
      <c r="Q146" s="351">
        <f t="shared" si="151"/>
        <v>0</v>
      </c>
      <c r="R146" s="351">
        <f t="shared" si="151"/>
        <v>21168.339</v>
      </c>
      <c r="S146" s="351">
        <f t="shared" si="151"/>
        <v>0</v>
      </c>
      <c r="T146" s="351">
        <f t="shared" si="151"/>
        <v>40216.904999999999</v>
      </c>
      <c r="U146" s="351">
        <f t="shared" si="151"/>
        <v>0</v>
      </c>
      <c r="V146" s="351">
        <f t="shared" si="151"/>
        <v>16152.05</v>
      </c>
      <c r="W146" s="351">
        <f t="shared" si="151"/>
        <v>0</v>
      </c>
      <c r="X146" s="351">
        <f t="shared" si="151"/>
        <v>353693.41099999996</v>
      </c>
      <c r="Y146" s="351">
        <f t="shared" si="151"/>
        <v>0</v>
      </c>
      <c r="Z146" s="351">
        <f t="shared" si="151"/>
        <v>215800.76500000001</v>
      </c>
      <c r="AA146" s="351">
        <f t="shared" si="151"/>
        <v>0</v>
      </c>
      <c r="AB146" s="351">
        <f t="shared" si="151"/>
        <v>18234.018</v>
      </c>
      <c r="AC146" s="351">
        <f t="shared" si="151"/>
        <v>0</v>
      </c>
      <c r="AD146" s="351">
        <f t="shared" si="151"/>
        <v>75250.385000000009</v>
      </c>
      <c r="AE146" s="351">
        <f t="shared" si="151"/>
        <v>0</v>
      </c>
      <c r="AF146" s="1012"/>
    </row>
    <row r="147" spans="1:32" x14ac:dyDescent="0.25">
      <c r="A147" s="329" t="s">
        <v>32</v>
      </c>
      <c r="B147" s="331">
        <f>B17+B53+B101+B120</f>
        <v>97889.347000000009</v>
      </c>
      <c r="C147" s="331">
        <f>C17+C53+C101+C120</f>
        <v>0</v>
      </c>
      <c r="D147" s="331">
        <f>D17+D53+D101+D120</f>
        <v>0</v>
      </c>
      <c r="E147" s="331">
        <f>E17+E53+E101+E120</f>
        <v>0</v>
      </c>
      <c r="F147" s="331">
        <f t="shared" ref="F147:F150" si="152">IFERROR(E147/B147%,0)</f>
        <v>0</v>
      </c>
      <c r="G147" s="331">
        <f t="shared" ref="G147:G150" si="153">IFERROR(E147/C147%,0)</f>
        <v>0</v>
      </c>
      <c r="H147" s="331">
        <f t="shared" ref="H147:AE147" si="154">H17+H53+H101+H120</f>
        <v>0</v>
      </c>
      <c r="I147" s="331">
        <f t="shared" si="154"/>
        <v>0</v>
      </c>
      <c r="J147" s="331">
        <f t="shared" si="154"/>
        <v>0</v>
      </c>
      <c r="K147" s="331">
        <f t="shared" si="154"/>
        <v>0</v>
      </c>
      <c r="L147" s="331">
        <f t="shared" si="154"/>
        <v>0</v>
      </c>
      <c r="M147" s="331">
        <f t="shared" si="154"/>
        <v>0</v>
      </c>
      <c r="N147" s="331">
        <f t="shared" si="154"/>
        <v>0</v>
      </c>
      <c r="O147" s="331">
        <f t="shared" si="154"/>
        <v>0</v>
      </c>
      <c r="P147" s="331">
        <f t="shared" si="154"/>
        <v>0</v>
      </c>
      <c r="Q147" s="331">
        <f t="shared" si="154"/>
        <v>0</v>
      </c>
      <c r="R147" s="331">
        <f t="shared" si="154"/>
        <v>0</v>
      </c>
      <c r="S147" s="331">
        <f t="shared" si="154"/>
        <v>0</v>
      </c>
      <c r="T147" s="331">
        <f t="shared" si="154"/>
        <v>5612.58</v>
      </c>
      <c r="U147" s="331">
        <f t="shared" si="154"/>
        <v>0</v>
      </c>
      <c r="V147" s="331">
        <f t="shared" si="154"/>
        <v>0</v>
      </c>
      <c r="W147" s="331">
        <f t="shared" si="154"/>
        <v>0</v>
      </c>
      <c r="X147" s="331">
        <f t="shared" si="154"/>
        <v>0</v>
      </c>
      <c r="Y147" s="331">
        <f t="shared" si="154"/>
        <v>0</v>
      </c>
      <c r="Z147" s="331">
        <f t="shared" si="154"/>
        <v>76501.275999999998</v>
      </c>
      <c r="AA147" s="331">
        <f t="shared" si="154"/>
        <v>0</v>
      </c>
      <c r="AB147" s="331">
        <f t="shared" si="154"/>
        <v>857.53099999999995</v>
      </c>
      <c r="AC147" s="331">
        <f t="shared" si="154"/>
        <v>0</v>
      </c>
      <c r="AD147" s="331">
        <f t="shared" si="154"/>
        <v>14917.96</v>
      </c>
      <c r="AE147" s="331">
        <f t="shared" si="154"/>
        <v>0</v>
      </c>
      <c r="AF147" s="1013"/>
    </row>
    <row r="148" spans="1:32" x14ac:dyDescent="0.25">
      <c r="A148" s="329" t="s">
        <v>33</v>
      </c>
      <c r="B148" s="331">
        <f>B10+B18+B54+B102+B121</f>
        <v>435720.11</v>
      </c>
      <c r="C148" s="331">
        <f>C10+C18+C54+C102+C121</f>
        <v>95688.048999999999</v>
      </c>
      <c r="D148" s="331">
        <f>D10+D18+D54+D102+D121</f>
        <v>78049.37999999999</v>
      </c>
      <c r="E148" s="331">
        <f>E10+E18+E54+E102+E121</f>
        <v>78049.37999999999</v>
      </c>
      <c r="F148" s="331">
        <f t="shared" si="152"/>
        <v>17.912733015696702</v>
      </c>
      <c r="G148" s="331">
        <f t="shared" si="153"/>
        <v>81.566486949692106</v>
      </c>
      <c r="H148" s="615">
        <f t="shared" ref="H148:AE148" si="155">H10+H18+H54+H102+H121</f>
        <v>37687.879000000001</v>
      </c>
      <c r="I148" s="331">
        <f t="shared" si="155"/>
        <v>21641.969999999998</v>
      </c>
      <c r="J148" s="331">
        <f t="shared" si="155"/>
        <v>30920.217000000001</v>
      </c>
      <c r="K148" s="331">
        <f t="shared" si="155"/>
        <v>33857.420000000006</v>
      </c>
      <c r="L148" s="331">
        <f t="shared" si="155"/>
        <v>27079.953000000005</v>
      </c>
      <c r="M148" s="331">
        <f t="shared" si="155"/>
        <v>22549.989999999998</v>
      </c>
      <c r="N148" s="331">
        <f t="shared" si="155"/>
        <v>32253.851000000006</v>
      </c>
      <c r="O148" s="331">
        <f t="shared" si="155"/>
        <v>0</v>
      </c>
      <c r="P148" s="331">
        <f t="shared" si="155"/>
        <v>21759.444000000003</v>
      </c>
      <c r="Q148" s="331">
        <f t="shared" si="155"/>
        <v>0</v>
      </c>
      <c r="R148" s="331">
        <f t="shared" si="155"/>
        <v>21168.339</v>
      </c>
      <c r="S148" s="331">
        <f t="shared" si="155"/>
        <v>0</v>
      </c>
      <c r="T148" s="331">
        <f t="shared" si="155"/>
        <v>23379.165000000005</v>
      </c>
      <c r="U148" s="331">
        <f t="shared" si="155"/>
        <v>0</v>
      </c>
      <c r="V148" s="331">
        <f t="shared" si="155"/>
        <v>16152.05</v>
      </c>
      <c r="W148" s="331">
        <f t="shared" si="155"/>
        <v>0</v>
      </c>
      <c r="X148" s="331">
        <f t="shared" si="155"/>
        <v>127967.91099999999</v>
      </c>
      <c r="Y148" s="331">
        <f t="shared" si="155"/>
        <v>0</v>
      </c>
      <c r="Z148" s="331">
        <f t="shared" si="155"/>
        <v>40634.739000000001</v>
      </c>
      <c r="AA148" s="331">
        <f t="shared" si="155"/>
        <v>0</v>
      </c>
      <c r="AB148" s="331">
        <f t="shared" si="155"/>
        <v>16229.137000000001</v>
      </c>
      <c r="AC148" s="331">
        <f t="shared" si="155"/>
        <v>0</v>
      </c>
      <c r="AD148" s="331">
        <f t="shared" si="155"/>
        <v>40487.425000000003</v>
      </c>
      <c r="AE148" s="331">
        <f t="shared" si="155"/>
        <v>0</v>
      </c>
      <c r="AF148" s="1013"/>
    </row>
    <row r="149" spans="1:32" ht="31.5" x14ac:dyDescent="0.25">
      <c r="A149" s="343" t="s">
        <v>174</v>
      </c>
      <c r="B149" s="331">
        <f t="shared" ref="B149:E150" si="156">B19+B55++B103+B122</f>
        <v>0</v>
      </c>
      <c r="C149" s="331">
        <f t="shared" si="156"/>
        <v>0</v>
      </c>
      <c r="D149" s="331">
        <f t="shared" si="156"/>
        <v>0</v>
      </c>
      <c r="E149" s="331">
        <f t="shared" si="156"/>
        <v>0</v>
      </c>
      <c r="F149" s="331">
        <f t="shared" si="152"/>
        <v>0</v>
      </c>
      <c r="G149" s="331">
        <f t="shared" si="153"/>
        <v>0</v>
      </c>
      <c r="H149" s="331">
        <f t="shared" ref="H149:AE149" si="157">H19+H55++H103+H122</f>
        <v>0</v>
      </c>
      <c r="I149" s="331">
        <f t="shared" si="157"/>
        <v>0</v>
      </c>
      <c r="J149" s="331">
        <f t="shared" si="157"/>
        <v>0</v>
      </c>
      <c r="K149" s="331">
        <f t="shared" si="157"/>
        <v>0</v>
      </c>
      <c r="L149" s="331">
        <f t="shared" si="157"/>
        <v>0</v>
      </c>
      <c r="M149" s="331">
        <f t="shared" si="157"/>
        <v>0</v>
      </c>
      <c r="N149" s="331">
        <f t="shared" si="157"/>
        <v>0</v>
      </c>
      <c r="O149" s="331">
        <f t="shared" si="157"/>
        <v>0</v>
      </c>
      <c r="P149" s="331">
        <f t="shared" si="157"/>
        <v>0</v>
      </c>
      <c r="Q149" s="331">
        <f t="shared" si="157"/>
        <v>0</v>
      </c>
      <c r="R149" s="331">
        <f t="shared" si="157"/>
        <v>0</v>
      </c>
      <c r="S149" s="331">
        <f t="shared" si="157"/>
        <v>0</v>
      </c>
      <c r="T149" s="331">
        <f t="shared" si="157"/>
        <v>0</v>
      </c>
      <c r="U149" s="331">
        <f t="shared" si="157"/>
        <v>0</v>
      </c>
      <c r="V149" s="331">
        <f t="shared" si="157"/>
        <v>0</v>
      </c>
      <c r="W149" s="331">
        <f t="shared" si="157"/>
        <v>0</v>
      </c>
      <c r="X149" s="331">
        <f t="shared" si="157"/>
        <v>0</v>
      </c>
      <c r="Y149" s="331">
        <f t="shared" si="157"/>
        <v>0</v>
      </c>
      <c r="Z149" s="331">
        <f t="shared" si="157"/>
        <v>0</v>
      </c>
      <c r="AA149" s="331">
        <f t="shared" si="157"/>
        <v>0</v>
      </c>
      <c r="AB149" s="331">
        <f t="shared" si="157"/>
        <v>0</v>
      </c>
      <c r="AC149" s="331">
        <f t="shared" si="157"/>
        <v>0</v>
      </c>
      <c r="AD149" s="331">
        <f t="shared" si="157"/>
        <v>0</v>
      </c>
      <c r="AE149" s="331">
        <f t="shared" si="157"/>
        <v>0</v>
      </c>
      <c r="AF149" s="1013"/>
    </row>
    <row r="150" spans="1:32" x14ac:dyDescent="0.25">
      <c r="A150" s="329" t="s">
        <v>389</v>
      </c>
      <c r="B150" s="331">
        <f t="shared" si="156"/>
        <v>356607.76</v>
      </c>
      <c r="C150" s="331">
        <f t="shared" si="156"/>
        <v>0</v>
      </c>
      <c r="D150" s="331">
        <f t="shared" si="156"/>
        <v>0</v>
      </c>
      <c r="E150" s="331">
        <f t="shared" si="156"/>
        <v>0</v>
      </c>
      <c r="F150" s="331">
        <f t="shared" si="152"/>
        <v>0</v>
      </c>
      <c r="G150" s="331">
        <f t="shared" si="153"/>
        <v>0</v>
      </c>
      <c r="H150" s="331">
        <f t="shared" ref="H150:AE150" si="158">H20+H56++H104+H123</f>
        <v>0</v>
      </c>
      <c r="I150" s="331">
        <f t="shared" si="158"/>
        <v>0</v>
      </c>
      <c r="J150" s="331">
        <f t="shared" si="158"/>
        <v>0</v>
      </c>
      <c r="K150" s="331">
        <f t="shared" si="158"/>
        <v>0</v>
      </c>
      <c r="L150" s="331">
        <f t="shared" si="158"/>
        <v>0</v>
      </c>
      <c r="M150" s="331">
        <f t="shared" si="158"/>
        <v>0</v>
      </c>
      <c r="N150" s="331">
        <f t="shared" si="158"/>
        <v>0</v>
      </c>
      <c r="O150" s="331">
        <f t="shared" si="158"/>
        <v>0</v>
      </c>
      <c r="P150" s="331">
        <f t="shared" si="158"/>
        <v>0</v>
      </c>
      <c r="Q150" s="331">
        <f t="shared" si="158"/>
        <v>0</v>
      </c>
      <c r="R150" s="331">
        <f t="shared" si="158"/>
        <v>0</v>
      </c>
      <c r="S150" s="331">
        <f t="shared" si="158"/>
        <v>0</v>
      </c>
      <c r="T150" s="331">
        <f t="shared" si="158"/>
        <v>11225.16</v>
      </c>
      <c r="U150" s="331">
        <f t="shared" si="158"/>
        <v>0</v>
      </c>
      <c r="V150" s="331">
        <f t="shared" si="158"/>
        <v>0</v>
      </c>
      <c r="W150" s="331">
        <f t="shared" si="158"/>
        <v>0</v>
      </c>
      <c r="X150" s="331">
        <f t="shared" si="158"/>
        <v>225725.5</v>
      </c>
      <c r="Y150" s="331">
        <f t="shared" si="158"/>
        <v>0</v>
      </c>
      <c r="Z150" s="331">
        <f t="shared" si="158"/>
        <v>98664.75</v>
      </c>
      <c r="AA150" s="331">
        <f t="shared" si="158"/>
        <v>0</v>
      </c>
      <c r="AB150" s="331">
        <f t="shared" si="158"/>
        <v>1147.3499999999999</v>
      </c>
      <c r="AC150" s="331">
        <f t="shared" si="158"/>
        <v>0</v>
      </c>
      <c r="AD150" s="331">
        <f t="shared" si="158"/>
        <v>19845</v>
      </c>
      <c r="AE150" s="331">
        <f t="shared" si="158"/>
        <v>0</v>
      </c>
      <c r="AF150" s="1014"/>
    </row>
    <row r="153" spans="1:32" ht="16.5" x14ac:dyDescent="0.25">
      <c r="A153" s="531" t="s">
        <v>505</v>
      </c>
      <c r="B153" s="531"/>
      <c r="C153" s="531"/>
      <c r="D153" s="531"/>
      <c r="F153" s="531" t="s">
        <v>495</v>
      </c>
      <c r="G153" s="531"/>
      <c r="H153" s="531"/>
    </row>
    <row r="154" spans="1:32" ht="16.5" x14ac:dyDescent="0.25">
      <c r="A154" s="531"/>
      <c r="B154" s="531"/>
      <c r="C154" s="531"/>
      <c r="D154" s="531"/>
      <c r="F154" s="531"/>
      <c r="G154" s="531"/>
      <c r="H154" s="531"/>
    </row>
    <row r="155" spans="1:32" ht="16.5" x14ac:dyDescent="0.25">
      <c r="A155" s="531" t="s">
        <v>493</v>
      </c>
      <c r="B155" s="532"/>
      <c r="C155" s="532"/>
      <c r="D155" s="531"/>
      <c r="F155" s="531" t="s">
        <v>504</v>
      </c>
      <c r="G155" s="532"/>
      <c r="H155" s="532"/>
    </row>
    <row r="156" spans="1:32" ht="16.5" x14ac:dyDescent="0.25">
      <c r="A156" s="531" t="s">
        <v>494</v>
      </c>
      <c r="B156" s="531"/>
      <c r="C156" s="531"/>
      <c r="D156" s="531"/>
    </row>
    <row r="157" spans="1:32" ht="16.5" x14ac:dyDescent="0.25">
      <c r="A157" s="531"/>
      <c r="B157" s="531"/>
      <c r="C157" s="531"/>
      <c r="D157" s="531"/>
    </row>
    <row r="158" spans="1:32" ht="16.5" x14ac:dyDescent="0.25">
      <c r="A158" s="531"/>
      <c r="B158" s="531"/>
      <c r="C158" s="531"/>
      <c r="D158" s="531"/>
    </row>
    <row r="159" spans="1:32" ht="16.5" x14ac:dyDescent="0.25">
      <c r="A159" s="531"/>
      <c r="B159" s="531"/>
      <c r="C159" s="531"/>
      <c r="D159" s="531"/>
    </row>
    <row r="160" spans="1:32" ht="16.5" x14ac:dyDescent="0.25">
      <c r="D160" s="531"/>
    </row>
    <row r="161" spans="1:4" ht="16.5" x14ac:dyDescent="0.25">
      <c r="D161" s="531"/>
    </row>
    <row r="162" spans="1:4" ht="16.5" x14ac:dyDescent="0.25">
      <c r="D162" s="531"/>
    </row>
    <row r="163" spans="1:4" ht="16.5" x14ac:dyDescent="0.25">
      <c r="A163" s="531"/>
      <c r="B163" s="531"/>
      <c r="C163" s="531"/>
      <c r="D163" s="531"/>
    </row>
  </sheetData>
  <customSheetViews>
    <customSheetView guid="{533DC55B-6AD4-4674-9488-685EF2039F3E}"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1"/>
    </customSheetView>
    <customSheetView guid="{85F4575B-DBC5-482A-9916-255D8F0BC94E}"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2"/>
    </customSheetView>
    <customSheetView guid="{B1BF08D1-D416-4B47-ADD0-4F59132DC9E8}"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3"/>
    </customSheetView>
    <customSheetView guid="{4F41B9CC-959D-442C-80B0-1F0DB2C76D27}"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4"/>
    </customSheetView>
    <customSheetView guid="{602C8EDB-B9EF-4C85-B0D5-0558C3A0ABAB}" scale="60">
      <pane xSplit="1" ySplit="8" topLeftCell="B9"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5"/>
    </customSheetView>
    <customSheetView guid="{D01FA037-9AEC-4167-ADB8-2F327C01ECE6}" scale="60">
      <pane xSplit="1" ySplit="8" topLeftCell="B30"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6"/>
    </customSheetView>
    <customSheetView guid="{84867370-1F3E-4368-AF79-FBCE46FFFE92}" scale="60">
      <pane xSplit="1" ySplit="8" topLeftCell="B30"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7"/>
    </customSheetView>
    <customSheetView guid="{0C2B9C2A-7B94-41EF-A2E6-F8AC9A67DE25}" scale="60">
      <pane xSplit="1" ySplit="8" topLeftCell="B127" activePane="bottomRight" state="frozen"/>
      <selection pane="bottomRight" activeCell="A130" sqref="A130:AE130"/>
      <pageMargins left="0.11811023622047245" right="0.11811023622047245" top="0.15748031496062992" bottom="0.15748031496062992" header="0.31496062992125984" footer="0.31496062992125984"/>
      <pageSetup paperSize="9" scale="45" orientation="landscape" r:id="rId8"/>
    </customSheetView>
    <customSheetView guid="{47B983AB-FE5F-4725-860C-A2F29420596D}" scale="80">
      <pane xSplit="1" ySplit="8" topLeftCell="B9" activePane="bottomRight" state="frozen"/>
      <selection pane="bottomRight" activeCell="J24" sqref="J24"/>
      <pageMargins left="0.11811023622047245" right="0.11811023622047245" top="0.15748031496062992" bottom="0.15748031496062992" header="0.31496062992125984" footer="0.31496062992125984"/>
      <pageSetup paperSize="9" scale="45" orientation="landscape" r:id="rId9"/>
    </customSheetView>
    <customSheetView guid="{DAA8A688-7558-4B5B-8DBD-E2629BD9E9A8}" scale="60" topLeftCell="A142">
      <selection activeCell="G145" sqref="G145"/>
      <pageMargins left="0.11811023622047245" right="0.11811023622047245" top="0.15748031496062992" bottom="0.15748031496062992" header="0.31496062992125984" footer="0.31496062992125984"/>
      <pageSetup paperSize="9" scale="45" orientation="landscape" r:id="rId10"/>
    </customSheetView>
    <customSheetView guid="{BCD82A82-B724-4763-8580-D765356E09BA}" scale="70">
      <selection sqref="A1:AD1"/>
      <pageMargins left="0.7" right="0.7" top="0.75" bottom="0.75" header="0.3" footer="0.3"/>
    </customSheetView>
    <customSheetView guid="{C236B307-BD63-48C4-A75F-B3F3717BF55C}" scale="60" topLeftCell="A142">
      <selection activeCell="G145" sqref="G145"/>
      <pageMargins left="0.11811023622047245" right="0.11811023622047245" top="0.15748031496062992" bottom="0.15748031496062992" header="0.31496062992125984" footer="0.31496062992125984"/>
      <pageSetup paperSize="9" scale="45" orientation="landscape" r:id="rId11"/>
    </customSheetView>
    <customSheetView guid="{87218168-6C8E-4D5B-A5E5-DCCC26803AA3}" scale="60" topLeftCell="A142">
      <selection activeCell="G145" sqref="G145"/>
      <pageMargins left="0.11811023622047245" right="0.11811023622047245" top="0.15748031496062992" bottom="0.15748031496062992" header="0.31496062992125984" footer="0.31496062992125984"/>
      <pageSetup paperSize="9" scale="45" orientation="landscape" r:id="rId12"/>
    </customSheetView>
    <customSheetView guid="{874882D1-E741-4CCA-BF0D-E72FA60B771D}" scale="60" topLeftCell="A142">
      <selection activeCell="G145" sqref="G145"/>
      <pageMargins left="0.11811023622047245" right="0.11811023622047245" top="0.15748031496062992" bottom="0.15748031496062992" header="0.31496062992125984" footer="0.31496062992125984"/>
      <pageSetup paperSize="9" scale="45" orientation="landscape" r:id="rId13"/>
    </customSheetView>
    <customSheetView guid="{B82BA08A-1A30-4F4D-A478-74A6BD09EA97}" scale="60" topLeftCell="A112">
      <selection activeCell="K140" sqref="K140"/>
      <pageMargins left="0.11811023622047245" right="0.11811023622047245" top="0.15748031496062992" bottom="0.15748031496062992" header="0.31496062992125984" footer="0.31496062992125984"/>
      <pageSetup paperSize="9" scale="45" orientation="landscape" r:id="rId14"/>
    </customSheetView>
    <customSheetView guid="{4D0DFB57-2CBA-42F2-9A97-C453A6851FBA}" scale="80">
      <pane xSplit="1" ySplit="8" topLeftCell="B9" activePane="bottomRight" state="frozen"/>
      <selection pane="bottomRight" activeCell="J24" sqref="J24"/>
      <pageMargins left="0.11811023622047245" right="0.11811023622047245" top="0.15748031496062992" bottom="0.15748031496062992" header="0.31496062992125984" footer="0.31496062992125984"/>
      <pageSetup paperSize="9" scale="45" orientation="landscape" r:id="rId15"/>
    </customSheetView>
    <customSheetView guid="{770624BF-07F3-44B6-94C3-4CC447CDD45C}" scale="80">
      <pane xSplit="1" ySplit="8" topLeftCell="B9" activePane="bottomRight" state="frozen"/>
      <selection pane="bottomRight" activeCell="J24" sqref="J24"/>
      <pageMargins left="0.11811023622047245" right="0.11811023622047245" top="0.15748031496062992" bottom="0.15748031496062992" header="0.31496062992125984" footer="0.31496062992125984"/>
      <pageSetup paperSize="9" scale="45" orientation="landscape" r:id="rId16"/>
    </customSheetView>
    <customSheetView guid="{E508E171-4ED9-4B07-84DF-DA28C60E1969}" scale="80">
      <pane xSplit="1" ySplit="8" topLeftCell="B9" activePane="bottomRight" state="frozen"/>
      <selection pane="bottomRight" activeCell="J24" sqref="J24"/>
      <pageMargins left="0.11811023622047245" right="0.11811023622047245" top="0.15748031496062992" bottom="0.15748031496062992" header="0.31496062992125984" footer="0.31496062992125984"/>
      <pageSetup paperSize="9" scale="45" orientation="landscape" r:id="rId17"/>
    </customSheetView>
    <customSheetView guid="{74870EE6-26B9-40F7-9DC9-260EF16D8959}" scale="60">
      <pane xSplit="1" ySplit="8" topLeftCell="B30"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18"/>
    </customSheetView>
    <customSheetView guid="{009B3074-D8EC-4952-BF50-43CD64449612}" scale="60">
      <pane xSplit="1" ySplit="8" topLeftCell="B30"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19"/>
    </customSheetView>
    <customSheetView guid="{F679EF4A-C5FD-4B86-B87B-D85968E0F2CA}"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20"/>
    </customSheetView>
    <customSheetView guid="{959E901C-5DDE-42EE-AE94-AB8976B5E00B}"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21"/>
    </customSheetView>
    <customSheetView guid="{69DABE6F-6182-4403-A4A2-969F10F1C13A}"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22"/>
    </customSheetView>
    <customSheetView guid="{09C3E205-981E-4A4E-BE89-8B7044192060}"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23"/>
    </customSheetView>
    <customSheetView guid="{6A602CB8-B24C-4ED4-B378-B27354BE0A1A}" scale="60">
      <pane xSplit="1" ySplit="8" topLeftCell="B126" activePane="bottomRight" state="frozen"/>
      <selection pane="bottomRight" activeCell="A38" sqref="A38"/>
      <pageMargins left="0.11811023622047245" right="0.11811023622047245" top="0.15748031496062992" bottom="0.15748031496062992" header="0.31496062992125984" footer="0.31496062992125984"/>
      <pageSetup paperSize="9" scale="45" orientation="landscape" r:id="rId24"/>
    </customSheetView>
    <customSheetView guid="{7C130984-112A-4861-AA43-E2940708E3DC}" scale="60" state="hidden">
      <pane xSplit="1" ySplit="8" topLeftCell="B126" activePane="bottomRight" state="frozen"/>
      <selection pane="bottomRight" activeCell="A54" activeCellId="2" sqref="A17 A48 A54"/>
      <pageMargins left="0.11811023622047245" right="0.11811023622047245" top="0.15748031496062992" bottom="0.15748031496062992" header="0.31496062992125984" footer="0.31496062992125984"/>
      <pageSetup paperSize="9" scale="45" orientation="landscape" r:id="rId25"/>
    </customSheetView>
  </customSheetViews>
  <mergeCells count="64">
    <mergeCell ref="AF131:AF135"/>
    <mergeCell ref="AF136:AF140"/>
    <mergeCell ref="AF141:AF145"/>
    <mergeCell ref="AF146:AF150"/>
    <mergeCell ref="AF40:AF44"/>
    <mergeCell ref="AF46:AF50"/>
    <mergeCell ref="AF94:AF98"/>
    <mergeCell ref="AF100:AF104"/>
    <mergeCell ref="AF106:AF110"/>
    <mergeCell ref="AF52:AF68"/>
    <mergeCell ref="A1:AD1"/>
    <mergeCell ref="A3:A4"/>
    <mergeCell ref="B3:B4"/>
    <mergeCell ref="C3:C4"/>
    <mergeCell ref="D3:D4"/>
    <mergeCell ref="E3:E4"/>
    <mergeCell ref="F3:G3"/>
    <mergeCell ref="H3:I3"/>
    <mergeCell ref="J3:K3"/>
    <mergeCell ref="L3:M3"/>
    <mergeCell ref="A13:AE13"/>
    <mergeCell ref="A15:AE15"/>
    <mergeCell ref="AF8:AF12"/>
    <mergeCell ref="N3:O3"/>
    <mergeCell ref="P3:Q3"/>
    <mergeCell ref="R3:S3"/>
    <mergeCell ref="T3:U3"/>
    <mergeCell ref="V3:W3"/>
    <mergeCell ref="X3:Y3"/>
    <mergeCell ref="Z3:AA3"/>
    <mergeCell ref="AB3:AC3"/>
    <mergeCell ref="AD3:AE3"/>
    <mergeCell ref="A6:AE6"/>
    <mergeCell ref="A8:AE8"/>
    <mergeCell ref="AF16:AF20"/>
    <mergeCell ref="A21:AE21"/>
    <mergeCell ref="AF22:AF26"/>
    <mergeCell ref="A69:AE69"/>
    <mergeCell ref="AF28:AF32"/>
    <mergeCell ref="A33:AE33"/>
    <mergeCell ref="AF34:AF38"/>
    <mergeCell ref="A39:AE39"/>
    <mergeCell ref="A45:AE45"/>
    <mergeCell ref="A51:AE51"/>
    <mergeCell ref="A57:AE57"/>
    <mergeCell ref="A63:AE63"/>
    <mergeCell ref="A27:AE27"/>
    <mergeCell ref="A116:AE116"/>
    <mergeCell ref="AF70:AF74"/>
    <mergeCell ref="A75:AE75"/>
    <mergeCell ref="AF76:AF80"/>
    <mergeCell ref="A81:AE81"/>
    <mergeCell ref="AF82:AF86"/>
    <mergeCell ref="A87:AE87"/>
    <mergeCell ref="AF88:AF92"/>
    <mergeCell ref="A93:AE93"/>
    <mergeCell ref="A99:AE99"/>
    <mergeCell ref="A105:AE105"/>
    <mergeCell ref="AF111:AF115"/>
    <mergeCell ref="A118:AE118"/>
    <mergeCell ref="AF119:AF123"/>
    <mergeCell ref="A124:AE124"/>
    <mergeCell ref="AF125:AF129"/>
    <mergeCell ref="A130:AE130"/>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11811023622047245" right="0.11811023622047245" top="0.15748031496062992" bottom="0.15748031496062992" header="0.31496062992125984" footer="0.31496062992125984"/>
  <pageSetup paperSize="9" scale="45" orientation="landscape" r:id="rId26"/>
  <legacyDrawing r:id="rId2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zoomScale="80" zoomScaleNormal="80" workbookViewId="0">
      <pane xSplit="1" ySplit="4" topLeftCell="B38" activePane="bottomRight" state="frozen"/>
      <selection activeCell="A54" activeCellId="2" sqref="A17 A48 A54"/>
      <selection pane="topRight" activeCell="A54" activeCellId="2" sqref="A17 A48 A54"/>
      <selection pane="bottomLeft" activeCell="A54" activeCellId="2" sqref="A17 A48 A54"/>
      <selection pane="bottomRight" activeCell="A54" activeCellId="2" sqref="A17 A48 A54"/>
    </sheetView>
  </sheetViews>
  <sheetFormatPr defaultColWidth="9.140625" defaultRowHeight="15.75" x14ac:dyDescent="0.25"/>
  <cols>
    <col min="1" max="1" width="47.28515625" style="310" customWidth="1"/>
    <col min="2" max="2" width="18.140625" style="310" bestFit="1" customWidth="1"/>
    <col min="3" max="3" width="13.42578125" style="310" bestFit="1" customWidth="1"/>
    <col min="4" max="5" width="11" style="310" bestFit="1" customWidth="1"/>
    <col min="6" max="7" width="9.7109375" style="310" bestFit="1" customWidth="1"/>
    <col min="8" max="8" width="13.42578125" style="310" bestFit="1" customWidth="1"/>
    <col min="9" max="15" width="9.7109375" style="310" bestFit="1" customWidth="1"/>
    <col min="16" max="16" width="13.42578125" style="310" bestFit="1" customWidth="1"/>
    <col min="17" max="21" width="9.7109375" style="310" bestFit="1" customWidth="1"/>
    <col min="22" max="22" width="18.140625" style="310" bestFit="1" customWidth="1"/>
    <col min="23" max="25" width="9.7109375" style="310" bestFit="1" customWidth="1"/>
    <col min="26" max="26" width="18.140625" style="310" bestFit="1" customWidth="1"/>
    <col min="27" max="29" width="9.7109375" style="310" bestFit="1" customWidth="1"/>
    <col min="30" max="30" width="16.28515625" style="310" bestFit="1" customWidth="1"/>
    <col min="31" max="31" width="9.7109375" style="310" bestFit="1" customWidth="1"/>
    <col min="32" max="16384" width="9.140625" style="310"/>
  </cols>
  <sheetData>
    <row r="1" spans="1:32" ht="18.75" x14ac:dyDescent="0.25">
      <c r="A1" s="1072" t="s">
        <v>434</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352"/>
      <c r="AA1" s="352"/>
      <c r="AB1" s="352"/>
      <c r="AC1" s="352"/>
      <c r="AD1" s="352"/>
      <c r="AE1" s="352"/>
      <c r="AF1" s="352"/>
    </row>
    <row r="2" spans="1:32" x14ac:dyDescent="0.25">
      <c r="A2" s="1073" t="s">
        <v>435</v>
      </c>
      <c r="B2" s="1073" t="s">
        <v>436</v>
      </c>
      <c r="C2" s="1060" t="s">
        <v>604</v>
      </c>
      <c r="D2" s="1060" t="s">
        <v>517</v>
      </c>
      <c r="E2" s="1060" t="s">
        <v>605</v>
      </c>
      <c r="F2" s="1076" t="s">
        <v>386</v>
      </c>
      <c r="G2" s="1069"/>
      <c r="H2" s="1068" t="s">
        <v>7</v>
      </c>
      <c r="I2" s="1069"/>
      <c r="J2" s="1068" t="s">
        <v>8</v>
      </c>
      <c r="K2" s="1069"/>
      <c r="L2" s="1068" t="s">
        <v>9</v>
      </c>
      <c r="M2" s="1069"/>
      <c r="N2" s="1068" t="s">
        <v>10</v>
      </c>
      <c r="O2" s="1069"/>
      <c r="P2" s="1068" t="s">
        <v>11</v>
      </c>
      <c r="Q2" s="1069"/>
      <c r="R2" s="1068" t="s">
        <v>12</v>
      </c>
      <c r="S2" s="1069"/>
      <c r="T2" s="1068" t="s">
        <v>13</v>
      </c>
      <c r="U2" s="1069"/>
      <c r="V2" s="1068" t="s">
        <v>14</v>
      </c>
      <c r="W2" s="1069"/>
      <c r="X2" s="1068" t="s">
        <v>15</v>
      </c>
      <c r="Y2" s="1069"/>
      <c r="Z2" s="1068" t="s">
        <v>16</v>
      </c>
      <c r="AA2" s="1069"/>
      <c r="AB2" s="1068" t="s">
        <v>17</v>
      </c>
      <c r="AC2" s="1069"/>
      <c r="AD2" s="1068" t="s">
        <v>18</v>
      </c>
      <c r="AE2" s="1069"/>
      <c r="AF2" s="1060" t="s">
        <v>19</v>
      </c>
    </row>
    <row r="3" spans="1:32" x14ac:dyDescent="0.25">
      <c r="A3" s="1074"/>
      <c r="B3" s="1074"/>
      <c r="C3" s="1061"/>
      <c r="D3" s="1061"/>
      <c r="E3" s="1061"/>
      <c r="F3" s="1070" t="s">
        <v>20</v>
      </c>
      <c r="G3" s="1066" t="s">
        <v>21</v>
      </c>
      <c r="H3" s="353"/>
      <c r="I3" s="353"/>
      <c r="J3" s="353"/>
      <c r="K3" s="353"/>
      <c r="L3" s="353"/>
      <c r="M3" s="353"/>
      <c r="N3" s="1066" t="s">
        <v>165</v>
      </c>
      <c r="O3" s="1066" t="s">
        <v>23</v>
      </c>
      <c r="P3" s="1066" t="s">
        <v>165</v>
      </c>
      <c r="Q3" s="1066" t="s">
        <v>23</v>
      </c>
      <c r="R3" s="1066" t="s">
        <v>165</v>
      </c>
      <c r="S3" s="1066" t="s">
        <v>23</v>
      </c>
      <c r="T3" s="1066" t="s">
        <v>165</v>
      </c>
      <c r="U3" s="1066" t="s">
        <v>23</v>
      </c>
      <c r="V3" s="1066" t="s">
        <v>165</v>
      </c>
      <c r="W3" s="1066" t="s">
        <v>23</v>
      </c>
      <c r="X3" s="1066" t="s">
        <v>165</v>
      </c>
      <c r="Y3" s="1066" t="s">
        <v>23</v>
      </c>
      <c r="Z3" s="1066" t="s">
        <v>23</v>
      </c>
      <c r="AA3" s="1066" t="s">
        <v>23</v>
      </c>
      <c r="AB3" s="1066" t="s">
        <v>165</v>
      </c>
      <c r="AC3" s="1066" t="s">
        <v>23</v>
      </c>
      <c r="AD3" s="1066" t="s">
        <v>165</v>
      </c>
      <c r="AE3" s="1066" t="s">
        <v>23</v>
      </c>
      <c r="AF3" s="1061"/>
    </row>
    <row r="4" spans="1:32" ht="31.5" x14ac:dyDescent="0.25">
      <c r="A4" s="1075"/>
      <c r="B4" s="1075"/>
      <c r="C4" s="1062"/>
      <c r="D4" s="1062"/>
      <c r="E4" s="1062"/>
      <c r="F4" s="1071"/>
      <c r="G4" s="1067"/>
      <c r="H4" s="354" t="s">
        <v>165</v>
      </c>
      <c r="I4" s="354" t="s">
        <v>23</v>
      </c>
      <c r="J4" s="354" t="s">
        <v>165</v>
      </c>
      <c r="K4" s="355" t="s">
        <v>23</v>
      </c>
      <c r="L4" s="354" t="s">
        <v>165</v>
      </c>
      <c r="M4" s="354" t="s">
        <v>23</v>
      </c>
      <c r="N4" s="1067"/>
      <c r="O4" s="1067"/>
      <c r="P4" s="1067"/>
      <c r="Q4" s="1067"/>
      <c r="R4" s="1067"/>
      <c r="S4" s="1067"/>
      <c r="T4" s="1067"/>
      <c r="U4" s="1067"/>
      <c r="V4" s="1067"/>
      <c r="W4" s="1067"/>
      <c r="X4" s="1067"/>
      <c r="Y4" s="1067"/>
      <c r="Z4" s="1067"/>
      <c r="AA4" s="1067"/>
      <c r="AB4" s="1067"/>
      <c r="AC4" s="1067"/>
      <c r="AD4" s="1067"/>
      <c r="AE4" s="1067"/>
      <c r="AF4" s="1062"/>
    </row>
    <row r="5" spans="1:32" x14ac:dyDescent="0.25">
      <c r="A5" s="356" t="s">
        <v>437</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8"/>
      <c r="AF5" s="359"/>
    </row>
    <row r="6" spans="1:32" x14ac:dyDescent="0.25">
      <c r="A6" s="1045" t="s">
        <v>509</v>
      </c>
      <c r="B6" s="1046"/>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7"/>
      <c r="AF6" s="1060"/>
    </row>
    <row r="7" spans="1:32" x14ac:dyDescent="0.25">
      <c r="A7" s="360" t="s">
        <v>31</v>
      </c>
      <c r="B7" s="361">
        <f>B8+B9+B10+B12</f>
        <v>44692.600000000006</v>
      </c>
      <c r="C7" s="361">
        <f>C8+C9+C10+C12</f>
        <v>0</v>
      </c>
      <c r="D7" s="361">
        <f t="shared" ref="D7:AE7" si="0">D8+D9+D10+D12</f>
        <v>0</v>
      </c>
      <c r="E7" s="361">
        <f t="shared" si="0"/>
        <v>0</v>
      </c>
      <c r="F7" s="361">
        <f t="shared" ref="F7:F12" si="1">IFERROR(E7/B7%,0)</f>
        <v>0</v>
      </c>
      <c r="G7" s="361">
        <f>IFERROR(E7/C7%,)</f>
        <v>0</v>
      </c>
      <c r="H7" s="361">
        <f t="shared" si="0"/>
        <v>0</v>
      </c>
      <c r="I7" s="361">
        <f t="shared" si="0"/>
        <v>0</v>
      </c>
      <c r="J7" s="361">
        <f t="shared" si="0"/>
        <v>0</v>
      </c>
      <c r="K7" s="361">
        <f t="shared" si="0"/>
        <v>0</v>
      </c>
      <c r="L7" s="361">
        <f t="shared" si="0"/>
        <v>130</v>
      </c>
      <c r="M7" s="361">
        <f t="shared" si="0"/>
        <v>0</v>
      </c>
      <c r="N7" s="361">
        <f t="shared" si="0"/>
        <v>0</v>
      </c>
      <c r="O7" s="361">
        <f t="shared" si="0"/>
        <v>0</v>
      </c>
      <c r="P7" s="361">
        <f t="shared" si="0"/>
        <v>0</v>
      </c>
      <c r="Q7" s="361">
        <f t="shared" si="0"/>
        <v>0</v>
      </c>
      <c r="R7" s="361">
        <f t="shared" si="0"/>
        <v>0</v>
      </c>
      <c r="S7" s="361">
        <f t="shared" si="0"/>
        <v>0</v>
      </c>
      <c r="T7" s="361">
        <f t="shared" si="0"/>
        <v>0</v>
      </c>
      <c r="U7" s="361">
        <f t="shared" si="0"/>
        <v>0</v>
      </c>
      <c r="V7" s="361">
        <f t="shared" si="0"/>
        <v>44562.600000000006</v>
      </c>
      <c r="W7" s="361">
        <f t="shared" si="0"/>
        <v>0</v>
      </c>
      <c r="X7" s="361">
        <f t="shared" si="0"/>
        <v>0</v>
      </c>
      <c r="Y7" s="361">
        <f t="shared" si="0"/>
        <v>0</v>
      </c>
      <c r="Z7" s="361">
        <f t="shared" si="0"/>
        <v>0</v>
      </c>
      <c r="AA7" s="361">
        <f t="shared" si="0"/>
        <v>0</v>
      </c>
      <c r="AB7" s="361">
        <f t="shared" si="0"/>
        <v>0</v>
      </c>
      <c r="AC7" s="361">
        <f t="shared" si="0"/>
        <v>0</v>
      </c>
      <c r="AD7" s="361">
        <f t="shared" si="0"/>
        <v>0</v>
      </c>
      <c r="AE7" s="361">
        <f t="shared" si="0"/>
        <v>0</v>
      </c>
      <c r="AF7" s="1061"/>
    </row>
    <row r="8" spans="1:32" x14ac:dyDescent="0.25">
      <c r="A8" s="362" t="s">
        <v>169</v>
      </c>
      <c r="B8" s="363">
        <f>H8+J8+L8+N8+P8+R8+T8+V8+X8+Z8+AB8+AD8</f>
        <v>4870.8</v>
      </c>
      <c r="C8" s="364">
        <f t="shared" ref="C8:C11" si="2">C15</f>
        <v>0</v>
      </c>
      <c r="D8" s="363">
        <f>E8</f>
        <v>0</v>
      </c>
      <c r="E8" s="363">
        <f>I8+K8+M8+O8+Q8+S8+U8+W8+Y8+AA8+AC8+AE8</f>
        <v>0</v>
      </c>
      <c r="F8" s="339">
        <f t="shared" si="1"/>
        <v>0</v>
      </c>
      <c r="G8" s="339">
        <f>IFERROR(E8/C8%,0)</f>
        <v>0</v>
      </c>
      <c r="H8" s="364">
        <f t="shared" ref="H8:AE12" si="3">H15</f>
        <v>0</v>
      </c>
      <c r="I8" s="364">
        <f t="shared" si="3"/>
        <v>0</v>
      </c>
      <c r="J8" s="364">
        <f t="shared" si="3"/>
        <v>0</v>
      </c>
      <c r="K8" s="364">
        <f t="shared" si="3"/>
        <v>0</v>
      </c>
      <c r="L8" s="364">
        <f t="shared" si="3"/>
        <v>0</v>
      </c>
      <c r="M8" s="364">
        <f t="shared" si="3"/>
        <v>0</v>
      </c>
      <c r="N8" s="364">
        <f t="shared" si="3"/>
        <v>0</v>
      </c>
      <c r="O8" s="364">
        <f t="shared" si="3"/>
        <v>0</v>
      </c>
      <c r="P8" s="364">
        <f t="shared" si="3"/>
        <v>0</v>
      </c>
      <c r="Q8" s="364">
        <f t="shared" si="3"/>
        <v>0</v>
      </c>
      <c r="R8" s="364">
        <f t="shared" si="3"/>
        <v>0</v>
      </c>
      <c r="S8" s="364">
        <f t="shared" si="3"/>
        <v>0</v>
      </c>
      <c r="T8" s="364">
        <f t="shared" si="3"/>
        <v>0</v>
      </c>
      <c r="U8" s="364">
        <f t="shared" si="3"/>
        <v>0</v>
      </c>
      <c r="V8" s="364">
        <f t="shared" si="3"/>
        <v>4870.8</v>
      </c>
      <c r="W8" s="364">
        <f t="shared" si="3"/>
        <v>0</v>
      </c>
      <c r="X8" s="364">
        <f t="shared" si="3"/>
        <v>0</v>
      </c>
      <c r="Y8" s="364">
        <f t="shared" si="3"/>
        <v>0</v>
      </c>
      <c r="Z8" s="364">
        <f t="shared" si="3"/>
        <v>0</v>
      </c>
      <c r="AA8" s="364">
        <f t="shared" si="3"/>
        <v>0</v>
      </c>
      <c r="AB8" s="364">
        <f t="shared" si="3"/>
        <v>0</v>
      </c>
      <c r="AC8" s="364">
        <f t="shared" si="3"/>
        <v>0</v>
      </c>
      <c r="AD8" s="364">
        <f t="shared" si="3"/>
        <v>0</v>
      </c>
      <c r="AE8" s="364">
        <f t="shared" si="3"/>
        <v>0</v>
      </c>
      <c r="AF8" s="1061"/>
    </row>
    <row r="9" spans="1:32" x14ac:dyDescent="0.25">
      <c r="A9" s="362" t="s">
        <v>32</v>
      </c>
      <c r="B9" s="363">
        <f>H9+J9+L9+N9+P9+R9+T9+V9+X9+Z9+AB9+AD9</f>
        <v>7641.9</v>
      </c>
      <c r="C9" s="364">
        <f t="shared" si="2"/>
        <v>0</v>
      </c>
      <c r="D9" s="363">
        <f>E9</f>
        <v>0</v>
      </c>
      <c r="E9" s="363">
        <f>I9+K9+M9+O9+Q9+S9+U9+W9+Y9+AA9+AC9+AE9</f>
        <v>0</v>
      </c>
      <c r="F9" s="339">
        <f t="shared" si="1"/>
        <v>0</v>
      </c>
      <c r="G9" s="339">
        <f>IFERROR(E9/C9%,0)</f>
        <v>0</v>
      </c>
      <c r="H9" s="364">
        <f t="shared" si="3"/>
        <v>0</v>
      </c>
      <c r="I9" s="364">
        <f t="shared" si="3"/>
        <v>0</v>
      </c>
      <c r="J9" s="364">
        <f t="shared" si="3"/>
        <v>0</v>
      </c>
      <c r="K9" s="364">
        <f t="shared" si="3"/>
        <v>0</v>
      </c>
      <c r="L9" s="364">
        <f t="shared" si="3"/>
        <v>0</v>
      </c>
      <c r="M9" s="364">
        <f t="shared" si="3"/>
        <v>0</v>
      </c>
      <c r="N9" s="364">
        <f t="shared" si="3"/>
        <v>0</v>
      </c>
      <c r="O9" s="364">
        <f t="shared" si="3"/>
        <v>0</v>
      </c>
      <c r="P9" s="364">
        <f t="shared" si="3"/>
        <v>0</v>
      </c>
      <c r="Q9" s="364">
        <f t="shared" si="3"/>
        <v>0</v>
      </c>
      <c r="R9" s="364">
        <f t="shared" si="3"/>
        <v>0</v>
      </c>
      <c r="S9" s="364">
        <f t="shared" si="3"/>
        <v>0</v>
      </c>
      <c r="T9" s="364">
        <f t="shared" si="3"/>
        <v>0</v>
      </c>
      <c r="U9" s="364">
        <f t="shared" si="3"/>
        <v>0</v>
      </c>
      <c r="V9" s="364">
        <f t="shared" si="3"/>
        <v>7641.9</v>
      </c>
      <c r="W9" s="364">
        <f t="shared" si="3"/>
        <v>0</v>
      </c>
      <c r="X9" s="364">
        <f t="shared" si="3"/>
        <v>0</v>
      </c>
      <c r="Y9" s="364">
        <f t="shared" si="3"/>
        <v>0</v>
      </c>
      <c r="Z9" s="364">
        <f t="shared" si="3"/>
        <v>0</v>
      </c>
      <c r="AA9" s="364">
        <f t="shared" si="3"/>
        <v>0</v>
      </c>
      <c r="AB9" s="364">
        <f t="shared" si="3"/>
        <v>0</v>
      </c>
      <c r="AC9" s="364">
        <f t="shared" si="3"/>
        <v>0</v>
      </c>
      <c r="AD9" s="364">
        <f t="shared" si="3"/>
        <v>0</v>
      </c>
      <c r="AE9" s="364">
        <f t="shared" si="3"/>
        <v>0</v>
      </c>
      <c r="AF9" s="1061"/>
    </row>
    <row r="10" spans="1:32" x14ac:dyDescent="0.25">
      <c r="A10" s="362" t="s">
        <v>33</v>
      </c>
      <c r="B10" s="363">
        <f>H10+J10+L10+N10+P10+R10+T10+V10+X10+Z10+AB10+AD10</f>
        <v>32179.9</v>
      </c>
      <c r="C10" s="364">
        <f t="shared" si="2"/>
        <v>0</v>
      </c>
      <c r="D10" s="363">
        <f>E10</f>
        <v>0</v>
      </c>
      <c r="E10" s="363">
        <f>I10+K10+M10+O10+Q10+S10+U10+W10+Y10+AA10+AC10+AE10</f>
        <v>0</v>
      </c>
      <c r="F10" s="339">
        <f t="shared" si="1"/>
        <v>0</v>
      </c>
      <c r="G10" s="339">
        <f>IFERROR(E10/C10%,0)</f>
        <v>0</v>
      </c>
      <c r="H10" s="364">
        <f t="shared" si="3"/>
        <v>0</v>
      </c>
      <c r="I10" s="364">
        <f t="shared" si="3"/>
        <v>0</v>
      </c>
      <c r="J10" s="364">
        <f t="shared" si="3"/>
        <v>0</v>
      </c>
      <c r="K10" s="364">
        <f t="shared" si="3"/>
        <v>0</v>
      </c>
      <c r="L10" s="364">
        <f t="shared" si="3"/>
        <v>130</v>
      </c>
      <c r="M10" s="364">
        <f t="shared" si="3"/>
        <v>0</v>
      </c>
      <c r="N10" s="364">
        <f t="shared" si="3"/>
        <v>0</v>
      </c>
      <c r="O10" s="364">
        <f t="shared" si="3"/>
        <v>0</v>
      </c>
      <c r="P10" s="364">
        <f t="shared" si="3"/>
        <v>0</v>
      </c>
      <c r="Q10" s="364">
        <f t="shared" si="3"/>
        <v>0</v>
      </c>
      <c r="R10" s="364">
        <f t="shared" si="3"/>
        <v>0</v>
      </c>
      <c r="S10" s="364">
        <f t="shared" si="3"/>
        <v>0</v>
      </c>
      <c r="T10" s="364">
        <f t="shared" si="3"/>
        <v>0</v>
      </c>
      <c r="U10" s="364">
        <f t="shared" si="3"/>
        <v>0</v>
      </c>
      <c r="V10" s="364">
        <f t="shared" si="3"/>
        <v>32049.9</v>
      </c>
      <c r="W10" s="364">
        <f t="shared" si="3"/>
        <v>0</v>
      </c>
      <c r="X10" s="364">
        <f t="shared" si="3"/>
        <v>0</v>
      </c>
      <c r="Y10" s="364">
        <f t="shared" si="3"/>
        <v>0</v>
      </c>
      <c r="Z10" s="364">
        <f t="shared" si="3"/>
        <v>0</v>
      </c>
      <c r="AA10" s="364">
        <f t="shared" si="3"/>
        <v>0</v>
      </c>
      <c r="AB10" s="364">
        <f t="shared" si="3"/>
        <v>0</v>
      </c>
      <c r="AC10" s="364">
        <f t="shared" si="3"/>
        <v>0</v>
      </c>
      <c r="AD10" s="364">
        <f t="shared" si="3"/>
        <v>0</v>
      </c>
      <c r="AE10" s="364">
        <f t="shared" si="3"/>
        <v>0</v>
      </c>
      <c r="AF10" s="1061"/>
    </row>
    <row r="11" spans="1:32" ht="31.5" x14ac:dyDescent="0.25">
      <c r="A11" s="365" t="s">
        <v>174</v>
      </c>
      <c r="B11" s="363">
        <f>H11+J11+L11+N11+P11+R11+T11+V11+X11+Z11+AB11+AD11</f>
        <v>3128.2</v>
      </c>
      <c r="C11" s="364">
        <f t="shared" si="2"/>
        <v>0</v>
      </c>
      <c r="D11" s="363">
        <f>E11</f>
        <v>0</v>
      </c>
      <c r="E11" s="363">
        <f>I11+K11+M11+O11+Q11+S11+U11+W11+Y11+AA11+AC11+AE11</f>
        <v>0</v>
      </c>
      <c r="F11" s="339">
        <f t="shared" si="1"/>
        <v>0</v>
      </c>
      <c r="G11" s="339">
        <f>IFERROR(E11/C11%,0)</f>
        <v>0</v>
      </c>
      <c r="H11" s="364">
        <f t="shared" si="3"/>
        <v>0</v>
      </c>
      <c r="I11" s="364">
        <f t="shared" si="3"/>
        <v>0</v>
      </c>
      <c r="J11" s="364">
        <f t="shared" si="3"/>
        <v>0</v>
      </c>
      <c r="K11" s="364">
        <f t="shared" si="3"/>
        <v>0</v>
      </c>
      <c r="L11" s="364">
        <f t="shared" si="3"/>
        <v>0</v>
      </c>
      <c r="M11" s="364">
        <f t="shared" si="3"/>
        <v>0</v>
      </c>
      <c r="N11" s="364">
        <f t="shared" si="3"/>
        <v>0</v>
      </c>
      <c r="O11" s="364">
        <f t="shared" si="3"/>
        <v>0</v>
      </c>
      <c r="P11" s="364">
        <f t="shared" si="3"/>
        <v>0</v>
      </c>
      <c r="Q11" s="364">
        <f t="shared" si="3"/>
        <v>0</v>
      </c>
      <c r="R11" s="364">
        <f t="shared" si="3"/>
        <v>0</v>
      </c>
      <c r="S11" s="364">
        <f t="shared" si="3"/>
        <v>0</v>
      </c>
      <c r="T11" s="364">
        <f t="shared" si="3"/>
        <v>0</v>
      </c>
      <c r="U11" s="364">
        <f t="shared" si="3"/>
        <v>0</v>
      </c>
      <c r="V11" s="364">
        <f t="shared" si="3"/>
        <v>3128.2</v>
      </c>
      <c r="W11" s="364">
        <f t="shared" si="3"/>
        <v>0</v>
      </c>
      <c r="X11" s="364">
        <f t="shared" si="3"/>
        <v>0</v>
      </c>
      <c r="Y11" s="364">
        <f t="shared" si="3"/>
        <v>0</v>
      </c>
      <c r="Z11" s="364">
        <f t="shared" si="3"/>
        <v>0</v>
      </c>
      <c r="AA11" s="364">
        <f t="shared" si="3"/>
        <v>0</v>
      </c>
      <c r="AB11" s="364">
        <f t="shared" si="3"/>
        <v>0</v>
      </c>
      <c r="AC11" s="364">
        <f t="shared" si="3"/>
        <v>0</v>
      </c>
      <c r="AD11" s="364">
        <f t="shared" si="3"/>
        <v>0</v>
      </c>
      <c r="AE11" s="364">
        <f t="shared" si="3"/>
        <v>0</v>
      </c>
      <c r="AF11" s="1061"/>
    </row>
    <row r="12" spans="1:32" x14ac:dyDescent="0.25">
      <c r="A12" s="362" t="s">
        <v>389</v>
      </c>
      <c r="B12" s="363">
        <f>H12+J12+L12+N12+P12+R12+T12+V12+X12+Z12+AB12+AD12</f>
        <v>0</v>
      </c>
      <c r="C12" s="364">
        <f>C19</f>
        <v>0</v>
      </c>
      <c r="D12" s="363">
        <f>E12</f>
        <v>0</v>
      </c>
      <c r="E12" s="363">
        <f>I12+K12+M12+O12+Q12+S12+U12+W12+Y12+AA12+AC12+AE12</f>
        <v>0</v>
      </c>
      <c r="F12" s="339">
        <f t="shared" si="1"/>
        <v>0</v>
      </c>
      <c r="G12" s="339">
        <f>IFERROR(E12/C12%,0)</f>
        <v>0</v>
      </c>
      <c r="H12" s="364">
        <f>H19</f>
        <v>0</v>
      </c>
      <c r="I12" s="364">
        <f t="shared" si="3"/>
        <v>0</v>
      </c>
      <c r="J12" s="364">
        <f t="shared" si="3"/>
        <v>0</v>
      </c>
      <c r="K12" s="364">
        <f t="shared" si="3"/>
        <v>0</v>
      </c>
      <c r="L12" s="364">
        <f t="shared" si="3"/>
        <v>0</v>
      </c>
      <c r="M12" s="364">
        <f t="shared" si="3"/>
        <v>0</v>
      </c>
      <c r="N12" s="364">
        <f t="shared" si="3"/>
        <v>0</v>
      </c>
      <c r="O12" s="364">
        <f t="shared" si="3"/>
        <v>0</v>
      </c>
      <c r="P12" s="364">
        <f t="shared" si="3"/>
        <v>0</v>
      </c>
      <c r="Q12" s="364">
        <f t="shared" si="3"/>
        <v>0</v>
      </c>
      <c r="R12" s="364">
        <f t="shared" si="3"/>
        <v>0</v>
      </c>
      <c r="S12" s="364">
        <f t="shared" si="3"/>
        <v>0</v>
      </c>
      <c r="T12" s="364">
        <f t="shared" si="3"/>
        <v>0</v>
      </c>
      <c r="U12" s="364">
        <f t="shared" si="3"/>
        <v>0</v>
      </c>
      <c r="V12" s="364">
        <f t="shared" si="3"/>
        <v>0</v>
      </c>
      <c r="W12" s="364">
        <f t="shared" si="3"/>
        <v>0</v>
      </c>
      <c r="X12" s="364">
        <f t="shared" si="3"/>
        <v>0</v>
      </c>
      <c r="Y12" s="364">
        <f t="shared" si="3"/>
        <v>0</v>
      </c>
      <c r="Z12" s="364">
        <f t="shared" si="3"/>
        <v>0</v>
      </c>
      <c r="AA12" s="364">
        <f t="shared" si="3"/>
        <v>0</v>
      </c>
      <c r="AB12" s="364">
        <f t="shared" si="3"/>
        <v>0</v>
      </c>
      <c r="AC12" s="364">
        <f t="shared" si="3"/>
        <v>0</v>
      </c>
      <c r="AD12" s="364">
        <f t="shared" si="3"/>
        <v>0</v>
      </c>
      <c r="AE12" s="364">
        <f t="shared" si="3"/>
        <v>0</v>
      </c>
      <c r="AF12" s="1062"/>
    </row>
    <row r="13" spans="1:32" x14ac:dyDescent="0.25">
      <c r="A13" s="1045" t="s">
        <v>438</v>
      </c>
      <c r="B13" s="1046"/>
      <c r="C13" s="1046"/>
      <c r="D13" s="1046"/>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7"/>
      <c r="AF13" s="1063"/>
    </row>
    <row r="14" spans="1:32" x14ac:dyDescent="0.25">
      <c r="A14" s="360" t="s">
        <v>31</v>
      </c>
      <c r="B14" s="361">
        <f t="shared" ref="B14:AE14" si="4">B15+B16+B17+B19</f>
        <v>44692.600000000006</v>
      </c>
      <c r="C14" s="361">
        <f t="shared" si="4"/>
        <v>0</v>
      </c>
      <c r="D14" s="361">
        <f t="shared" si="4"/>
        <v>0</v>
      </c>
      <c r="E14" s="366">
        <f t="shared" si="4"/>
        <v>0</v>
      </c>
      <c r="F14" s="361">
        <f t="shared" ref="F14:F19" si="5">IFERROR(E14/B14%,0)</f>
        <v>0</v>
      </c>
      <c r="G14" s="361">
        <f t="shared" ref="G14:G19" si="6">IFERROR(E14/C14%,0)</f>
        <v>0</v>
      </c>
      <c r="H14" s="361">
        <f t="shared" si="4"/>
        <v>0</v>
      </c>
      <c r="I14" s="361">
        <f t="shared" si="4"/>
        <v>0</v>
      </c>
      <c r="J14" s="361">
        <f t="shared" si="4"/>
        <v>0</v>
      </c>
      <c r="K14" s="361">
        <f t="shared" si="4"/>
        <v>0</v>
      </c>
      <c r="L14" s="361">
        <f t="shared" si="4"/>
        <v>130</v>
      </c>
      <c r="M14" s="361">
        <f t="shared" si="4"/>
        <v>0</v>
      </c>
      <c r="N14" s="361">
        <f t="shared" si="4"/>
        <v>0</v>
      </c>
      <c r="O14" s="361">
        <f t="shared" si="4"/>
        <v>0</v>
      </c>
      <c r="P14" s="361">
        <f t="shared" si="4"/>
        <v>0</v>
      </c>
      <c r="Q14" s="361">
        <f t="shared" si="4"/>
        <v>0</v>
      </c>
      <c r="R14" s="361">
        <f t="shared" si="4"/>
        <v>0</v>
      </c>
      <c r="S14" s="361">
        <f t="shared" si="4"/>
        <v>0</v>
      </c>
      <c r="T14" s="361">
        <f t="shared" si="4"/>
        <v>0</v>
      </c>
      <c r="U14" s="361">
        <f t="shared" si="4"/>
        <v>0</v>
      </c>
      <c r="V14" s="361">
        <f t="shared" si="4"/>
        <v>44562.600000000006</v>
      </c>
      <c r="W14" s="361">
        <f t="shared" si="4"/>
        <v>0</v>
      </c>
      <c r="X14" s="361">
        <f t="shared" si="4"/>
        <v>0</v>
      </c>
      <c r="Y14" s="361">
        <f t="shared" si="4"/>
        <v>0</v>
      </c>
      <c r="Z14" s="361">
        <f t="shared" si="4"/>
        <v>0</v>
      </c>
      <c r="AA14" s="361">
        <f t="shared" si="4"/>
        <v>0</v>
      </c>
      <c r="AB14" s="361">
        <f t="shared" si="4"/>
        <v>0</v>
      </c>
      <c r="AC14" s="361">
        <f t="shared" si="4"/>
        <v>0</v>
      </c>
      <c r="AD14" s="361">
        <f t="shared" si="4"/>
        <v>0</v>
      </c>
      <c r="AE14" s="361">
        <f t="shared" si="4"/>
        <v>0</v>
      </c>
      <c r="AF14" s="1064"/>
    </row>
    <row r="15" spans="1:32" x14ac:dyDescent="0.25">
      <c r="A15" s="362" t="s">
        <v>169</v>
      </c>
      <c r="B15" s="363">
        <f>B22</f>
        <v>4870.8</v>
      </c>
      <c r="C15" s="363">
        <f>C22</f>
        <v>0</v>
      </c>
      <c r="D15" s="363">
        <f>E15</f>
        <v>0</v>
      </c>
      <c r="E15" s="363">
        <f>I15+K15+M15+O15+Q15+S15+U15+W15+Y15+AA15+AC15+AE15</f>
        <v>0</v>
      </c>
      <c r="F15" s="339">
        <f t="shared" si="5"/>
        <v>0</v>
      </c>
      <c r="G15" s="339">
        <f t="shared" si="6"/>
        <v>0</v>
      </c>
      <c r="H15" s="363">
        <f>H22</f>
        <v>0</v>
      </c>
      <c r="I15" s="363">
        <f t="shared" ref="I15:AE19" si="7">I22</f>
        <v>0</v>
      </c>
      <c r="J15" s="363">
        <f t="shared" si="7"/>
        <v>0</v>
      </c>
      <c r="K15" s="363">
        <f t="shared" si="7"/>
        <v>0</v>
      </c>
      <c r="L15" s="363">
        <f t="shared" si="7"/>
        <v>0</v>
      </c>
      <c r="M15" s="363">
        <f t="shared" si="7"/>
        <v>0</v>
      </c>
      <c r="N15" s="363">
        <f t="shared" si="7"/>
        <v>0</v>
      </c>
      <c r="O15" s="363">
        <f t="shared" si="7"/>
        <v>0</v>
      </c>
      <c r="P15" s="363">
        <f t="shared" si="7"/>
        <v>0</v>
      </c>
      <c r="Q15" s="363">
        <f t="shared" si="7"/>
        <v>0</v>
      </c>
      <c r="R15" s="363">
        <f t="shared" si="7"/>
        <v>0</v>
      </c>
      <c r="S15" s="363">
        <f t="shared" si="7"/>
        <v>0</v>
      </c>
      <c r="T15" s="363">
        <f t="shared" si="7"/>
        <v>0</v>
      </c>
      <c r="U15" s="363">
        <f t="shared" si="7"/>
        <v>0</v>
      </c>
      <c r="V15" s="363">
        <f t="shared" si="7"/>
        <v>4870.8</v>
      </c>
      <c r="W15" s="363">
        <f t="shared" si="7"/>
        <v>0</v>
      </c>
      <c r="X15" s="363">
        <f t="shared" si="7"/>
        <v>0</v>
      </c>
      <c r="Y15" s="363">
        <f t="shared" si="7"/>
        <v>0</v>
      </c>
      <c r="Z15" s="363">
        <f t="shared" si="7"/>
        <v>0</v>
      </c>
      <c r="AA15" s="363">
        <f t="shared" si="7"/>
        <v>0</v>
      </c>
      <c r="AB15" s="363">
        <f t="shared" si="7"/>
        <v>0</v>
      </c>
      <c r="AC15" s="363">
        <f t="shared" si="7"/>
        <v>0</v>
      </c>
      <c r="AD15" s="363">
        <f t="shared" si="7"/>
        <v>0</v>
      </c>
      <c r="AE15" s="363">
        <f t="shared" si="7"/>
        <v>0</v>
      </c>
      <c r="AF15" s="1064"/>
    </row>
    <row r="16" spans="1:32" x14ac:dyDescent="0.25">
      <c r="A16" s="362" t="s">
        <v>32</v>
      </c>
      <c r="B16" s="363">
        <f t="shared" ref="B16:C19" si="8">B23</f>
        <v>7641.9</v>
      </c>
      <c r="C16" s="363">
        <f t="shared" si="8"/>
        <v>0</v>
      </c>
      <c r="D16" s="363">
        <f>E16</f>
        <v>0</v>
      </c>
      <c r="E16" s="363">
        <f>I16+K16+M16+O16+Q16+S16+U16+W16+Y16+AA16+AC16+AE16</f>
        <v>0</v>
      </c>
      <c r="F16" s="339">
        <f t="shared" si="5"/>
        <v>0</v>
      </c>
      <c r="G16" s="339">
        <f t="shared" si="6"/>
        <v>0</v>
      </c>
      <c r="H16" s="363">
        <f t="shared" ref="H16:W19" si="9">H23</f>
        <v>0</v>
      </c>
      <c r="I16" s="363">
        <f t="shared" si="9"/>
        <v>0</v>
      </c>
      <c r="J16" s="363">
        <f t="shared" si="9"/>
        <v>0</v>
      </c>
      <c r="K16" s="363">
        <f t="shared" si="9"/>
        <v>0</v>
      </c>
      <c r="L16" s="363">
        <f t="shared" si="9"/>
        <v>0</v>
      </c>
      <c r="M16" s="363">
        <f t="shared" si="9"/>
        <v>0</v>
      </c>
      <c r="N16" s="363">
        <f t="shared" si="9"/>
        <v>0</v>
      </c>
      <c r="O16" s="363">
        <f t="shared" si="9"/>
        <v>0</v>
      </c>
      <c r="P16" s="363">
        <f t="shared" si="9"/>
        <v>0</v>
      </c>
      <c r="Q16" s="363">
        <f t="shared" si="9"/>
        <v>0</v>
      </c>
      <c r="R16" s="363">
        <f t="shared" si="9"/>
        <v>0</v>
      </c>
      <c r="S16" s="363">
        <f t="shared" si="9"/>
        <v>0</v>
      </c>
      <c r="T16" s="363">
        <f t="shared" si="9"/>
        <v>0</v>
      </c>
      <c r="U16" s="363">
        <f t="shared" si="9"/>
        <v>0</v>
      </c>
      <c r="V16" s="363">
        <f t="shared" si="9"/>
        <v>7641.9</v>
      </c>
      <c r="W16" s="363">
        <f t="shared" si="9"/>
        <v>0</v>
      </c>
      <c r="X16" s="363">
        <f t="shared" si="7"/>
        <v>0</v>
      </c>
      <c r="Y16" s="363">
        <f t="shared" si="7"/>
        <v>0</v>
      </c>
      <c r="Z16" s="363">
        <f t="shared" si="7"/>
        <v>0</v>
      </c>
      <c r="AA16" s="363">
        <f t="shared" si="7"/>
        <v>0</v>
      </c>
      <c r="AB16" s="363">
        <f t="shared" si="7"/>
        <v>0</v>
      </c>
      <c r="AC16" s="363">
        <f t="shared" si="7"/>
        <v>0</v>
      </c>
      <c r="AD16" s="363">
        <f t="shared" si="7"/>
        <v>0</v>
      </c>
      <c r="AE16" s="363">
        <f t="shared" si="7"/>
        <v>0</v>
      </c>
      <c r="AF16" s="1064"/>
    </row>
    <row r="17" spans="1:32" x14ac:dyDescent="0.25">
      <c r="A17" s="362" t="s">
        <v>33</v>
      </c>
      <c r="B17" s="363">
        <f t="shared" si="8"/>
        <v>32179.9</v>
      </c>
      <c r="C17" s="363">
        <f t="shared" si="8"/>
        <v>0</v>
      </c>
      <c r="D17" s="363">
        <f>E17</f>
        <v>0</v>
      </c>
      <c r="E17" s="363">
        <f>I17+K17+M17+O17+Q17+S17+U17+W17+Y17+AA17+AC17+AE17</f>
        <v>0</v>
      </c>
      <c r="F17" s="339">
        <f t="shared" si="5"/>
        <v>0</v>
      </c>
      <c r="G17" s="339">
        <f t="shared" si="6"/>
        <v>0</v>
      </c>
      <c r="H17" s="363">
        <f t="shared" si="9"/>
        <v>0</v>
      </c>
      <c r="I17" s="363">
        <f t="shared" si="9"/>
        <v>0</v>
      </c>
      <c r="J17" s="363">
        <f t="shared" si="9"/>
        <v>0</v>
      </c>
      <c r="K17" s="363">
        <f t="shared" si="9"/>
        <v>0</v>
      </c>
      <c r="L17" s="363">
        <f t="shared" si="9"/>
        <v>130</v>
      </c>
      <c r="M17" s="363">
        <f t="shared" si="9"/>
        <v>0</v>
      </c>
      <c r="N17" s="363">
        <f t="shared" si="9"/>
        <v>0</v>
      </c>
      <c r="O17" s="363">
        <f t="shared" si="9"/>
        <v>0</v>
      </c>
      <c r="P17" s="363">
        <f t="shared" si="9"/>
        <v>0</v>
      </c>
      <c r="Q17" s="363">
        <f t="shared" si="9"/>
        <v>0</v>
      </c>
      <c r="R17" s="363">
        <f t="shared" si="9"/>
        <v>0</v>
      </c>
      <c r="S17" s="363">
        <f t="shared" si="9"/>
        <v>0</v>
      </c>
      <c r="T17" s="363">
        <f t="shared" si="9"/>
        <v>0</v>
      </c>
      <c r="U17" s="363">
        <f t="shared" si="9"/>
        <v>0</v>
      </c>
      <c r="V17" s="363">
        <f t="shared" si="9"/>
        <v>32049.9</v>
      </c>
      <c r="W17" s="363">
        <f t="shared" si="9"/>
        <v>0</v>
      </c>
      <c r="X17" s="363">
        <f t="shared" si="7"/>
        <v>0</v>
      </c>
      <c r="Y17" s="363">
        <f t="shared" si="7"/>
        <v>0</v>
      </c>
      <c r="Z17" s="363">
        <f t="shared" si="7"/>
        <v>0</v>
      </c>
      <c r="AA17" s="363">
        <f t="shared" si="7"/>
        <v>0</v>
      </c>
      <c r="AB17" s="363">
        <f t="shared" si="7"/>
        <v>0</v>
      </c>
      <c r="AC17" s="363">
        <f t="shared" si="7"/>
        <v>0</v>
      </c>
      <c r="AD17" s="363">
        <f t="shared" si="7"/>
        <v>0</v>
      </c>
      <c r="AE17" s="363">
        <f t="shared" si="7"/>
        <v>0</v>
      </c>
      <c r="AF17" s="1064"/>
    </row>
    <row r="18" spans="1:32" ht="31.5" x14ac:dyDescent="0.25">
      <c r="A18" s="365" t="s">
        <v>174</v>
      </c>
      <c r="B18" s="363">
        <f t="shared" si="8"/>
        <v>3128.2</v>
      </c>
      <c r="C18" s="363">
        <f t="shared" si="8"/>
        <v>0</v>
      </c>
      <c r="D18" s="367">
        <f>E18</f>
        <v>0</v>
      </c>
      <c r="E18" s="367">
        <f>I18+K18+M18+O18+Q18+S18+U18+W18+Y18+AA18+AC18+AE18</f>
        <v>0</v>
      </c>
      <c r="F18" s="339">
        <f t="shared" si="5"/>
        <v>0</v>
      </c>
      <c r="G18" s="339">
        <f t="shared" si="6"/>
        <v>0</v>
      </c>
      <c r="H18" s="363">
        <f t="shared" si="9"/>
        <v>0</v>
      </c>
      <c r="I18" s="363">
        <f t="shared" si="9"/>
        <v>0</v>
      </c>
      <c r="J18" s="363">
        <f t="shared" si="9"/>
        <v>0</v>
      </c>
      <c r="K18" s="363">
        <f t="shared" si="9"/>
        <v>0</v>
      </c>
      <c r="L18" s="363">
        <f t="shared" si="9"/>
        <v>0</v>
      </c>
      <c r="M18" s="363">
        <f t="shared" si="9"/>
        <v>0</v>
      </c>
      <c r="N18" s="363">
        <f t="shared" si="9"/>
        <v>0</v>
      </c>
      <c r="O18" s="363">
        <f t="shared" si="9"/>
        <v>0</v>
      </c>
      <c r="P18" s="363">
        <f t="shared" si="9"/>
        <v>0</v>
      </c>
      <c r="Q18" s="363">
        <f t="shared" si="9"/>
        <v>0</v>
      </c>
      <c r="R18" s="363">
        <f t="shared" si="9"/>
        <v>0</v>
      </c>
      <c r="S18" s="363">
        <f t="shared" si="9"/>
        <v>0</v>
      </c>
      <c r="T18" s="363">
        <f t="shared" si="9"/>
        <v>0</v>
      </c>
      <c r="U18" s="363">
        <f t="shared" si="9"/>
        <v>0</v>
      </c>
      <c r="V18" s="363">
        <f t="shared" si="9"/>
        <v>3128.2</v>
      </c>
      <c r="W18" s="363">
        <f t="shared" si="9"/>
        <v>0</v>
      </c>
      <c r="X18" s="363">
        <f t="shared" si="7"/>
        <v>0</v>
      </c>
      <c r="Y18" s="363">
        <f t="shared" si="7"/>
        <v>0</v>
      </c>
      <c r="Z18" s="363">
        <f t="shared" si="7"/>
        <v>0</v>
      </c>
      <c r="AA18" s="363">
        <f t="shared" si="7"/>
        <v>0</v>
      </c>
      <c r="AB18" s="363">
        <f t="shared" si="7"/>
        <v>0</v>
      </c>
      <c r="AC18" s="363">
        <f t="shared" si="7"/>
        <v>0</v>
      </c>
      <c r="AD18" s="363">
        <f t="shared" si="7"/>
        <v>0</v>
      </c>
      <c r="AE18" s="363">
        <f t="shared" si="7"/>
        <v>0</v>
      </c>
      <c r="AF18" s="1064"/>
    </row>
    <row r="19" spans="1:32" x14ac:dyDescent="0.25">
      <c r="A19" s="362" t="s">
        <v>389</v>
      </c>
      <c r="B19" s="363">
        <f t="shared" si="8"/>
        <v>0</v>
      </c>
      <c r="C19" s="363">
        <f t="shared" si="8"/>
        <v>0</v>
      </c>
      <c r="D19" s="363">
        <f>E19</f>
        <v>0</v>
      </c>
      <c r="E19" s="363">
        <f>I19+K19+M19+O19+Q19+S19+U19+W19+Y19+AA19+AC19+AE19</f>
        <v>0</v>
      </c>
      <c r="F19" s="339">
        <f t="shared" si="5"/>
        <v>0</v>
      </c>
      <c r="G19" s="339">
        <f t="shared" si="6"/>
        <v>0</v>
      </c>
      <c r="H19" s="363">
        <f t="shared" si="9"/>
        <v>0</v>
      </c>
      <c r="I19" s="363">
        <f t="shared" si="9"/>
        <v>0</v>
      </c>
      <c r="J19" s="363">
        <f t="shared" si="9"/>
        <v>0</v>
      </c>
      <c r="K19" s="363">
        <f t="shared" si="9"/>
        <v>0</v>
      </c>
      <c r="L19" s="363">
        <f t="shared" si="9"/>
        <v>0</v>
      </c>
      <c r="M19" s="363">
        <f t="shared" si="9"/>
        <v>0</v>
      </c>
      <c r="N19" s="363">
        <f t="shared" si="9"/>
        <v>0</v>
      </c>
      <c r="O19" s="363">
        <f t="shared" si="9"/>
        <v>0</v>
      </c>
      <c r="P19" s="363">
        <f t="shared" si="9"/>
        <v>0</v>
      </c>
      <c r="Q19" s="363">
        <f t="shared" si="9"/>
        <v>0</v>
      </c>
      <c r="R19" s="363">
        <f t="shared" si="9"/>
        <v>0</v>
      </c>
      <c r="S19" s="363">
        <f t="shared" si="9"/>
        <v>0</v>
      </c>
      <c r="T19" s="363">
        <f t="shared" si="9"/>
        <v>0</v>
      </c>
      <c r="U19" s="363">
        <f t="shared" si="9"/>
        <v>0</v>
      </c>
      <c r="V19" s="363">
        <f t="shared" si="9"/>
        <v>0</v>
      </c>
      <c r="W19" s="363">
        <f t="shared" si="9"/>
        <v>0</v>
      </c>
      <c r="X19" s="363">
        <f t="shared" si="7"/>
        <v>0</v>
      </c>
      <c r="Y19" s="363">
        <f t="shared" si="7"/>
        <v>0</v>
      </c>
      <c r="Z19" s="363">
        <f t="shared" si="7"/>
        <v>0</v>
      </c>
      <c r="AA19" s="363">
        <f t="shared" si="7"/>
        <v>0</v>
      </c>
      <c r="AB19" s="363">
        <f t="shared" si="7"/>
        <v>0</v>
      </c>
      <c r="AC19" s="363">
        <f t="shared" si="7"/>
        <v>0</v>
      </c>
      <c r="AD19" s="363">
        <f t="shared" si="7"/>
        <v>0</v>
      </c>
      <c r="AE19" s="363">
        <f t="shared" si="7"/>
        <v>0</v>
      </c>
      <c r="AF19" s="1065"/>
    </row>
    <row r="20" spans="1:32" x14ac:dyDescent="0.25">
      <c r="A20" s="1045" t="s">
        <v>439</v>
      </c>
      <c r="B20" s="1046"/>
      <c r="C20" s="1046"/>
      <c r="D20" s="1046"/>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7"/>
      <c r="AF20" s="1048"/>
    </row>
    <row r="21" spans="1:32" x14ac:dyDescent="0.25">
      <c r="A21" s="368" t="s">
        <v>31</v>
      </c>
      <c r="B21" s="361">
        <f>B22+B23+B24+B26</f>
        <v>44692.600000000006</v>
      </c>
      <c r="C21" s="361">
        <f t="shared" ref="C21:AE21" si="10">C22+C23+C24+C26</f>
        <v>0</v>
      </c>
      <c r="D21" s="361">
        <f t="shared" si="10"/>
        <v>0</v>
      </c>
      <c r="E21" s="361">
        <f t="shared" si="10"/>
        <v>0</v>
      </c>
      <c r="F21" s="361">
        <f t="shared" ref="F21:F26" si="11">IFERROR(E21/B21%,0)</f>
        <v>0</v>
      </c>
      <c r="G21" s="361">
        <f t="shared" ref="G21:G26" si="12">IFERROR(E21/C21%,0)</f>
        <v>0</v>
      </c>
      <c r="H21" s="361">
        <f t="shared" si="10"/>
        <v>0</v>
      </c>
      <c r="I21" s="361">
        <f t="shared" si="10"/>
        <v>0</v>
      </c>
      <c r="J21" s="361">
        <f t="shared" si="10"/>
        <v>0</v>
      </c>
      <c r="K21" s="361">
        <f t="shared" si="10"/>
        <v>0</v>
      </c>
      <c r="L21" s="361">
        <f t="shared" si="10"/>
        <v>130</v>
      </c>
      <c r="M21" s="361">
        <f t="shared" si="10"/>
        <v>0</v>
      </c>
      <c r="N21" s="361">
        <f t="shared" si="10"/>
        <v>0</v>
      </c>
      <c r="O21" s="361">
        <f t="shared" si="10"/>
        <v>0</v>
      </c>
      <c r="P21" s="361">
        <f t="shared" si="10"/>
        <v>0</v>
      </c>
      <c r="Q21" s="361">
        <f t="shared" si="10"/>
        <v>0</v>
      </c>
      <c r="R21" s="361">
        <f t="shared" si="10"/>
        <v>0</v>
      </c>
      <c r="S21" s="361">
        <f t="shared" si="10"/>
        <v>0</v>
      </c>
      <c r="T21" s="361">
        <f t="shared" si="10"/>
        <v>0</v>
      </c>
      <c r="U21" s="361">
        <f t="shared" si="10"/>
        <v>0</v>
      </c>
      <c r="V21" s="361">
        <f t="shared" si="10"/>
        <v>44562.600000000006</v>
      </c>
      <c r="W21" s="361">
        <f t="shared" si="10"/>
        <v>0</v>
      </c>
      <c r="X21" s="361">
        <f t="shared" si="10"/>
        <v>0</v>
      </c>
      <c r="Y21" s="361">
        <f t="shared" si="10"/>
        <v>0</v>
      </c>
      <c r="Z21" s="361">
        <f t="shared" si="10"/>
        <v>0</v>
      </c>
      <c r="AA21" s="361">
        <f t="shared" si="10"/>
        <v>0</v>
      </c>
      <c r="AB21" s="361">
        <f t="shared" si="10"/>
        <v>0</v>
      </c>
      <c r="AC21" s="361">
        <f t="shared" si="10"/>
        <v>0</v>
      </c>
      <c r="AD21" s="361">
        <f t="shared" si="10"/>
        <v>0</v>
      </c>
      <c r="AE21" s="361">
        <f t="shared" si="10"/>
        <v>0</v>
      </c>
      <c r="AF21" s="1049"/>
    </row>
    <row r="22" spans="1:32" x14ac:dyDescent="0.25">
      <c r="A22" s="362" t="s">
        <v>169</v>
      </c>
      <c r="B22" s="363">
        <f>H22+J22+L22+N22+P22+R22+T22+V22+X22+Z22+AB22+AD22</f>
        <v>4870.8</v>
      </c>
      <c r="C22" s="363">
        <f>H22</f>
        <v>0</v>
      </c>
      <c r="D22" s="363">
        <f>E22</f>
        <v>0</v>
      </c>
      <c r="E22" s="363">
        <f>I22+K22+M22+O22+Q22+S22+U22+W22+Y22+AA22+AC22+AE22</f>
        <v>0</v>
      </c>
      <c r="F22" s="339">
        <f t="shared" si="11"/>
        <v>0</v>
      </c>
      <c r="G22" s="339">
        <f t="shared" si="12"/>
        <v>0</v>
      </c>
      <c r="H22" s="364">
        <v>0</v>
      </c>
      <c r="I22" s="364">
        <v>0</v>
      </c>
      <c r="J22" s="364">
        <v>0</v>
      </c>
      <c r="K22" s="364">
        <v>0</v>
      </c>
      <c r="L22" s="364">
        <v>0</v>
      </c>
      <c r="M22" s="364">
        <v>0</v>
      </c>
      <c r="N22" s="364">
        <v>0</v>
      </c>
      <c r="O22" s="364">
        <v>0</v>
      </c>
      <c r="P22" s="364">
        <v>0</v>
      </c>
      <c r="Q22" s="364">
        <v>0</v>
      </c>
      <c r="R22" s="364">
        <v>0</v>
      </c>
      <c r="S22" s="364">
        <v>0</v>
      </c>
      <c r="T22" s="364">
        <v>0</v>
      </c>
      <c r="U22" s="364">
        <v>0</v>
      </c>
      <c r="V22" s="364">
        <v>4870.8</v>
      </c>
      <c r="W22" s="364">
        <v>0</v>
      </c>
      <c r="X22" s="364">
        <v>0</v>
      </c>
      <c r="Y22" s="364">
        <v>0</v>
      </c>
      <c r="Z22" s="364">
        <v>0</v>
      </c>
      <c r="AA22" s="364">
        <v>0</v>
      </c>
      <c r="AB22" s="364">
        <v>0</v>
      </c>
      <c r="AC22" s="364">
        <v>0</v>
      </c>
      <c r="AD22" s="364">
        <v>0</v>
      </c>
      <c r="AE22" s="364">
        <v>0</v>
      </c>
      <c r="AF22" s="1049"/>
    </row>
    <row r="23" spans="1:32" x14ac:dyDescent="0.25">
      <c r="A23" s="362" t="s">
        <v>32</v>
      </c>
      <c r="B23" s="363">
        <f>H23+J23+L23+N23+P23+R23+T23+V23+X23+Z23+AB23+AD23</f>
        <v>7641.9</v>
      </c>
      <c r="C23" s="363">
        <f t="shared" ref="C23:C26" si="13">H23</f>
        <v>0</v>
      </c>
      <c r="D23" s="363">
        <f>E23</f>
        <v>0</v>
      </c>
      <c r="E23" s="363">
        <f>I23+K23+M23+O23+Q23+S23+U23+W23+Y23+AA23+AC23+AE23</f>
        <v>0</v>
      </c>
      <c r="F23" s="339">
        <f t="shared" si="11"/>
        <v>0</v>
      </c>
      <c r="G23" s="339">
        <f t="shared" si="12"/>
        <v>0</v>
      </c>
      <c r="H23" s="364">
        <v>0</v>
      </c>
      <c r="I23" s="364">
        <v>0</v>
      </c>
      <c r="J23" s="364">
        <v>0</v>
      </c>
      <c r="K23" s="364">
        <v>0</v>
      </c>
      <c r="L23" s="364">
        <v>0</v>
      </c>
      <c r="M23" s="364">
        <v>0</v>
      </c>
      <c r="N23" s="364">
        <v>0</v>
      </c>
      <c r="O23" s="364">
        <v>0</v>
      </c>
      <c r="P23" s="364">
        <v>0</v>
      </c>
      <c r="Q23" s="364">
        <v>0</v>
      </c>
      <c r="R23" s="364">
        <v>0</v>
      </c>
      <c r="S23" s="364">
        <v>0</v>
      </c>
      <c r="T23" s="364">
        <v>0</v>
      </c>
      <c r="U23" s="364">
        <v>0</v>
      </c>
      <c r="V23" s="364">
        <v>7641.9</v>
      </c>
      <c r="W23" s="364">
        <v>0</v>
      </c>
      <c r="X23" s="364">
        <v>0</v>
      </c>
      <c r="Y23" s="364">
        <v>0</v>
      </c>
      <c r="Z23" s="364">
        <v>0</v>
      </c>
      <c r="AA23" s="364">
        <v>0</v>
      </c>
      <c r="AB23" s="364">
        <v>0</v>
      </c>
      <c r="AC23" s="364">
        <v>0</v>
      </c>
      <c r="AD23" s="364">
        <v>0</v>
      </c>
      <c r="AE23" s="364">
        <v>0</v>
      </c>
      <c r="AF23" s="1049"/>
    </row>
    <row r="24" spans="1:32" x14ac:dyDescent="0.25">
      <c r="A24" s="362" t="s">
        <v>33</v>
      </c>
      <c r="B24" s="591">
        <f>H24+J24+L24+N24+P24+R24+T24+V24+X24+Z24+AB24+AD24</f>
        <v>32179.9</v>
      </c>
      <c r="C24" s="363">
        <f t="shared" si="13"/>
        <v>0</v>
      </c>
      <c r="D24" s="363">
        <f>E24</f>
        <v>0</v>
      </c>
      <c r="E24" s="363">
        <f>I24+K24+M24+O24+Q24+S24+U24+W24+Y24+AA24+AC24+AE24</f>
        <v>0</v>
      </c>
      <c r="F24" s="363">
        <f t="shared" si="11"/>
        <v>0</v>
      </c>
      <c r="G24" s="339">
        <f t="shared" si="12"/>
        <v>0</v>
      </c>
      <c r="H24" s="364">
        <v>0</v>
      </c>
      <c r="I24" s="364">
        <v>0</v>
      </c>
      <c r="J24" s="364">
        <v>0</v>
      </c>
      <c r="K24" s="364">
        <v>0</v>
      </c>
      <c r="L24" s="364">
        <v>130</v>
      </c>
      <c r="M24" s="364">
        <v>0</v>
      </c>
      <c r="N24" s="364">
        <v>0</v>
      </c>
      <c r="O24" s="364">
        <v>0</v>
      </c>
      <c r="P24" s="364">
        <v>0</v>
      </c>
      <c r="Q24" s="364">
        <v>0</v>
      </c>
      <c r="R24" s="364">
        <v>0</v>
      </c>
      <c r="S24" s="364">
        <v>0</v>
      </c>
      <c r="T24" s="364">
        <v>0</v>
      </c>
      <c r="U24" s="364">
        <v>0</v>
      </c>
      <c r="V24" s="364">
        <v>32049.9</v>
      </c>
      <c r="W24" s="364">
        <v>0</v>
      </c>
      <c r="X24" s="364">
        <v>0</v>
      </c>
      <c r="Y24" s="364">
        <v>0</v>
      </c>
      <c r="Z24" s="364">
        <v>0</v>
      </c>
      <c r="AA24" s="364">
        <v>0</v>
      </c>
      <c r="AB24" s="364">
        <v>0</v>
      </c>
      <c r="AC24" s="364">
        <v>0</v>
      </c>
      <c r="AD24" s="364">
        <v>0</v>
      </c>
      <c r="AE24" s="364">
        <v>0</v>
      </c>
      <c r="AF24" s="1049"/>
    </row>
    <row r="25" spans="1:32" ht="31.5" x14ac:dyDescent="0.25">
      <c r="A25" s="365" t="s">
        <v>174</v>
      </c>
      <c r="B25" s="591">
        <f>H25+J25+L25+N25+P25+R25+T25+V25+X25+Z25+AB25+AD25</f>
        <v>3128.2</v>
      </c>
      <c r="C25" s="363">
        <f t="shared" si="13"/>
        <v>0</v>
      </c>
      <c r="D25" s="363">
        <f>E25</f>
        <v>0</v>
      </c>
      <c r="E25" s="363">
        <f>I25+K25+M25+O25+Q25+S25+U25+W25+Y25+AA25+AC25+AE25</f>
        <v>0</v>
      </c>
      <c r="F25" s="363">
        <f t="shared" si="11"/>
        <v>0</v>
      </c>
      <c r="G25" s="339">
        <f t="shared" si="12"/>
        <v>0</v>
      </c>
      <c r="H25" s="364">
        <v>0</v>
      </c>
      <c r="I25" s="364">
        <v>0</v>
      </c>
      <c r="J25" s="364">
        <v>0</v>
      </c>
      <c r="K25" s="364">
        <v>0</v>
      </c>
      <c r="L25" s="364">
        <v>0</v>
      </c>
      <c r="M25" s="364">
        <v>0</v>
      </c>
      <c r="N25" s="364">
        <v>0</v>
      </c>
      <c r="O25" s="364">
        <v>0</v>
      </c>
      <c r="P25" s="364">
        <v>0</v>
      </c>
      <c r="Q25" s="364">
        <v>0</v>
      </c>
      <c r="R25" s="364">
        <v>0</v>
      </c>
      <c r="S25" s="364">
        <v>0</v>
      </c>
      <c r="T25" s="364">
        <v>0</v>
      </c>
      <c r="U25" s="364">
        <v>0</v>
      </c>
      <c r="V25" s="364">
        <v>3128.2</v>
      </c>
      <c r="W25" s="364">
        <v>0</v>
      </c>
      <c r="X25" s="364">
        <v>0</v>
      </c>
      <c r="Y25" s="364">
        <v>0</v>
      </c>
      <c r="Z25" s="364">
        <v>0</v>
      </c>
      <c r="AA25" s="364">
        <v>0</v>
      </c>
      <c r="AB25" s="364">
        <v>0</v>
      </c>
      <c r="AC25" s="364">
        <v>0</v>
      </c>
      <c r="AD25" s="364">
        <v>0</v>
      </c>
      <c r="AE25" s="364">
        <v>0</v>
      </c>
      <c r="AF25" s="1049"/>
    </row>
    <row r="26" spans="1:32" x14ac:dyDescent="0.25">
      <c r="A26" s="362" t="s">
        <v>389</v>
      </c>
      <c r="B26" s="363">
        <f>H26+J26+L26+N26+P26+R26+T26+V26+X26+Z26+AB26+AD26</f>
        <v>0</v>
      </c>
      <c r="C26" s="363">
        <f t="shared" si="13"/>
        <v>0</v>
      </c>
      <c r="D26" s="363">
        <f>E26</f>
        <v>0</v>
      </c>
      <c r="E26" s="363">
        <f>I26+K26+M26+O26+Q26+S26+U26+W26+Y26+AA26+AC26+AE26</f>
        <v>0</v>
      </c>
      <c r="F26" s="339">
        <f t="shared" si="11"/>
        <v>0</v>
      </c>
      <c r="G26" s="339">
        <f t="shared" si="12"/>
        <v>0</v>
      </c>
      <c r="H26" s="364">
        <v>0</v>
      </c>
      <c r="I26" s="364">
        <v>0</v>
      </c>
      <c r="J26" s="364">
        <v>0</v>
      </c>
      <c r="K26" s="364">
        <v>0</v>
      </c>
      <c r="L26" s="364">
        <v>0</v>
      </c>
      <c r="M26" s="364">
        <v>0</v>
      </c>
      <c r="N26" s="364">
        <v>0</v>
      </c>
      <c r="O26" s="364">
        <v>0</v>
      </c>
      <c r="P26" s="364">
        <v>0</v>
      </c>
      <c r="Q26" s="364">
        <v>0</v>
      </c>
      <c r="R26" s="364">
        <v>0</v>
      </c>
      <c r="S26" s="364">
        <v>0</v>
      </c>
      <c r="T26" s="364">
        <v>0</v>
      </c>
      <c r="U26" s="364">
        <v>0</v>
      </c>
      <c r="V26" s="364">
        <v>0</v>
      </c>
      <c r="W26" s="364">
        <v>0</v>
      </c>
      <c r="X26" s="364">
        <v>0</v>
      </c>
      <c r="Y26" s="364">
        <v>0</v>
      </c>
      <c r="Z26" s="364">
        <v>0</v>
      </c>
      <c r="AA26" s="364">
        <v>0</v>
      </c>
      <c r="AB26" s="364">
        <v>0</v>
      </c>
      <c r="AC26" s="364">
        <v>0</v>
      </c>
      <c r="AD26" s="364">
        <v>0</v>
      </c>
      <c r="AE26" s="364">
        <v>0</v>
      </c>
      <c r="AF26" s="1050"/>
    </row>
    <row r="27" spans="1:32" x14ac:dyDescent="0.25">
      <c r="A27" s="1051" t="s">
        <v>440</v>
      </c>
      <c r="B27" s="1052"/>
      <c r="C27" s="1052"/>
      <c r="D27" s="1052"/>
      <c r="E27" s="1052"/>
      <c r="F27" s="1052"/>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2"/>
      <c r="AD27" s="1052"/>
      <c r="AE27" s="1053"/>
      <c r="AF27" s="369"/>
    </row>
    <row r="28" spans="1:32" x14ac:dyDescent="0.25">
      <c r="A28" s="1045" t="s">
        <v>441</v>
      </c>
      <c r="B28" s="104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7"/>
      <c r="AF28" s="1054"/>
    </row>
    <row r="29" spans="1:32" x14ac:dyDescent="0.25">
      <c r="A29" s="360" t="s">
        <v>31</v>
      </c>
      <c r="B29" s="370">
        <f>B30+B31+B32+B34</f>
        <v>16000</v>
      </c>
      <c r="C29" s="370">
        <f>C30+C31+C32+C34</f>
        <v>0</v>
      </c>
      <c r="D29" s="370">
        <f>D30+D31+D32+D34</f>
        <v>0</v>
      </c>
      <c r="E29" s="370">
        <f>E30+E31+E32+E34</f>
        <v>0</v>
      </c>
      <c r="F29" s="361">
        <f>IFERROR(E29/B29%,0)</f>
        <v>0</v>
      </c>
      <c r="G29" s="361">
        <f>IFERROR(E29/C29%,0)</f>
        <v>0</v>
      </c>
      <c r="H29" s="370">
        <f t="shared" ref="H29:AE29" si="14">H30+H31+H32+H34</f>
        <v>0</v>
      </c>
      <c r="I29" s="370">
        <f t="shared" si="14"/>
        <v>0</v>
      </c>
      <c r="J29" s="370">
        <f t="shared" si="14"/>
        <v>0</v>
      </c>
      <c r="K29" s="370">
        <f t="shared" si="14"/>
        <v>0</v>
      </c>
      <c r="L29" s="370">
        <f t="shared" si="14"/>
        <v>0</v>
      </c>
      <c r="M29" s="370">
        <f t="shared" si="14"/>
        <v>0</v>
      </c>
      <c r="N29" s="370">
        <f t="shared" si="14"/>
        <v>0</v>
      </c>
      <c r="O29" s="370">
        <f t="shared" si="14"/>
        <v>0</v>
      </c>
      <c r="P29" s="370">
        <f t="shared" si="14"/>
        <v>0</v>
      </c>
      <c r="Q29" s="370">
        <f t="shared" si="14"/>
        <v>0</v>
      </c>
      <c r="R29" s="370">
        <f t="shared" si="14"/>
        <v>0</v>
      </c>
      <c r="S29" s="370">
        <f t="shared" si="14"/>
        <v>0</v>
      </c>
      <c r="T29" s="370">
        <f t="shared" si="14"/>
        <v>0</v>
      </c>
      <c r="U29" s="370">
        <f t="shared" si="14"/>
        <v>0</v>
      </c>
      <c r="V29" s="370">
        <f t="shared" si="14"/>
        <v>0</v>
      </c>
      <c r="W29" s="370">
        <f t="shared" si="14"/>
        <v>0</v>
      </c>
      <c r="X29" s="370">
        <f t="shared" si="14"/>
        <v>0</v>
      </c>
      <c r="Y29" s="370">
        <f t="shared" si="14"/>
        <v>0</v>
      </c>
      <c r="Z29" s="370">
        <f t="shared" si="14"/>
        <v>16000</v>
      </c>
      <c r="AA29" s="370">
        <f t="shared" si="14"/>
        <v>0</v>
      </c>
      <c r="AB29" s="370">
        <f t="shared" si="14"/>
        <v>0</v>
      </c>
      <c r="AC29" s="370">
        <f t="shared" si="14"/>
        <v>0</v>
      </c>
      <c r="AD29" s="370">
        <f t="shared" si="14"/>
        <v>0</v>
      </c>
      <c r="AE29" s="370">
        <f t="shared" si="14"/>
        <v>0</v>
      </c>
      <c r="AF29" s="1055"/>
    </row>
    <row r="30" spans="1:32" x14ac:dyDescent="0.25">
      <c r="A30" s="362" t="s">
        <v>169</v>
      </c>
      <c r="B30" s="363">
        <f t="shared" ref="B30:B31" si="15">H30+J30+L30+N30+P30+R30+T30+V30+X30+Z30+AB30+AD30</f>
        <v>0</v>
      </c>
      <c r="C30" s="363">
        <f t="shared" ref="C30:C31" si="16">H30+J30</f>
        <v>0</v>
      </c>
      <c r="D30" s="363">
        <f t="shared" ref="D30:D31" si="17">E30</f>
        <v>0</v>
      </c>
      <c r="E30" s="363">
        <f t="shared" ref="E30:E31" si="18">I30+K30+M30+O30+Q30+S30+U30+W30+Y30+AA30+AC30+AE30</f>
        <v>0</v>
      </c>
      <c r="F30" s="339">
        <f t="shared" ref="F30:F31" si="19">IFERROR(E30/B30%,0)</f>
        <v>0</v>
      </c>
      <c r="G30" s="339">
        <f t="shared" ref="G30:G31" si="20">IFERROR(E30/C30%,0)</f>
        <v>0</v>
      </c>
      <c r="H30" s="364">
        <v>0</v>
      </c>
      <c r="I30" s="364">
        <v>0</v>
      </c>
      <c r="J30" s="364">
        <v>0</v>
      </c>
      <c r="K30" s="364">
        <v>0</v>
      </c>
      <c r="L30" s="364">
        <v>0</v>
      </c>
      <c r="M30" s="364">
        <v>0</v>
      </c>
      <c r="N30" s="364">
        <v>0</v>
      </c>
      <c r="O30" s="364">
        <v>0</v>
      </c>
      <c r="P30" s="364">
        <v>0</v>
      </c>
      <c r="Q30" s="364">
        <v>0</v>
      </c>
      <c r="R30" s="364">
        <v>0</v>
      </c>
      <c r="S30" s="364">
        <v>0</v>
      </c>
      <c r="T30" s="364">
        <v>0</v>
      </c>
      <c r="U30" s="364">
        <v>0</v>
      </c>
      <c r="V30" s="364">
        <v>0</v>
      </c>
      <c r="W30" s="364">
        <v>0</v>
      </c>
      <c r="X30" s="364">
        <v>0</v>
      </c>
      <c r="Y30" s="364">
        <v>0</v>
      </c>
      <c r="Z30" s="364">
        <v>0</v>
      </c>
      <c r="AA30" s="364">
        <v>0</v>
      </c>
      <c r="AB30" s="364">
        <v>0</v>
      </c>
      <c r="AC30" s="364">
        <v>0</v>
      </c>
      <c r="AD30" s="364">
        <v>0</v>
      </c>
      <c r="AE30" s="364">
        <v>0</v>
      </c>
      <c r="AF30" s="1055"/>
    </row>
    <row r="31" spans="1:32" x14ac:dyDescent="0.25">
      <c r="A31" s="362" t="s">
        <v>32</v>
      </c>
      <c r="B31" s="363">
        <f t="shared" si="15"/>
        <v>0</v>
      </c>
      <c r="C31" s="363">
        <f t="shared" si="16"/>
        <v>0</v>
      </c>
      <c r="D31" s="363">
        <f t="shared" si="17"/>
        <v>0</v>
      </c>
      <c r="E31" s="363">
        <f t="shared" si="18"/>
        <v>0</v>
      </c>
      <c r="F31" s="339">
        <f t="shared" si="19"/>
        <v>0</v>
      </c>
      <c r="G31" s="339">
        <f t="shared" si="20"/>
        <v>0</v>
      </c>
      <c r="H31" s="364">
        <v>0</v>
      </c>
      <c r="I31" s="364">
        <v>0</v>
      </c>
      <c r="J31" s="364">
        <v>0</v>
      </c>
      <c r="K31" s="364">
        <v>0</v>
      </c>
      <c r="L31" s="364">
        <v>0</v>
      </c>
      <c r="M31" s="364">
        <v>0</v>
      </c>
      <c r="N31" s="364">
        <v>0</v>
      </c>
      <c r="O31" s="364">
        <v>0</v>
      </c>
      <c r="P31" s="364">
        <v>0</v>
      </c>
      <c r="Q31" s="364">
        <v>0</v>
      </c>
      <c r="R31" s="364">
        <v>0</v>
      </c>
      <c r="S31" s="364">
        <v>0</v>
      </c>
      <c r="T31" s="364">
        <v>0</v>
      </c>
      <c r="U31" s="364">
        <v>0</v>
      </c>
      <c r="V31" s="364">
        <v>0</v>
      </c>
      <c r="W31" s="364">
        <v>0</v>
      </c>
      <c r="X31" s="364">
        <v>0</v>
      </c>
      <c r="Y31" s="364">
        <v>0</v>
      </c>
      <c r="Z31" s="364">
        <v>0</v>
      </c>
      <c r="AA31" s="364">
        <v>0</v>
      </c>
      <c r="AB31" s="364">
        <v>0</v>
      </c>
      <c r="AC31" s="364">
        <v>0</v>
      </c>
      <c r="AD31" s="364">
        <v>0</v>
      </c>
      <c r="AE31" s="364">
        <v>0</v>
      </c>
      <c r="AF31" s="1055"/>
    </row>
    <row r="32" spans="1:32" x14ac:dyDescent="0.25">
      <c r="A32" s="362" t="s">
        <v>33</v>
      </c>
      <c r="B32" s="363">
        <f>H32+J32+L32+N32+P32+R32+T32+V32+X32+Z32+AB32+AD32</f>
        <v>16000</v>
      </c>
      <c r="C32" s="363">
        <f>H32+J32</f>
        <v>0</v>
      </c>
      <c r="D32" s="363">
        <f>E32</f>
        <v>0</v>
      </c>
      <c r="E32" s="363">
        <f>I32+K32+M32+O32+Q32+S32+U32+W32+Y32+AA32+AC32+AE32</f>
        <v>0</v>
      </c>
      <c r="F32" s="339">
        <f>IFERROR(E32/B32%,0)</f>
        <v>0</v>
      </c>
      <c r="G32" s="339">
        <f>IFERROR(E32/C32%,0)</f>
        <v>0</v>
      </c>
      <c r="H32" s="364">
        <v>0</v>
      </c>
      <c r="I32" s="364">
        <v>0</v>
      </c>
      <c r="J32" s="364">
        <v>0</v>
      </c>
      <c r="K32" s="364">
        <v>0</v>
      </c>
      <c r="L32" s="364">
        <v>0</v>
      </c>
      <c r="M32" s="364">
        <v>0</v>
      </c>
      <c r="N32" s="364">
        <v>0</v>
      </c>
      <c r="O32" s="364">
        <v>0</v>
      </c>
      <c r="P32" s="364">
        <v>0</v>
      </c>
      <c r="Q32" s="364">
        <v>0</v>
      </c>
      <c r="R32" s="364">
        <v>0</v>
      </c>
      <c r="S32" s="364">
        <v>0</v>
      </c>
      <c r="T32" s="364">
        <v>0</v>
      </c>
      <c r="U32" s="364">
        <v>0</v>
      </c>
      <c r="V32" s="364">
        <v>0</v>
      </c>
      <c r="W32" s="364">
        <v>0</v>
      </c>
      <c r="X32" s="364">
        <v>0</v>
      </c>
      <c r="Y32" s="364">
        <v>0</v>
      </c>
      <c r="Z32" s="364">
        <v>16000</v>
      </c>
      <c r="AA32" s="364">
        <v>0</v>
      </c>
      <c r="AB32" s="364">
        <v>0</v>
      </c>
      <c r="AC32" s="364">
        <v>0</v>
      </c>
      <c r="AD32" s="364">
        <v>0</v>
      </c>
      <c r="AE32" s="364">
        <v>0</v>
      </c>
      <c r="AF32" s="1055"/>
    </row>
    <row r="33" spans="1:32" ht="31.5" x14ac:dyDescent="0.25">
      <c r="A33" s="365" t="s">
        <v>174</v>
      </c>
      <c r="B33" s="363">
        <f t="shared" ref="B33:B34" si="21">H33+J33+L33+N33+P33+R33+T33+V33+X33+Z33+AB33+AD33</f>
        <v>0</v>
      </c>
      <c r="C33" s="363">
        <f t="shared" ref="C33:C34" si="22">H33+J33</f>
        <v>0</v>
      </c>
      <c r="D33" s="363">
        <f t="shared" ref="D33:D34" si="23">E33</f>
        <v>0</v>
      </c>
      <c r="E33" s="363">
        <f t="shared" ref="E33:E34" si="24">I33+K33+M33+O33+Q33+S33+U33+W33+Y33+AA33+AC33+AE33</f>
        <v>0</v>
      </c>
      <c r="F33" s="339">
        <f t="shared" ref="F33:F34" si="25">IFERROR(E33/B33%,0)</f>
        <v>0</v>
      </c>
      <c r="G33" s="339">
        <f t="shared" ref="G33:G34" si="26">IFERROR(E33/C33%,0)</f>
        <v>0</v>
      </c>
      <c r="H33" s="364">
        <v>0</v>
      </c>
      <c r="I33" s="364">
        <v>0</v>
      </c>
      <c r="J33" s="364">
        <v>0</v>
      </c>
      <c r="K33" s="364">
        <v>0</v>
      </c>
      <c r="L33" s="364">
        <v>0</v>
      </c>
      <c r="M33" s="364">
        <v>0</v>
      </c>
      <c r="N33" s="364">
        <v>0</v>
      </c>
      <c r="O33" s="364">
        <v>0</v>
      </c>
      <c r="P33" s="364">
        <v>0</v>
      </c>
      <c r="Q33" s="364">
        <v>0</v>
      </c>
      <c r="R33" s="364">
        <v>0</v>
      </c>
      <c r="S33" s="364">
        <v>0</v>
      </c>
      <c r="T33" s="364">
        <v>0</v>
      </c>
      <c r="U33" s="364">
        <v>0</v>
      </c>
      <c r="V33" s="364">
        <v>0</v>
      </c>
      <c r="W33" s="364">
        <v>0</v>
      </c>
      <c r="X33" s="364">
        <v>0</v>
      </c>
      <c r="Y33" s="364">
        <v>0</v>
      </c>
      <c r="Z33" s="364">
        <v>0</v>
      </c>
      <c r="AA33" s="364">
        <v>0</v>
      </c>
      <c r="AB33" s="364">
        <v>0</v>
      </c>
      <c r="AC33" s="364">
        <v>0</v>
      </c>
      <c r="AD33" s="364">
        <v>0</v>
      </c>
      <c r="AE33" s="364">
        <v>0</v>
      </c>
      <c r="AF33" s="1055"/>
    </row>
    <row r="34" spans="1:32" x14ac:dyDescent="0.25">
      <c r="A34" s="362" t="s">
        <v>389</v>
      </c>
      <c r="B34" s="363">
        <f t="shared" si="21"/>
        <v>0</v>
      </c>
      <c r="C34" s="363">
        <f t="shared" si="22"/>
        <v>0</v>
      </c>
      <c r="D34" s="363">
        <f t="shared" si="23"/>
        <v>0</v>
      </c>
      <c r="E34" s="363">
        <f t="shared" si="24"/>
        <v>0</v>
      </c>
      <c r="F34" s="339">
        <f t="shared" si="25"/>
        <v>0</v>
      </c>
      <c r="G34" s="339">
        <f t="shared" si="26"/>
        <v>0</v>
      </c>
      <c r="H34" s="364">
        <v>0</v>
      </c>
      <c r="I34" s="364">
        <v>0</v>
      </c>
      <c r="J34" s="364">
        <v>0</v>
      </c>
      <c r="K34" s="364">
        <v>0</v>
      </c>
      <c r="L34" s="364">
        <v>0</v>
      </c>
      <c r="M34" s="364">
        <v>0</v>
      </c>
      <c r="N34" s="364">
        <v>0</v>
      </c>
      <c r="O34" s="364">
        <v>0</v>
      </c>
      <c r="P34" s="364">
        <v>0</v>
      </c>
      <c r="Q34" s="364">
        <v>0</v>
      </c>
      <c r="R34" s="364">
        <v>0</v>
      </c>
      <c r="S34" s="364">
        <v>0</v>
      </c>
      <c r="T34" s="364">
        <v>0</v>
      </c>
      <c r="U34" s="364">
        <v>0</v>
      </c>
      <c r="V34" s="364">
        <v>0</v>
      </c>
      <c r="W34" s="364">
        <v>0</v>
      </c>
      <c r="X34" s="364">
        <v>0</v>
      </c>
      <c r="Y34" s="364">
        <v>0</v>
      </c>
      <c r="Z34" s="364">
        <v>0</v>
      </c>
      <c r="AA34" s="364">
        <v>0</v>
      </c>
      <c r="AB34" s="364">
        <v>0</v>
      </c>
      <c r="AC34" s="364">
        <v>0</v>
      </c>
      <c r="AD34" s="364">
        <v>0</v>
      </c>
      <c r="AE34" s="364">
        <v>0</v>
      </c>
      <c r="AF34" s="1056"/>
    </row>
    <row r="35" spans="1:32" x14ac:dyDescent="0.25">
      <c r="A35" s="1057" t="s">
        <v>442</v>
      </c>
      <c r="B35" s="1058"/>
      <c r="C35" s="1058"/>
      <c r="D35" s="1058"/>
      <c r="E35" s="1058"/>
      <c r="F35" s="1058"/>
      <c r="G35" s="1058"/>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9"/>
      <c r="AF35" s="371"/>
    </row>
    <row r="36" spans="1:32" s="589" customFormat="1" x14ac:dyDescent="0.25">
      <c r="A36" s="585" t="s">
        <v>31</v>
      </c>
      <c r="B36" s="586">
        <f>B37+B38+B39+B41</f>
        <v>14354.600000000002</v>
      </c>
      <c r="C36" s="586">
        <f>C37+C38+C39+C41</f>
        <v>826.1</v>
      </c>
      <c r="D36" s="586">
        <f>D37+D38+D39+D41</f>
        <v>826.1</v>
      </c>
      <c r="E36" s="586">
        <f>E37+E38+E39+E41</f>
        <v>826.1</v>
      </c>
      <c r="F36" s="587">
        <f>IFERROR(E36/B36%,0)</f>
        <v>5.7549496328702991</v>
      </c>
      <c r="G36" s="587">
        <f>IFERROR(E36/C36%,0)</f>
        <v>99.999999999999986</v>
      </c>
      <c r="H36" s="586">
        <f t="shared" ref="H36:AE36" si="27">H37+H38+H39+H41</f>
        <v>232</v>
      </c>
      <c r="I36" s="586">
        <f t="shared" si="27"/>
        <v>232</v>
      </c>
      <c r="J36" s="586">
        <f t="shared" si="27"/>
        <v>0</v>
      </c>
      <c r="K36" s="586">
        <f t="shared" si="27"/>
        <v>0</v>
      </c>
      <c r="L36" s="586">
        <f t="shared" si="27"/>
        <v>594.1</v>
      </c>
      <c r="M36" s="586">
        <f t="shared" si="27"/>
        <v>594.1</v>
      </c>
      <c r="N36" s="586">
        <f t="shared" si="27"/>
        <v>0</v>
      </c>
      <c r="O36" s="586">
        <f t="shared" si="27"/>
        <v>0</v>
      </c>
      <c r="P36" s="586">
        <f t="shared" si="27"/>
        <v>597.1</v>
      </c>
      <c r="Q36" s="586">
        <f t="shared" si="27"/>
        <v>0</v>
      </c>
      <c r="R36" s="586">
        <f t="shared" si="27"/>
        <v>0</v>
      </c>
      <c r="S36" s="586">
        <f t="shared" si="27"/>
        <v>0</v>
      </c>
      <c r="T36" s="586">
        <f t="shared" si="27"/>
        <v>0</v>
      </c>
      <c r="U36" s="586">
        <f t="shared" si="27"/>
        <v>0</v>
      </c>
      <c r="V36" s="586">
        <f t="shared" si="27"/>
        <v>10380.6</v>
      </c>
      <c r="W36" s="586">
        <f t="shared" si="27"/>
        <v>0</v>
      </c>
      <c r="X36" s="586">
        <f t="shared" si="27"/>
        <v>0</v>
      </c>
      <c r="Y36" s="586">
        <f t="shared" si="27"/>
        <v>0</v>
      </c>
      <c r="Z36" s="586">
        <f t="shared" si="27"/>
        <v>0</v>
      </c>
      <c r="AA36" s="586">
        <f t="shared" si="27"/>
        <v>0</v>
      </c>
      <c r="AB36" s="586">
        <f t="shared" si="27"/>
        <v>0</v>
      </c>
      <c r="AC36" s="586">
        <f t="shared" si="27"/>
        <v>0</v>
      </c>
      <c r="AD36" s="586">
        <f t="shared" si="27"/>
        <v>2550.8000000000002</v>
      </c>
      <c r="AE36" s="586">
        <f t="shared" si="27"/>
        <v>0</v>
      </c>
      <c r="AF36" s="588"/>
    </row>
    <row r="37" spans="1:32" s="589" customFormat="1" x14ac:dyDescent="0.25">
      <c r="A37" s="590" t="s">
        <v>169</v>
      </c>
      <c r="B37" s="591">
        <f t="shared" ref="B37:B38" si="28">H37+J37+L37+N37+P37+R37+T37+V37+X37+Z37+AB37+AD37</f>
        <v>0</v>
      </c>
      <c r="C37" s="591">
        <f t="shared" ref="C37:C41" si="29">H37</f>
        <v>0</v>
      </c>
      <c r="D37" s="591">
        <f t="shared" ref="D37:D38" si="30">E37</f>
        <v>0</v>
      </c>
      <c r="E37" s="591">
        <f t="shared" ref="E37:E38" si="31">I37+K37+M37+O37+Q37+S37+U37+W37+Y37+AA37+AC37+AE37</f>
        <v>0</v>
      </c>
      <c r="F37" s="592">
        <f t="shared" ref="F37:F38" si="32">IFERROR(E37/B37%,0)</f>
        <v>0</v>
      </c>
      <c r="G37" s="592">
        <f t="shared" ref="G37:G38" si="33">IFERROR(E37/C37%,0)</f>
        <v>0</v>
      </c>
      <c r="H37" s="593">
        <v>0</v>
      </c>
      <c r="I37" s="593">
        <v>0</v>
      </c>
      <c r="J37" s="593">
        <v>0</v>
      </c>
      <c r="K37" s="593">
        <v>0</v>
      </c>
      <c r="L37" s="593">
        <v>0</v>
      </c>
      <c r="M37" s="593">
        <v>0</v>
      </c>
      <c r="N37" s="593">
        <v>0</v>
      </c>
      <c r="O37" s="593">
        <v>0</v>
      </c>
      <c r="P37" s="593">
        <v>0</v>
      </c>
      <c r="Q37" s="593">
        <v>0</v>
      </c>
      <c r="R37" s="593">
        <v>0</v>
      </c>
      <c r="S37" s="593">
        <v>0</v>
      </c>
      <c r="T37" s="593">
        <v>0</v>
      </c>
      <c r="U37" s="593">
        <v>0</v>
      </c>
      <c r="V37" s="593">
        <v>0</v>
      </c>
      <c r="W37" s="593">
        <v>0</v>
      </c>
      <c r="X37" s="593">
        <v>0</v>
      </c>
      <c r="Y37" s="593">
        <v>0</v>
      </c>
      <c r="Z37" s="593">
        <v>0</v>
      </c>
      <c r="AA37" s="593">
        <v>0</v>
      </c>
      <c r="AB37" s="593">
        <v>0</v>
      </c>
      <c r="AC37" s="593">
        <v>0</v>
      </c>
      <c r="AD37" s="593">
        <v>0</v>
      </c>
      <c r="AE37" s="593">
        <v>0</v>
      </c>
      <c r="AF37" s="588"/>
    </row>
    <row r="38" spans="1:32" s="589" customFormat="1" x14ac:dyDescent="0.25">
      <c r="A38" s="590" t="s">
        <v>32</v>
      </c>
      <c r="B38" s="591">
        <f t="shared" si="28"/>
        <v>0</v>
      </c>
      <c r="C38" s="591">
        <f t="shared" si="29"/>
        <v>0</v>
      </c>
      <c r="D38" s="591">
        <f t="shared" si="30"/>
        <v>0</v>
      </c>
      <c r="E38" s="591">
        <f t="shared" si="31"/>
        <v>0</v>
      </c>
      <c r="F38" s="592">
        <f t="shared" si="32"/>
        <v>0</v>
      </c>
      <c r="G38" s="592">
        <f t="shared" si="33"/>
        <v>0</v>
      </c>
      <c r="H38" s="593">
        <v>0</v>
      </c>
      <c r="I38" s="593">
        <v>0</v>
      </c>
      <c r="J38" s="593">
        <v>0</v>
      </c>
      <c r="K38" s="593">
        <v>0</v>
      </c>
      <c r="L38" s="593">
        <v>0</v>
      </c>
      <c r="M38" s="593">
        <v>0</v>
      </c>
      <c r="N38" s="593">
        <v>0</v>
      </c>
      <c r="O38" s="593">
        <v>0</v>
      </c>
      <c r="P38" s="593">
        <v>0</v>
      </c>
      <c r="Q38" s="593">
        <v>0</v>
      </c>
      <c r="R38" s="593">
        <v>0</v>
      </c>
      <c r="S38" s="593">
        <v>0</v>
      </c>
      <c r="T38" s="593">
        <v>0</v>
      </c>
      <c r="U38" s="593">
        <v>0</v>
      </c>
      <c r="V38" s="593">
        <v>0</v>
      </c>
      <c r="W38" s="593">
        <v>0</v>
      </c>
      <c r="X38" s="593">
        <v>0</v>
      </c>
      <c r="Y38" s="593">
        <v>0</v>
      </c>
      <c r="Z38" s="593">
        <v>0</v>
      </c>
      <c r="AA38" s="593">
        <v>0</v>
      </c>
      <c r="AB38" s="593">
        <v>0</v>
      </c>
      <c r="AC38" s="593">
        <v>0</v>
      </c>
      <c r="AD38" s="593">
        <v>0</v>
      </c>
      <c r="AE38" s="593">
        <v>0</v>
      </c>
      <c r="AF38" s="588"/>
    </row>
    <row r="39" spans="1:32" s="589" customFormat="1" x14ac:dyDescent="0.25">
      <c r="A39" s="590" t="s">
        <v>33</v>
      </c>
      <c r="B39" s="591">
        <f>H39+J39+L39+N39+P39+R39+T39+V39+X39+Z39+AB39+AD39</f>
        <v>14354.600000000002</v>
      </c>
      <c r="C39" s="591">
        <f>H39+J39+L39</f>
        <v>826.1</v>
      </c>
      <c r="D39" s="591">
        <f>E39</f>
        <v>826.1</v>
      </c>
      <c r="E39" s="591">
        <f>I39+K39+M39+O39+Q39+S39+U39+W39+Y39+AA39+AC39+AE39</f>
        <v>826.1</v>
      </c>
      <c r="F39" s="592">
        <f>IFERROR(E39/B39%,0)</f>
        <v>5.7549496328702991</v>
      </c>
      <c r="G39" s="592">
        <f>IFERROR(E39/C39%,0)</f>
        <v>99.999999999999986</v>
      </c>
      <c r="H39" s="593">
        <v>232</v>
      </c>
      <c r="I39" s="593">
        <v>232</v>
      </c>
      <c r="J39" s="593">
        <v>0</v>
      </c>
      <c r="K39" s="593">
        <v>0</v>
      </c>
      <c r="L39" s="593">
        <v>594.1</v>
      </c>
      <c r="M39" s="593">
        <v>594.1</v>
      </c>
      <c r="N39" s="593">
        <v>0</v>
      </c>
      <c r="O39" s="593">
        <v>0</v>
      </c>
      <c r="P39" s="593">
        <v>597.1</v>
      </c>
      <c r="Q39" s="593">
        <v>0</v>
      </c>
      <c r="R39" s="593">
        <v>0</v>
      </c>
      <c r="S39" s="593">
        <v>0</v>
      </c>
      <c r="T39" s="593">
        <v>0</v>
      </c>
      <c r="U39" s="593">
        <v>0</v>
      </c>
      <c r="V39" s="593">
        <v>10380.6</v>
      </c>
      <c r="W39" s="593">
        <v>0</v>
      </c>
      <c r="X39" s="593">
        <v>0</v>
      </c>
      <c r="Y39" s="593">
        <v>0</v>
      </c>
      <c r="Z39" s="593">
        <v>0</v>
      </c>
      <c r="AA39" s="593">
        <v>0</v>
      </c>
      <c r="AB39" s="593">
        <v>0</v>
      </c>
      <c r="AC39" s="593">
        <v>0</v>
      </c>
      <c r="AD39" s="593">
        <v>2550.8000000000002</v>
      </c>
      <c r="AE39" s="593">
        <v>0</v>
      </c>
      <c r="AF39" s="588"/>
    </row>
    <row r="40" spans="1:32" s="589" customFormat="1" ht="31.5" x14ac:dyDescent="0.25">
      <c r="A40" s="594" t="s">
        <v>174</v>
      </c>
      <c r="B40" s="591">
        <f t="shared" ref="B40:B41" si="34">H40+J40+L40+N40+P40+R40+T40+V40+X40+Z40+AB40+AD40</f>
        <v>0</v>
      </c>
      <c r="C40" s="591">
        <f t="shared" si="29"/>
        <v>0</v>
      </c>
      <c r="D40" s="591">
        <f t="shared" ref="D40:D41" si="35">E40</f>
        <v>0</v>
      </c>
      <c r="E40" s="591">
        <f t="shared" ref="E40:E41" si="36">I40+K40+M40+O40+Q40+S40+U40+W40+Y40+AA40+AC40+AE40</f>
        <v>0</v>
      </c>
      <c r="F40" s="592">
        <f t="shared" ref="F40:F41" si="37">IFERROR(E40/B40%,0)</f>
        <v>0</v>
      </c>
      <c r="G40" s="592">
        <f t="shared" ref="G40:G41" si="38">IFERROR(E40/C40%,0)</f>
        <v>0</v>
      </c>
      <c r="H40" s="593">
        <v>0</v>
      </c>
      <c r="I40" s="593">
        <v>0</v>
      </c>
      <c r="J40" s="593">
        <v>0</v>
      </c>
      <c r="K40" s="593">
        <v>0</v>
      </c>
      <c r="L40" s="593">
        <v>0</v>
      </c>
      <c r="M40" s="593">
        <v>0</v>
      </c>
      <c r="N40" s="593">
        <v>0</v>
      </c>
      <c r="O40" s="593">
        <v>0</v>
      </c>
      <c r="P40" s="593">
        <v>0</v>
      </c>
      <c r="Q40" s="593">
        <v>0</v>
      </c>
      <c r="R40" s="593">
        <v>0</v>
      </c>
      <c r="S40" s="593">
        <v>0</v>
      </c>
      <c r="T40" s="593">
        <v>0</v>
      </c>
      <c r="U40" s="593">
        <v>0</v>
      </c>
      <c r="V40" s="593">
        <v>0</v>
      </c>
      <c r="W40" s="593">
        <v>0</v>
      </c>
      <c r="X40" s="593">
        <v>0</v>
      </c>
      <c r="Y40" s="593">
        <v>0</v>
      </c>
      <c r="Z40" s="593">
        <v>0</v>
      </c>
      <c r="AA40" s="593">
        <v>0</v>
      </c>
      <c r="AB40" s="593">
        <v>0</v>
      </c>
      <c r="AC40" s="593">
        <v>0</v>
      </c>
      <c r="AD40" s="593">
        <v>0</v>
      </c>
      <c r="AE40" s="593">
        <v>0</v>
      </c>
      <c r="AF40" s="588"/>
    </row>
    <row r="41" spans="1:32" s="589" customFormat="1" x14ac:dyDescent="0.25">
      <c r="A41" s="590" t="s">
        <v>389</v>
      </c>
      <c r="B41" s="591">
        <f t="shared" si="34"/>
        <v>0</v>
      </c>
      <c r="C41" s="591">
        <f t="shared" si="29"/>
        <v>0</v>
      </c>
      <c r="D41" s="591">
        <f t="shared" si="35"/>
        <v>0</v>
      </c>
      <c r="E41" s="591">
        <f t="shared" si="36"/>
        <v>0</v>
      </c>
      <c r="F41" s="592">
        <f t="shared" si="37"/>
        <v>0</v>
      </c>
      <c r="G41" s="592">
        <f t="shared" si="38"/>
        <v>0</v>
      </c>
      <c r="H41" s="593">
        <v>0</v>
      </c>
      <c r="I41" s="593">
        <v>0</v>
      </c>
      <c r="J41" s="593">
        <v>0</v>
      </c>
      <c r="K41" s="593">
        <v>0</v>
      </c>
      <c r="L41" s="593">
        <v>0</v>
      </c>
      <c r="M41" s="593">
        <v>0</v>
      </c>
      <c r="N41" s="593">
        <v>0</v>
      </c>
      <c r="O41" s="593">
        <v>0</v>
      </c>
      <c r="P41" s="593">
        <v>0</v>
      </c>
      <c r="Q41" s="593">
        <v>0</v>
      </c>
      <c r="R41" s="593">
        <v>0</v>
      </c>
      <c r="S41" s="593">
        <v>0</v>
      </c>
      <c r="T41" s="593">
        <v>0</v>
      </c>
      <c r="U41" s="593">
        <v>0</v>
      </c>
      <c r="V41" s="593">
        <v>0</v>
      </c>
      <c r="W41" s="593">
        <v>0</v>
      </c>
      <c r="X41" s="593">
        <v>0</v>
      </c>
      <c r="Y41" s="593">
        <v>0</v>
      </c>
      <c r="Z41" s="593">
        <v>0</v>
      </c>
      <c r="AA41" s="593">
        <v>0</v>
      </c>
      <c r="AB41" s="593">
        <v>0</v>
      </c>
      <c r="AC41" s="593">
        <v>0</v>
      </c>
      <c r="AD41" s="593">
        <v>0</v>
      </c>
      <c r="AE41" s="593">
        <v>0</v>
      </c>
      <c r="AF41" s="1043"/>
    </row>
    <row r="42" spans="1:32" s="589" customFormat="1" ht="24" customHeight="1" x14ac:dyDescent="0.25">
      <c r="A42" s="373" t="s">
        <v>66</v>
      </c>
      <c r="B42" s="586">
        <f>B43+B44+B45+B47</f>
        <v>75047.199999999997</v>
      </c>
      <c r="C42" s="586">
        <f t="shared" ref="C42:AE42" si="39">C43+C44+C45+C47</f>
        <v>826.1</v>
      </c>
      <c r="D42" s="586">
        <f t="shared" si="39"/>
        <v>826.1</v>
      </c>
      <c r="E42" s="586">
        <f t="shared" si="39"/>
        <v>826.1</v>
      </c>
      <c r="F42" s="586">
        <f t="shared" si="39"/>
        <v>1.3210307910033661</v>
      </c>
      <c r="G42" s="586">
        <f t="shared" si="39"/>
        <v>99.999999999999986</v>
      </c>
      <c r="H42" s="586">
        <f t="shared" si="39"/>
        <v>232</v>
      </c>
      <c r="I42" s="586">
        <f t="shared" si="39"/>
        <v>232</v>
      </c>
      <c r="J42" s="586">
        <f t="shared" si="39"/>
        <v>0</v>
      </c>
      <c r="K42" s="586">
        <f t="shared" si="39"/>
        <v>0</v>
      </c>
      <c r="L42" s="586">
        <f t="shared" si="39"/>
        <v>724.1</v>
      </c>
      <c r="M42" s="586">
        <f t="shared" si="39"/>
        <v>594.1</v>
      </c>
      <c r="N42" s="586">
        <f t="shared" si="39"/>
        <v>0</v>
      </c>
      <c r="O42" s="586">
        <f t="shared" si="39"/>
        <v>0</v>
      </c>
      <c r="P42" s="586">
        <f t="shared" si="39"/>
        <v>597.1</v>
      </c>
      <c r="Q42" s="586">
        <f t="shared" si="39"/>
        <v>0</v>
      </c>
      <c r="R42" s="586">
        <f t="shared" si="39"/>
        <v>0</v>
      </c>
      <c r="S42" s="586">
        <f t="shared" si="39"/>
        <v>0</v>
      </c>
      <c r="T42" s="586">
        <f t="shared" si="39"/>
        <v>0</v>
      </c>
      <c r="U42" s="586">
        <f t="shared" si="39"/>
        <v>0</v>
      </c>
      <c r="V42" s="586">
        <f t="shared" si="39"/>
        <v>54943.199999999997</v>
      </c>
      <c r="W42" s="586">
        <f t="shared" si="39"/>
        <v>0</v>
      </c>
      <c r="X42" s="586">
        <f t="shared" si="39"/>
        <v>0</v>
      </c>
      <c r="Y42" s="586">
        <f t="shared" si="39"/>
        <v>0</v>
      </c>
      <c r="Z42" s="586">
        <f t="shared" si="39"/>
        <v>16000</v>
      </c>
      <c r="AA42" s="586">
        <f t="shared" si="39"/>
        <v>0</v>
      </c>
      <c r="AB42" s="586">
        <f t="shared" si="39"/>
        <v>0</v>
      </c>
      <c r="AC42" s="586">
        <f t="shared" si="39"/>
        <v>0</v>
      </c>
      <c r="AD42" s="586">
        <f t="shared" si="39"/>
        <v>2550.8000000000002</v>
      </c>
      <c r="AE42" s="586">
        <f t="shared" si="39"/>
        <v>0</v>
      </c>
      <c r="AF42" s="1043"/>
    </row>
    <row r="43" spans="1:32" s="589" customFormat="1" x14ac:dyDescent="0.25">
      <c r="A43" s="590" t="s">
        <v>169</v>
      </c>
      <c r="B43" s="591">
        <f>B30+B8+B37</f>
        <v>4870.8</v>
      </c>
      <c r="C43" s="591">
        <f t="shared" ref="C43:E43" si="40">C30+C8+C37</f>
        <v>0</v>
      </c>
      <c r="D43" s="591">
        <f t="shared" si="40"/>
        <v>0</v>
      </c>
      <c r="E43" s="591">
        <f t="shared" si="40"/>
        <v>0</v>
      </c>
      <c r="F43" s="592">
        <f>E43/B43%</f>
        <v>0</v>
      </c>
      <c r="G43" s="592">
        <f t="shared" ref="G43:G59" si="41">IFERROR(E43/C43%,0)</f>
        <v>0</v>
      </c>
      <c r="H43" s="591">
        <f>H49+H55</f>
        <v>0</v>
      </c>
      <c r="I43" s="591">
        <f t="shared" ref="H43:AE47" si="42">I49+I55</f>
        <v>0</v>
      </c>
      <c r="J43" s="591">
        <f t="shared" si="42"/>
        <v>0</v>
      </c>
      <c r="K43" s="591">
        <f t="shared" si="42"/>
        <v>0</v>
      </c>
      <c r="L43" s="591">
        <f t="shared" si="42"/>
        <v>0</v>
      </c>
      <c r="M43" s="591">
        <f t="shared" si="42"/>
        <v>0</v>
      </c>
      <c r="N43" s="591">
        <f t="shared" si="42"/>
        <v>0</v>
      </c>
      <c r="O43" s="591">
        <f t="shared" si="42"/>
        <v>0</v>
      </c>
      <c r="P43" s="591">
        <f t="shared" si="42"/>
        <v>0</v>
      </c>
      <c r="Q43" s="591">
        <f t="shared" si="42"/>
        <v>0</v>
      </c>
      <c r="R43" s="591">
        <f t="shared" si="42"/>
        <v>0</v>
      </c>
      <c r="S43" s="591">
        <f t="shared" si="42"/>
        <v>0</v>
      </c>
      <c r="T43" s="591">
        <f t="shared" si="42"/>
        <v>0</v>
      </c>
      <c r="U43" s="591">
        <f t="shared" si="42"/>
        <v>0</v>
      </c>
      <c r="V43" s="591">
        <f t="shared" si="42"/>
        <v>4870.8</v>
      </c>
      <c r="W43" s="591">
        <f t="shared" si="42"/>
        <v>0</v>
      </c>
      <c r="X43" s="591">
        <f t="shared" si="42"/>
        <v>0</v>
      </c>
      <c r="Y43" s="591">
        <f t="shared" si="42"/>
        <v>0</v>
      </c>
      <c r="Z43" s="591">
        <f t="shared" si="42"/>
        <v>0</v>
      </c>
      <c r="AA43" s="591">
        <f t="shared" si="42"/>
        <v>0</v>
      </c>
      <c r="AB43" s="591">
        <f t="shared" si="42"/>
        <v>0</v>
      </c>
      <c r="AC43" s="591">
        <f t="shared" si="42"/>
        <v>0</v>
      </c>
      <c r="AD43" s="591">
        <f t="shared" si="42"/>
        <v>0</v>
      </c>
      <c r="AE43" s="591">
        <f t="shared" si="42"/>
        <v>0</v>
      </c>
      <c r="AF43" s="1043"/>
    </row>
    <row r="44" spans="1:32" s="589" customFormat="1" x14ac:dyDescent="0.25">
      <c r="A44" s="590" t="s">
        <v>32</v>
      </c>
      <c r="B44" s="591">
        <f t="shared" ref="B44:E47" si="43">B31+B9+B38</f>
        <v>7641.9</v>
      </c>
      <c r="C44" s="591">
        <f t="shared" si="43"/>
        <v>0</v>
      </c>
      <c r="D44" s="591">
        <f t="shared" si="43"/>
        <v>0</v>
      </c>
      <c r="E44" s="591">
        <f t="shared" si="43"/>
        <v>0</v>
      </c>
      <c r="F44" s="592">
        <f>E44/B44%</f>
        <v>0</v>
      </c>
      <c r="G44" s="592">
        <f t="shared" si="41"/>
        <v>0</v>
      </c>
      <c r="H44" s="591">
        <f t="shared" si="42"/>
        <v>0</v>
      </c>
      <c r="I44" s="591">
        <f t="shared" si="42"/>
        <v>0</v>
      </c>
      <c r="J44" s="591">
        <f t="shared" si="42"/>
        <v>0</v>
      </c>
      <c r="K44" s="591">
        <f t="shared" si="42"/>
        <v>0</v>
      </c>
      <c r="L44" s="591">
        <f t="shared" si="42"/>
        <v>0</v>
      </c>
      <c r="M44" s="591">
        <f t="shared" si="42"/>
        <v>0</v>
      </c>
      <c r="N44" s="591">
        <f t="shared" si="42"/>
        <v>0</v>
      </c>
      <c r="O44" s="591">
        <f t="shared" si="42"/>
        <v>0</v>
      </c>
      <c r="P44" s="591">
        <f t="shared" si="42"/>
        <v>0</v>
      </c>
      <c r="Q44" s="591">
        <f t="shared" si="42"/>
        <v>0</v>
      </c>
      <c r="R44" s="591">
        <f t="shared" si="42"/>
        <v>0</v>
      </c>
      <c r="S44" s="591">
        <f t="shared" si="42"/>
        <v>0</v>
      </c>
      <c r="T44" s="591">
        <f t="shared" si="42"/>
        <v>0</v>
      </c>
      <c r="U44" s="591">
        <f t="shared" si="42"/>
        <v>0</v>
      </c>
      <c r="V44" s="591">
        <f t="shared" si="42"/>
        <v>7641.9</v>
      </c>
      <c r="W44" s="591">
        <f t="shared" si="42"/>
        <v>0</v>
      </c>
      <c r="X44" s="591">
        <f t="shared" si="42"/>
        <v>0</v>
      </c>
      <c r="Y44" s="591">
        <f t="shared" si="42"/>
        <v>0</v>
      </c>
      <c r="Z44" s="591">
        <f t="shared" si="42"/>
        <v>0</v>
      </c>
      <c r="AA44" s="591">
        <f t="shared" si="42"/>
        <v>0</v>
      </c>
      <c r="AB44" s="591">
        <f t="shared" si="42"/>
        <v>0</v>
      </c>
      <c r="AC44" s="591">
        <f t="shared" si="42"/>
        <v>0</v>
      </c>
      <c r="AD44" s="591">
        <f t="shared" si="42"/>
        <v>0</v>
      </c>
      <c r="AE44" s="591">
        <f t="shared" si="42"/>
        <v>0</v>
      </c>
      <c r="AF44" s="1043"/>
    </row>
    <row r="45" spans="1:32" s="589" customFormat="1" x14ac:dyDescent="0.25">
      <c r="A45" s="590" t="s">
        <v>33</v>
      </c>
      <c r="B45" s="591">
        <f t="shared" si="43"/>
        <v>62534.5</v>
      </c>
      <c r="C45" s="591">
        <f t="shared" si="43"/>
        <v>826.1</v>
      </c>
      <c r="D45" s="591">
        <f t="shared" si="43"/>
        <v>826.1</v>
      </c>
      <c r="E45" s="591">
        <f t="shared" si="43"/>
        <v>826.1</v>
      </c>
      <c r="F45" s="592">
        <f>E45/B45%</f>
        <v>1.3210307910033661</v>
      </c>
      <c r="G45" s="592">
        <f t="shared" si="41"/>
        <v>99.999999999999986</v>
      </c>
      <c r="H45" s="591">
        <f t="shared" si="42"/>
        <v>232</v>
      </c>
      <c r="I45" s="591">
        <f t="shared" si="42"/>
        <v>232</v>
      </c>
      <c r="J45" s="591">
        <f t="shared" si="42"/>
        <v>0</v>
      </c>
      <c r="K45" s="591">
        <f t="shared" si="42"/>
        <v>0</v>
      </c>
      <c r="L45" s="591">
        <f t="shared" si="42"/>
        <v>724.1</v>
      </c>
      <c r="M45" s="591">
        <f t="shared" si="42"/>
        <v>594.1</v>
      </c>
      <c r="N45" s="591">
        <f t="shared" si="42"/>
        <v>0</v>
      </c>
      <c r="O45" s="591">
        <f t="shared" si="42"/>
        <v>0</v>
      </c>
      <c r="P45" s="591">
        <f t="shared" si="42"/>
        <v>597.1</v>
      </c>
      <c r="Q45" s="591">
        <f t="shared" si="42"/>
        <v>0</v>
      </c>
      <c r="R45" s="591">
        <f t="shared" si="42"/>
        <v>0</v>
      </c>
      <c r="S45" s="591">
        <f t="shared" si="42"/>
        <v>0</v>
      </c>
      <c r="T45" s="591">
        <f t="shared" si="42"/>
        <v>0</v>
      </c>
      <c r="U45" s="591">
        <f t="shared" si="42"/>
        <v>0</v>
      </c>
      <c r="V45" s="591">
        <f t="shared" si="42"/>
        <v>42430.5</v>
      </c>
      <c r="W45" s="591">
        <f t="shared" si="42"/>
        <v>0</v>
      </c>
      <c r="X45" s="591">
        <f t="shared" si="42"/>
        <v>0</v>
      </c>
      <c r="Y45" s="591">
        <f t="shared" si="42"/>
        <v>0</v>
      </c>
      <c r="Z45" s="591">
        <f t="shared" si="42"/>
        <v>16000</v>
      </c>
      <c r="AA45" s="591">
        <f t="shared" si="42"/>
        <v>0</v>
      </c>
      <c r="AB45" s="591">
        <f t="shared" si="42"/>
        <v>0</v>
      </c>
      <c r="AC45" s="591">
        <f t="shared" si="42"/>
        <v>0</v>
      </c>
      <c r="AD45" s="591">
        <f t="shared" si="42"/>
        <v>2550.8000000000002</v>
      </c>
      <c r="AE45" s="591">
        <f t="shared" si="42"/>
        <v>0</v>
      </c>
      <c r="AF45" s="1043"/>
    </row>
    <row r="46" spans="1:32" s="589" customFormat="1" ht="31.5" x14ac:dyDescent="0.25">
      <c r="A46" s="594" t="s">
        <v>174</v>
      </c>
      <c r="B46" s="591">
        <f t="shared" si="43"/>
        <v>3128.2</v>
      </c>
      <c r="C46" s="591">
        <f t="shared" si="43"/>
        <v>0</v>
      </c>
      <c r="D46" s="591">
        <f t="shared" si="43"/>
        <v>0</v>
      </c>
      <c r="E46" s="591">
        <f t="shared" si="43"/>
        <v>0</v>
      </c>
      <c r="F46" s="595">
        <f>E46/B46%</f>
        <v>0</v>
      </c>
      <c r="G46" s="592">
        <f t="shared" si="41"/>
        <v>0</v>
      </c>
      <c r="H46" s="591">
        <f t="shared" si="42"/>
        <v>0</v>
      </c>
      <c r="I46" s="591">
        <f t="shared" si="42"/>
        <v>0</v>
      </c>
      <c r="J46" s="591">
        <f t="shared" si="42"/>
        <v>0</v>
      </c>
      <c r="K46" s="591">
        <f t="shared" si="42"/>
        <v>0</v>
      </c>
      <c r="L46" s="591">
        <f t="shared" si="42"/>
        <v>0</v>
      </c>
      <c r="M46" s="591">
        <f t="shared" si="42"/>
        <v>0</v>
      </c>
      <c r="N46" s="591">
        <f t="shared" si="42"/>
        <v>0</v>
      </c>
      <c r="O46" s="591">
        <f t="shared" si="42"/>
        <v>0</v>
      </c>
      <c r="P46" s="591">
        <f t="shared" si="42"/>
        <v>0</v>
      </c>
      <c r="Q46" s="591">
        <f t="shared" si="42"/>
        <v>0</v>
      </c>
      <c r="R46" s="591">
        <f t="shared" si="42"/>
        <v>0</v>
      </c>
      <c r="S46" s="591">
        <f t="shared" si="42"/>
        <v>0</v>
      </c>
      <c r="T46" s="591">
        <f t="shared" si="42"/>
        <v>0</v>
      </c>
      <c r="U46" s="591">
        <f t="shared" si="42"/>
        <v>0</v>
      </c>
      <c r="V46" s="591">
        <f t="shared" si="42"/>
        <v>3128.2</v>
      </c>
      <c r="W46" s="591">
        <f t="shared" si="42"/>
        <v>0</v>
      </c>
      <c r="X46" s="591">
        <f t="shared" si="42"/>
        <v>0</v>
      </c>
      <c r="Y46" s="591">
        <f t="shared" si="42"/>
        <v>0</v>
      </c>
      <c r="Z46" s="591">
        <f t="shared" si="42"/>
        <v>0</v>
      </c>
      <c r="AA46" s="591">
        <f t="shared" si="42"/>
        <v>0</v>
      </c>
      <c r="AB46" s="591">
        <f t="shared" si="42"/>
        <v>0</v>
      </c>
      <c r="AC46" s="591">
        <f t="shared" si="42"/>
        <v>0</v>
      </c>
      <c r="AD46" s="591">
        <f t="shared" si="42"/>
        <v>0</v>
      </c>
      <c r="AE46" s="591">
        <f t="shared" si="42"/>
        <v>0</v>
      </c>
      <c r="AF46" s="1043"/>
    </row>
    <row r="47" spans="1:32" s="589" customFormat="1" x14ac:dyDescent="0.25">
      <c r="A47" s="590" t="s">
        <v>389</v>
      </c>
      <c r="B47" s="591">
        <f t="shared" si="43"/>
        <v>0</v>
      </c>
      <c r="C47" s="591">
        <f t="shared" si="43"/>
        <v>0</v>
      </c>
      <c r="D47" s="591">
        <f t="shared" si="43"/>
        <v>0</v>
      </c>
      <c r="E47" s="591">
        <f t="shared" si="43"/>
        <v>0</v>
      </c>
      <c r="F47" s="592">
        <f>IFERROR(D47/B47%,0)</f>
        <v>0</v>
      </c>
      <c r="G47" s="592">
        <f t="shared" si="41"/>
        <v>0</v>
      </c>
      <c r="H47" s="591">
        <f t="shared" si="42"/>
        <v>0</v>
      </c>
      <c r="I47" s="591">
        <f t="shared" si="42"/>
        <v>0</v>
      </c>
      <c r="J47" s="591">
        <f t="shared" si="42"/>
        <v>0</v>
      </c>
      <c r="K47" s="591">
        <f t="shared" si="42"/>
        <v>0</v>
      </c>
      <c r="L47" s="591">
        <f t="shared" si="42"/>
        <v>0</v>
      </c>
      <c r="M47" s="591">
        <f t="shared" si="42"/>
        <v>0</v>
      </c>
      <c r="N47" s="591">
        <f t="shared" si="42"/>
        <v>0</v>
      </c>
      <c r="O47" s="591">
        <f t="shared" si="42"/>
        <v>0</v>
      </c>
      <c r="P47" s="591">
        <f t="shared" si="42"/>
        <v>0</v>
      </c>
      <c r="Q47" s="591">
        <f t="shared" si="42"/>
        <v>0</v>
      </c>
      <c r="R47" s="591">
        <f t="shared" si="42"/>
        <v>0</v>
      </c>
      <c r="S47" s="591">
        <f t="shared" si="42"/>
        <v>0</v>
      </c>
      <c r="T47" s="591">
        <f t="shared" si="42"/>
        <v>0</v>
      </c>
      <c r="U47" s="591">
        <f t="shared" si="42"/>
        <v>0</v>
      </c>
      <c r="V47" s="591">
        <f t="shared" si="42"/>
        <v>0</v>
      </c>
      <c r="W47" s="591">
        <f t="shared" si="42"/>
        <v>0</v>
      </c>
      <c r="X47" s="591">
        <f t="shared" si="42"/>
        <v>0</v>
      </c>
      <c r="Y47" s="591">
        <f t="shared" si="42"/>
        <v>0</v>
      </c>
      <c r="Z47" s="591">
        <f t="shared" si="42"/>
        <v>0</v>
      </c>
      <c r="AA47" s="591">
        <f t="shared" si="42"/>
        <v>0</v>
      </c>
      <c r="AB47" s="591">
        <f t="shared" si="42"/>
        <v>0</v>
      </c>
      <c r="AC47" s="591">
        <f t="shared" si="42"/>
        <v>0</v>
      </c>
      <c r="AD47" s="591">
        <f t="shared" si="42"/>
        <v>0</v>
      </c>
      <c r="AE47" s="591">
        <f t="shared" si="42"/>
        <v>0</v>
      </c>
      <c r="AF47" s="1043"/>
    </row>
    <row r="48" spans="1:32" ht="31.5" x14ac:dyDescent="0.25">
      <c r="A48" s="373" t="s">
        <v>381</v>
      </c>
      <c r="B48" s="374">
        <f>B49+B50+B51+B53</f>
        <v>44692.600000000006</v>
      </c>
      <c r="C48" s="374">
        <f>C49+C50+C51+C53</f>
        <v>0</v>
      </c>
      <c r="D48" s="374">
        <f>D49+D50+D51+D53</f>
        <v>0</v>
      </c>
      <c r="E48" s="374">
        <f>E49+E50+E51+E53</f>
        <v>0</v>
      </c>
      <c r="F48" s="374">
        <f>E48/B48%</f>
        <v>0</v>
      </c>
      <c r="G48" s="374">
        <f t="shared" si="41"/>
        <v>0</v>
      </c>
      <c r="H48" s="374">
        <f>H49+H50+H51+H53</f>
        <v>0</v>
      </c>
      <c r="I48" s="374">
        <f t="shared" ref="I48:AE48" si="44">I49+I50+I51+I53</f>
        <v>0</v>
      </c>
      <c r="J48" s="374">
        <f t="shared" si="44"/>
        <v>0</v>
      </c>
      <c r="K48" s="374">
        <f t="shared" si="44"/>
        <v>0</v>
      </c>
      <c r="L48" s="374">
        <f t="shared" si="44"/>
        <v>130</v>
      </c>
      <c r="M48" s="374">
        <f t="shared" si="44"/>
        <v>0</v>
      </c>
      <c r="N48" s="374">
        <f t="shared" si="44"/>
        <v>0</v>
      </c>
      <c r="O48" s="374">
        <f t="shared" si="44"/>
        <v>0</v>
      </c>
      <c r="P48" s="374">
        <f t="shared" si="44"/>
        <v>0</v>
      </c>
      <c r="Q48" s="374">
        <f t="shared" si="44"/>
        <v>0</v>
      </c>
      <c r="R48" s="374">
        <f t="shared" si="44"/>
        <v>0</v>
      </c>
      <c r="S48" s="374">
        <f t="shared" si="44"/>
        <v>0</v>
      </c>
      <c r="T48" s="374">
        <f t="shared" si="44"/>
        <v>0</v>
      </c>
      <c r="U48" s="374">
        <f t="shared" si="44"/>
        <v>0</v>
      </c>
      <c r="V48" s="374">
        <f t="shared" si="44"/>
        <v>44562.600000000006</v>
      </c>
      <c r="W48" s="374">
        <f t="shared" si="44"/>
        <v>0</v>
      </c>
      <c r="X48" s="374">
        <f t="shared" si="44"/>
        <v>0</v>
      </c>
      <c r="Y48" s="374">
        <f t="shared" si="44"/>
        <v>0</v>
      </c>
      <c r="Z48" s="374">
        <f t="shared" si="44"/>
        <v>0</v>
      </c>
      <c r="AA48" s="374">
        <f t="shared" si="44"/>
        <v>0</v>
      </c>
      <c r="AB48" s="374">
        <f t="shared" si="44"/>
        <v>0</v>
      </c>
      <c r="AC48" s="374">
        <f t="shared" si="44"/>
        <v>0</v>
      </c>
      <c r="AD48" s="374">
        <f t="shared" si="44"/>
        <v>0</v>
      </c>
      <c r="AE48" s="374">
        <f t="shared" si="44"/>
        <v>0</v>
      </c>
      <c r="AF48" s="375"/>
    </row>
    <row r="49" spans="1:32" x14ac:dyDescent="0.25">
      <c r="A49" s="362" t="s">
        <v>169</v>
      </c>
      <c r="B49" s="363">
        <f t="shared" ref="B49:E53" si="45">B8</f>
        <v>4870.8</v>
      </c>
      <c r="C49" s="363">
        <f t="shared" si="45"/>
        <v>0</v>
      </c>
      <c r="D49" s="363">
        <f t="shared" si="45"/>
        <v>0</v>
      </c>
      <c r="E49" s="363">
        <f t="shared" si="45"/>
        <v>0</v>
      </c>
      <c r="F49" s="339">
        <f>E49/B49%</f>
        <v>0</v>
      </c>
      <c r="G49" s="339">
        <f t="shared" si="41"/>
        <v>0</v>
      </c>
      <c r="H49" s="363">
        <f t="shared" ref="H49:AE53" si="46">H8</f>
        <v>0</v>
      </c>
      <c r="I49" s="363">
        <f t="shared" si="46"/>
        <v>0</v>
      </c>
      <c r="J49" s="363">
        <f t="shared" si="46"/>
        <v>0</v>
      </c>
      <c r="K49" s="363">
        <f t="shared" si="46"/>
        <v>0</v>
      </c>
      <c r="L49" s="363">
        <f t="shared" si="46"/>
        <v>0</v>
      </c>
      <c r="M49" s="363">
        <f t="shared" si="46"/>
        <v>0</v>
      </c>
      <c r="N49" s="363">
        <f t="shared" si="46"/>
        <v>0</v>
      </c>
      <c r="O49" s="363">
        <f t="shared" si="46"/>
        <v>0</v>
      </c>
      <c r="P49" s="363">
        <f t="shared" si="46"/>
        <v>0</v>
      </c>
      <c r="Q49" s="363">
        <f t="shared" si="46"/>
        <v>0</v>
      </c>
      <c r="R49" s="363">
        <f t="shared" si="46"/>
        <v>0</v>
      </c>
      <c r="S49" s="363">
        <f t="shared" si="46"/>
        <v>0</v>
      </c>
      <c r="T49" s="363">
        <f t="shared" si="46"/>
        <v>0</v>
      </c>
      <c r="U49" s="363">
        <f t="shared" si="46"/>
        <v>0</v>
      </c>
      <c r="V49" s="363">
        <f t="shared" si="46"/>
        <v>4870.8</v>
      </c>
      <c r="W49" s="363">
        <f t="shared" si="46"/>
        <v>0</v>
      </c>
      <c r="X49" s="363">
        <f t="shared" si="46"/>
        <v>0</v>
      </c>
      <c r="Y49" s="363">
        <f t="shared" si="46"/>
        <v>0</v>
      </c>
      <c r="Z49" s="363">
        <f t="shared" si="46"/>
        <v>0</v>
      </c>
      <c r="AA49" s="363">
        <f t="shared" si="46"/>
        <v>0</v>
      </c>
      <c r="AB49" s="363">
        <f t="shared" si="46"/>
        <v>0</v>
      </c>
      <c r="AC49" s="363">
        <f t="shared" si="46"/>
        <v>0</v>
      </c>
      <c r="AD49" s="363">
        <f t="shared" si="46"/>
        <v>0</v>
      </c>
      <c r="AE49" s="363">
        <f t="shared" si="46"/>
        <v>0</v>
      </c>
      <c r="AF49" s="1044"/>
    </row>
    <row r="50" spans="1:32" x14ac:dyDescent="0.25">
      <c r="A50" s="362" t="s">
        <v>32</v>
      </c>
      <c r="B50" s="363">
        <f t="shared" si="45"/>
        <v>7641.9</v>
      </c>
      <c r="C50" s="363">
        <f t="shared" si="45"/>
        <v>0</v>
      </c>
      <c r="D50" s="363">
        <f t="shared" si="45"/>
        <v>0</v>
      </c>
      <c r="E50" s="363">
        <f t="shared" si="45"/>
        <v>0</v>
      </c>
      <c r="F50" s="339">
        <f>E50/B50%</f>
        <v>0</v>
      </c>
      <c r="G50" s="339">
        <f t="shared" si="41"/>
        <v>0</v>
      </c>
      <c r="H50" s="363">
        <f t="shared" si="46"/>
        <v>0</v>
      </c>
      <c r="I50" s="363">
        <f t="shared" si="46"/>
        <v>0</v>
      </c>
      <c r="J50" s="363">
        <f t="shared" si="46"/>
        <v>0</v>
      </c>
      <c r="K50" s="363">
        <f t="shared" si="46"/>
        <v>0</v>
      </c>
      <c r="L50" s="363">
        <f t="shared" si="46"/>
        <v>0</v>
      </c>
      <c r="M50" s="363">
        <f t="shared" si="46"/>
        <v>0</v>
      </c>
      <c r="N50" s="363">
        <f t="shared" si="46"/>
        <v>0</v>
      </c>
      <c r="O50" s="363">
        <f t="shared" si="46"/>
        <v>0</v>
      </c>
      <c r="P50" s="363">
        <f t="shared" si="46"/>
        <v>0</v>
      </c>
      <c r="Q50" s="363">
        <f t="shared" si="46"/>
        <v>0</v>
      </c>
      <c r="R50" s="363">
        <f t="shared" si="46"/>
        <v>0</v>
      </c>
      <c r="S50" s="363">
        <f t="shared" si="46"/>
        <v>0</v>
      </c>
      <c r="T50" s="363">
        <f t="shared" si="46"/>
        <v>0</v>
      </c>
      <c r="U50" s="363">
        <f t="shared" si="46"/>
        <v>0</v>
      </c>
      <c r="V50" s="363">
        <f t="shared" si="46"/>
        <v>7641.9</v>
      </c>
      <c r="W50" s="363">
        <f t="shared" si="46"/>
        <v>0</v>
      </c>
      <c r="X50" s="363">
        <f t="shared" si="46"/>
        <v>0</v>
      </c>
      <c r="Y50" s="363">
        <f t="shared" si="46"/>
        <v>0</v>
      </c>
      <c r="Z50" s="363">
        <f t="shared" si="46"/>
        <v>0</v>
      </c>
      <c r="AA50" s="363">
        <f t="shared" si="46"/>
        <v>0</v>
      </c>
      <c r="AB50" s="363">
        <f t="shared" si="46"/>
        <v>0</v>
      </c>
      <c r="AC50" s="363">
        <f t="shared" si="46"/>
        <v>0</v>
      </c>
      <c r="AD50" s="363">
        <f t="shared" si="46"/>
        <v>0</v>
      </c>
      <c r="AE50" s="363">
        <f t="shared" si="46"/>
        <v>0</v>
      </c>
      <c r="AF50" s="1044"/>
    </row>
    <row r="51" spans="1:32" x14ac:dyDescent="0.25">
      <c r="A51" s="362" t="s">
        <v>33</v>
      </c>
      <c r="B51" s="363">
        <f t="shared" si="45"/>
        <v>32179.9</v>
      </c>
      <c r="C51" s="363">
        <f t="shared" si="45"/>
        <v>0</v>
      </c>
      <c r="D51" s="363">
        <f t="shared" si="45"/>
        <v>0</v>
      </c>
      <c r="E51" s="363">
        <f t="shared" si="45"/>
        <v>0</v>
      </c>
      <c r="F51" s="339">
        <f>E51/B51%</f>
        <v>0</v>
      </c>
      <c r="G51" s="339">
        <f t="shared" si="41"/>
        <v>0</v>
      </c>
      <c r="H51" s="363">
        <f t="shared" si="46"/>
        <v>0</v>
      </c>
      <c r="I51" s="363">
        <f t="shared" si="46"/>
        <v>0</v>
      </c>
      <c r="J51" s="363">
        <f t="shared" si="46"/>
        <v>0</v>
      </c>
      <c r="K51" s="363">
        <f t="shared" si="46"/>
        <v>0</v>
      </c>
      <c r="L51" s="363">
        <f t="shared" si="46"/>
        <v>130</v>
      </c>
      <c r="M51" s="363">
        <f t="shared" si="46"/>
        <v>0</v>
      </c>
      <c r="N51" s="363">
        <f t="shared" si="46"/>
        <v>0</v>
      </c>
      <c r="O51" s="363">
        <f t="shared" si="46"/>
        <v>0</v>
      </c>
      <c r="P51" s="363">
        <f t="shared" si="46"/>
        <v>0</v>
      </c>
      <c r="Q51" s="363">
        <f t="shared" si="46"/>
        <v>0</v>
      </c>
      <c r="R51" s="363">
        <f t="shared" si="46"/>
        <v>0</v>
      </c>
      <c r="S51" s="363">
        <f t="shared" si="46"/>
        <v>0</v>
      </c>
      <c r="T51" s="363">
        <f t="shared" si="46"/>
        <v>0</v>
      </c>
      <c r="U51" s="363">
        <f t="shared" si="46"/>
        <v>0</v>
      </c>
      <c r="V51" s="363">
        <f t="shared" si="46"/>
        <v>32049.9</v>
      </c>
      <c r="W51" s="363">
        <f t="shared" si="46"/>
        <v>0</v>
      </c>
      <c r="X51" s="363">
        <f t="shared" si="46"/>
        <v>0</v>
      </c>
      <c r="Y51" s="363">
        <f t="shared" si="46"/>
        <v>0</v>
      </c>
      <c r="Z51" s="363">
        <f t="shared" si="46"/>
        <v>0</v>
      </c>
      <c r="AA51" s="363">
        <f t="shared" si="46"/>
        <v>0</v>
      </c>
      <c r="AB51" s="363">
        <f t="shared" si="46"/>
        <v>0</v>
      </c>
      <c r="AC51" s="363">
        <f t="shared" si="46"/>
        <v>0</v>
      </c>
      <c r="AD51" s="363">
        <f t="shared" si="46"/>
        <v>0</v>
      </c>
      <c r="AE51" s="363">
        <f t="shared" si="46"/>
        <v>0</v>
      </c>
      <c r="AF51" s="1044"/>
    </row>
    <row r="52" spans="1:32" ht="31.5" x14ac:dyDescent="0.25">
      <c r="A52" s="365" t="s">
        <v>174</v>
      </c>
      <c r="B52" s="363">
        <f t="shared" si="45"/>
        <v>3128.2</v>
      </c>
      <c r="C52" s="363">
        <f t="shared" si="45"/>
        <v>0</v>
      </c>
      <c r="D52" s="363">
        <f t="shared" si="45"/>
        <v>0</v>
      </c>
      <c r="E52" s="363">
        <f t="shared" si="45"/>
        <v>0</v>
      </c>
      <c r="F52" s="372">
        <f>E52/B52%</f>
        <v>0</v>
      </c>
      <c r="G52" s="339">
        <f t="shared" si="41"/>
        <v>0</v>
      </c>
      <c r="H52" s="363">
        <f t="shared" si="46"/>
        <v>0</v>
      </c>
      <c r="I52" s="363">
        <f t="shared" si="46"/>
        <v>0</v>
      </c>
      <c r="J52" s="363">
        <f t="shared" si="46"/>
        <v>0</v>
      </c>
      <c r="K52" s="363">
        <f t="shared" si="46"/>
        <v>0</v>
      </c>
      <c r="L52" s="363">
        <f t="shared" si="46"/>
        <v>0</v>
      </c>
      <c r="M52" s="363">
        <f t="shared" si="46"/>
        <v>0</v>
      </c>
      <c r="N52" s="363">
        <f t="shared" si="46"/>
        <v>0</v>
      </c>
      <c r="O52" s="363">
        <f t="shared" si="46"/>
        <v>0</v>
      </c>
      <c r="P52" s="363">
        <f t="shared" si="46"/>
        <v>0</v>
      </c>
      <c r="Q52" s="363">
        <f t="shared" si="46"/>
        <v>0</v>
      </c>
      <c r="R52" s="363">
        <f t="shared" si="46"/>
        <v>0</v>
      </c>
      <c r="S52" s="363">
        <f t="shared" si="46"/>
        <v>0</v>
      </c>
      <c r="T52" s="363">
        <f t="shared" si="46"/>
        <v>0</v>
      </c>
      <c r="U52" s="363">
        <f t="shared" si="46"/>
        <v>0</v>
      </c>
      <c r="V52" s="363">
        <f t="shared" si="46"/>
        <v>3128.2</v>
      </c>
      <c r="W52" s="363">
        <f t="shared" si="46"/>
        <v>0</v>
      </c>
      <c r="X52" s="363">
        <f t="shared" si="46"/>
        <v>0</v>
      </c>
      <c r="Y52" s="363">
        <f t="shared" si="46"/>
        <v>0</v>
      </c>
      <c r="Z52" s="363">
        <f t="shared" si="46"/>
        <v>0</v>
      </c>
      <c r="AA52" s="363">
        <f t="shared" si="46"/>
        <v>0</v>
      </c>
      <c r="AB52" s="363">
        <f t="shared" si="46"/>
        <v>0</v>
      </c>
      <c r="AC52" s="363">
        <f t="shared" si="46"/>
        <v>0</v>
      </c>
      <c r="AD52" s="363">
        <f t="shared" si="46"/>
        <v>0</v>
      </c>
      <c r="AE52" s="363">
        <f t="shared" si="46"/>
        <v>0</v>
      </c>
      <c r="AF52" s="1044"/>
    </row>
    <row r="53" spans="1:32" x14ac:dyDescent="0.25">
      <c r="A53" s="362" t="s">
        <v>389</v>
      </c>
      <c r="B53" s="363">
        <f t="shared" si="45"/>
        <v>0</v>
      </c>
      <c r="C53" s="363">
        <f t="shared" si="45"/>
        <v>0</v>
      </c>
      <c r="D53" s="363">
        <f t="shared" si="45"/>
        <v>0</v>
      </c>
      <c r="E53" s="363">
        <f t="shared" si="45"/>
        <v>0</v>
      </c>
      <c r="F53" s="339">
        <f t="shared" ref="F53:F59" si="47">IFERROR(D53/B53%,0)</f>
        <v>0</v>
      </c>
      <c r="G53" s="339">
        <f t="shared" si="41"/>
        <v>0</v>
      </c>
      <c r="H53" s="363">
        <f t="shared" si="46"/>
        <v>0</v>
      </c>
      <c r="I53" s="363">
        <f t="shared" si="46"/>
        <v>0</v>
      </c>
      <c r="J53" s="363">
        <f t="shared" si="46"/>
        <v>0</v>
      </c>
      <c r="K53" s="363">
        <f t="shared" si="46"/>
        <v>0</v>
      </c>
      <c r="L53" s="363">
        <f t="shared" si="46"/>
        <v>0</v>
      </c>
      <c r="M53" s="363">
        <f t="shared" si="46"/>
        <v>0</v>
      </c>
      <c r="N53" s="363">
        <f t="shared" si="46"/>
        <v>0</v>
      </c>
      <c r="O53" s="363">
        <f t="shared" si="46"/>
        <v>0</v>
      </c>
      <c r="P53" s="363">
        <f t="shared" si="46"/>
        <v>0</v>
      </c>
      <c r="Q53" s="363">
        <f t="shared" si="46"/>
        <v>0</v>
      </c>
      <c r="R53" s="363">
        <f t="shared" si="46"/>
        <v>0</v>
      </c>
      <c r="S53" s="363">
        <f t="shared" si="46"/>
        <v>0</v>
      </c>
      <c r="T53" s="363">
        <f t="shared" si="46"/>
        <v>0</v>
      </c>
      <c r="U53" s="363">
        <f t="shared" si="46"/>
        <v>0</v>
      </c>
      <c r="V53" s="363">
        <f t="shared" si="46"/>
        <v>0</v>
      </c>
      <c r="W53" s="363">
        <f t="shared" si="46"/>
        <v>0</v>
      </c>
      <c r="X53" s="363">
        <f t="shared" si="46"/>
        <v>0</v>
      </c>
      <c r="Y53" s="363">
        <f t="shared" si="46"/>
        <v>0</v>
      </c>
      <c r="Z53" s="363">
        <f t="shared" si="46"/>
        <v>0</v>
      </c>
      <c r="AA53" s="363">
        <f t="shared" si="46"/>
        <v>0</v>
      </c>
      <c r="AB53" s="363">
        <f t="shared" si="46"/>
        <v>0</v>
      </c>
      <c r="AC53" s="363">
        <f t="shared" si="46"/>
        <v>0</v>
      </c>
      <c r="AD53" s="363">
        <f t="shared" si="46"/>
        <v>0</v>
      </c>
      <c r="AE53" s="363">
        <f t="shared" si="46"/>
        <v>0</v>
      </c>
      <c r="AF53" s="1044"/>
    </row>
    <row r="54" spans="1:32" ht="31.5" x14ac:dyDescent="0.25">
      <c r="A54" s="373" t="s">
        <v>100</v>
      </c>
      <c r="B54" s="374">
        <f>B55+B56+B57+B59</f>
        <v>30354.600000000002</v>
      </c>
      <c r="C54" s="374">
        <f>C55+C56+C57+C59</f>
        <v>826.1</v>
      </c>
      <c r="D54" s="374">
        <f>D55+D56+D57+D59</f>
        <v>826.1</v>
      </c>
      <c r="E54" s="374">
        <f>E55+E56+E57+E59</f>
        <v>826.1</v>
      </c>
      <c r="F54" s="376">
        <f t="shared" si="47"/>
        <v>2.7214985537612089</v>
      </c>
      <c r="G54" s="374">
        <f t="shared" si="41"/>
        <v>99.999999999999986</v>
      </c>
      <c r="H54" s="374">
        <f t="shared" ref="H54:AE54" si="48">H55+H56+H57+H59</f>
        <v>232</v>
      </c>
      <c r="I54" s="374">
        <f t="shared" si="48"/>
        <v>232</v>
      </c>
      <c r="J54" s="374">
        <f t="shared" si="48"/>
        <v>0</v>
      </c>
      <c r="K54" s="374">
        <f t="shared" si="48"/>
        <v>0</v>
      </c>
      <c r="L54" s="374">
        <f t="shared" si="48"/>
        <v>594.1</v>
      </c>
      <c r="M54" s="374">
        <f t="shared" si="48"/>
        <v>594.1</v>
      </c>
      <c r="N54" s="374">
        <f t="shared" si="48"/>
        <v>0</v>
      </c>
      <c r="O54" s="374">
        <f t="shared" si="48"/>
        <v>0</v>
      </c>
      <c r="P54" s="374">
        <f t="shared" si="48"/>
        <v>597.1</v>
      </c>
      <c r="Q54" s="374">
        <f t="shared" si="48"/>
        <v>0</v>
      </c>
      <c r="R54" s="374">
        <f t="shared" si="48"/>
        <v>0</v>
      </c>
      <c r="S54" s="374">
        <f t="shared" si="48"/>
        <v>0</v>
      </c>
      <c r="T54" s="374">
        <f t="shared" si="48"/>
        <v>0</v>
      </c>
      <c r="U54" s="374">
        <f t="shared" si="48"/>
        <v>0</v>
      </c>
      <c r="V54" s="374">
        <f t="shared" si="48"/>
        <v>10380.6</v>
      </c>
      <c r="W54" s="374">
        <f t="shared" si="48"/>
        <v>0</v>
      </c>
      <c r="X54" s="374">
        <f t="shared" si="48"/>
        <v>0</v>
      </c>
      <c r="Y54" s="374">
        <f t="shared" si="48"/>
        <v>0</v>
      </c>
      <c r="Z54" s="374">
        <f t="shared" si="48"/>
        <v>16000</v>
      </c>
      <c r="AA54" s="374">
        <f t="shared" si="48"/>
        <v>0</v>
      </c>
      <c r="AB54" s="374">
        <f t="shared" si="48"/>
        <v>0</v>
      </c>
      <c r="AC54" s="374">
        <f t="shared" si="48"/>
        <v>0</v>
      </c>
      <c r="AD54" s="374">
        <f t="shared" si="48"/>
        <v>2550.8000000000002</v>
      </c>
      <c r="AE54" s="374">
        <f t="shared" si="48"/>
        <v>0</v>
      </c>
      <c r="AF54" s="375"/>
    </row>
    <row r="55" spans="1:32" x14ac:dyDescent="0.25">
      <c r="A55" s="362" t="s">
        <v>169</v>
      </c>
      <c r="B55" s="363">
        <f t="shared" ref="B55:E56" si="49">B30+B37</f>
        <v>0</v>
      </c>
      <c r="C55" s="363">
        <f t="shared" si="49"/>
        <v>0</v>
      </c>
      <c r="D55" s="363">
        <f t="shared" si="49"/>
        <v>0</v>
      </c>
      <c r="E55" s="363">
        <f t="shared" si="49"/>
        <v>0</v>
      </c>
      <c r="F55" s="339">
        <f t="shared" si="47"/>
        <v>0</v>
      </c>
      <c r="G55" s="339">
        <f t="shared" si="41"/>
        <v>0</v>
      </c>
      <c r="H55" s="363">
        <f>H30+H37</f>
        <v>0</v>
      </c>
      <c r="I55" s="363">
        <f t="shared" ref="I55:AE59" si="50">I30+I37</f>
        <v>0</v>
      </c>
      <c r="J55" s="363">
        <f t="shared" si="50"/>
        <v>0</v>
      </c>
      <c r="K55" s="363">
        <f t="shared" si="50"/>
        <v>0</v>
      </c>
      <c r="L55" s="363">
        <f t="shared" si="50"/>
        <v>0</v>
      </c>
      <c r="M55" s="363">
        <f t="shared" si="50"/>
        <v>0</v>
      </c>
      <c r="N55" s="363">
        <f t="shared" si="50"/>
        <v>0</v>
      </c>
      <c r="O55" s="363">
        <f t="shared" si="50"/>
        <v>0</v>
      </c>
      <c r="P55" s="363">
        <f t="shared" si="50"/>
        <v>0</v>
      </c>
      <c r="Q55" s="363">
        <f t="shared" si="50"/>
        <v>0</v>
      </c>
      <c r="R55" s="363">
        <f t="shared" si="50"/>
        <v>0</v>
      </c>
      <c r="S55" s="363">
        <f t="shared" si="50"/>
        <v>0</v>
      </c>
      <c r="T55" s="363">
        <f t="shared" si="50"/>
        <v>0</v>
      </c>
      <c r="U55" s="363">
        <f t="shared" si="50"/>
        <v>0</v>
      </c>
      <c r="V55" s="363">
        <f t="shared" si="50"/>
        <v>0</v>
      </c>
      <c r="W55" s="363">
        <f t="shared" si="50"/>
        <v>0</v>
      </c>
      <c r="X55" s="363">
        <f t="shared" si="50"/>
        <v>0</v>
      </c>
      <c r="Y55" s="363">
        <f t="shared" si="50"/>
        <v>0</v>
      </c>
      <c r="Z55" s="363">
        <f t="shared" si="50"/>
        <v>0</v>
      </c>
      <c r="AA55" s="363">
        <f t="shared" si="50"/>
        <v>0</v>
      </c>
      <c r="AB55" s="363">
        <f t="shared" si="50"/>
        <v>0</v>
      </c>
      <c r="AC55" s="363">
        <f t="shared" si="50"/>
        <v>0</v>
      </c>
      <c r="AD55" s="363">
        <f t="shared" si="50"/>
        <v>0</v>
      </c>
      <c r="AE55" s="363">
        <f t="shared" si="50"/>
        <v>0</v>
      </c>
      <c r="AF55" s="1044"/>
    </row>
    <row r="56" spans="1:32" x14ac:dyDescent="0.25">
      <c r="A56" s="362" t="s">
        <v>32</v>
      </c>
      <c r="B56" s="363">
        <f t="shared" si="49"/>
        <v>0</v>
      </c>
      <c r="C56" s="363">
        <f t="shared" si="49"/>
        <v>0</v>
      </c>
      <c r="D56" s="363">
        <f t="shared" si="49"/>
        <v>0</v>
      </c>
      <c r="E56" s="363">
        <f t="shared" si="49"/>
        <v>0</v>
      </c>
      <c r="F56" s="339">
        <f t="shared" si="47"/>
        <v>0</v>
      </c>
      <c r="G56" s="339">
        <f t="shared" si="41"/>
        <v>0</v>
      </c>
      <c r="H56" s="363">
        <f t="shared" ref="H56:W59" si="51">H31+H38</f>
        <v>0</v>
      </c>
      <c r="I56" s="363">
        <f t="shared" si="51"/>
        <v>0</v>
      </c>
      <c r="J56" s="363">
        <f t="shared" si="51"/>
        <v>0</v>
      </c>
      <c r="K56" s="363">
        <f t="shared" si="51"/>
        <v>0</v>
      </c>
      <c r="L56" s="363">
        <f t="shared" si="51"/>
        <v>0</v>
      </c>
      <c r="M56" s="363">
        <f t="shared" si="51"/>
        <v>0</v>
      </c>
      <c r="N56" s="363">
        <f t="shared" si="51"/>
        <v>0</v>
      </c>
      <c r="O56" s="363">
        <f t="shared" si="51"/>
        <v>0</v>
      </c>
      <c r="P56" s="363">
        <f t="shared" si="51"/>
        <v>0</v>
      </c>
      <c r="Q56" s="363">
        <f t="shared" si="51"/>
        <v>0</v>
      </c>
      <c r="R56" s="363">
        <f t="shared" si="51"/>
        <v>0</v>
      </c>
      <c r="S56" s="363">
        <f t="shared" si="51"/>
        <v>0</v>
      </c>
      <c r="T56" s="363">
        <f t="shared" si="51"/>
        <v>0</v>
      </c>
      <c r="U56" s="363">
        <f t="shared" si="51"/>
        <v>0</v>
      </c>
      <c r="V56" s="363">
        <f t="shared" si="51"/>
        <v>0</v>
      </c>
      <c r="W56" s="363">
        <f t="shared" si="51"/>
        <v>0</v>
      </c>
      <c r="X56" s="363">
        <f t="shared" si="50"/>
        <v>0</v>
      </c>
      <c r="Y56" s="363">
        <f t="shared" si="50"/>
        <v>0</v>
      </c>
      <c r="Z56" s="363">
        <f t="shared" si="50"/>
        <v>0</v>
      </c>
      <c r="AA56" s="363">
        <f t="shared" si="50"/>
        <v>0</v>
      </c>
      <c r="AB56" s="363">
        <f t="shared" si="50"/>
        <v>0</v>
      </c>
      <c r="AC56" s="363">
        <f t="shared" si="50"/>
        <v>0</v>
      </c>
      <c r="AD56" s="363">
        <f t="shared" si="50"/>
        <v>0</v>
      </c>
      <c r="AE56" s="363">
        <f t="shared" si="50"/>
        <v>0</v>
      </c>
      <c r="AF56" s="1044"/>
    </row>
    <row r="57" spans="1:32" x14ac:dyDescent="0.25">
      <c r="A57" s="362" t="s">
        <v>33</v>
      </c>
      <c r="B57" s="363">
        <f>B32+B39</f>
        <v>30354.600000000002</v>
      </c>
      <c r="C57" s="363">
        <f>C32+C39</f>
        <v>826.1</v>
      </c>
      <c r="D57" s="363">
        <f>D32+D39</f>
        <v>826.1</v>
      </c>
      <c r="E57" s="363">
        <f>E32+E39</f>
        <v>826.1</v>
      </c>
      <c r="F57" s="339">
        <f t="shared" si="47"/>
        <v>2.7214985537612089</v>
      </c>
      <c r="G57" s="339">
        <f t="shared" si="41"/>
        <v>99.999999999999986</v>
      </c>
      <c r="H57" s="363">
        <f t="shared" si="51"/>
        <v>232</v>
      </c>
      <c r="I57" s="363">
        <f t="shared" si="51"/>
        <v>232</v>
      </c>
      <c r="J57" s="363">
        <f t="shared" si="51"/>
        <v>0</v>
      </c>
      <c r="K57" s="363">
        <f t="shared" si="51"/>
        <v>0</v>
      </c>
      <c r="L57" s="363">
        <f t="shared" si="51"/>
        <v>594.1</v>
      </c>
      <c r="M57" s="363">
        <f t="shared" si="51"/>
        <v>594.1</v>
      </c>
      <c r="N57" s="363">
        <f t="shared" si="51"/>
        <v>0</v>
      </c>
      <c r="O57" s="363">
        <f t="shared" si="51"/>
        <v>0</v>
      </c>
      <c r="P57" s="363">
        <f t="shared" si="51"/>
        <v>597.1</v>
      </c>
      <c r="Q57" s="363">
        <f t="shared" si="51"/>
        <v>0</v>
      </c>
      <c r="R57" s="363">
        <f t="shared" si="51"/>
        <v>0</v>
      </c>
      <c r="S57" s="363">
        <f t="shared" si="51"/>
        <v>0</v>
      </c>
      <c r="T57" s="363">
        <f t="shared" si="51"/>
        <v>0</v>
      </c>
      <c r="U57" s="363">
        <f t="shared" si="51"/>
        <v>0</v>
      </c>
      <c r="V57" s="363">
        <f t="shared" si="51"/>
        <v>10380.6</v>
      </c>
      <c r="W57" s="363">
        <f t="shared" si="51"/>
        <v>0</v>
      </c>
      <c r="X57" s="363">
        <f t="shared" si="50"/>
        <v>0</v>
      </c>
      <c r="Y57" s="363">
        <f t="shared" si="50"/>
        <v>0</v>
      </c>
      <c r="Z57" s="363">
        <f t="shared" si="50"/>
        <v>16000</v>
      </c>
      <c r="AA57" s="363">
        <f t="shared" si="50"/>
        <v>0</v>
      </c>
      <c r="AB57" s="363">
        <f t="shared" si="50"/>
        <v>0</v>
      </c>
      <c r="AC57" s="363">
        <f t="shared" si="50"/>
        <v>0</v>
      </c>
      <c r="AD57" s="363">
        <f t="shared" si="50"/>
        <v>2550.8000000000002</v>
      </c>
      <c r="AE57" s="363">
        <f t="shared" si="50"/>
        <v>0</v>
      </c>
      <c r="AF57" s="1044"/>
    </row>
    <row r="58" spans="1:32" ht="31.5" x14ac:dyDescent="0.25">
      <c r="A58" s="365" t="s">
        <v>174</v>
      </c>
      <c r="B58" s="363">
        <f t="shared" ref="B58:C59" si="52">B33+B40</f>
        <v>0</v>
      </c>
      <c r="C58" s="363">
        <f t="shared" si="52"/>
        <v>0</v>
      </c>
      <c r="D58" s="363">
        <f>D33+D40</f>
        <v>0</v>
      </c>
      <c r="E58" s="363">
        <f t="shared" ref="E58:E59" si="53">E33+E40</f>
        <v>0</v>
      </c>
      <c r="F58" s="339">
        <f t="shared" si="47"/>
        <v>0</v>
      </c>
      <c r="G58" s="339">
        <f t="shared" si="41"/>
        <v>0</v>
      </c>
      <c r="H58" s="363">
        <f t="shared" si="51"/>
        <v>0</v>
      </c>
      <c r="I58" s="363">
        <f t="shared" si="51"/>
        <v>0</v>
      </c>
      <c r="J58" s="363">
        <f t="shared" si="51"/>
        <v>0</v>
      </c>
      <c r="K58" s="363">
        <f t="shared" si="51"/>
        <v>0</v>
      </c>
      <c r="L58" s="363">
        <f t="shared" si="51"/>
        <v>0</v>
      </c>
      <c r="M58" s="363">
        <f t="shared" si="51"/>
        <v>0</v>
      </c>
      <c r="N58" s="363">
        <f t="shared" si="51"/>
        <v>0</v>
      </c>
      <c r="O58" s="363">
        <f t="shared" si="51"/>
        <v>0</v>
      </c>
      <c r="P58" s="363">
        <f t="shared" si="51"/>
        <v>0</v>
      </c>
      <c r="Q58" s="363">
        <f t="shared" si="51"/>
        <v>0</v>
      </c>
      <c r="R58" s="363">
        <f t="shared" si="51"/>
        <v>0</v>
      </c>
      <c r="S58" s="363">
        <f t="shared" si="51"/>
        <v>0</v>
      </c>
      <c r="T58" s="363">
        <f t="shared" si="51"/>
        <v>0</v>
      </c>
      <c r="U58" s="363">
        <f t="shared" si="51"/>
        <v>0</v>
      </c>
      <c r="V58" s="363">
        <f t="shared" si="51"/>
        <v>0</v>
      </c>
      <c r="W58" s="363">
        <f t="shared" si="51"/>
        <v>0</v>
      </c>
      <c r="X58" s="363">
        <f t="shared" si="50"/>
        <v>0</v>
      </c>
      <c r="Y58" s="363">
        <f t="shared" si="50"/>
        <v>0</v>
      </c>
      <c r="Z58" s="363">
        <f t="shared" si="50"/>
        <v>0</v>
      </c>
      <c r="AA58" s="363">
        <f t="shared" si="50"/>
        <v>0</v>
      </c>
      <c r="AB58" s="363">
        <f t="shared" si="50"/>
        <v>0</v>
      </c>
      <c r="AC58" s="363">
        <f t="shared" si="50"/>
        <v>0</v>
      </c>
      <c r="AD58" s="363">
        <f t="shared" si="50"/>
        <v>0</v>
      </c>
      <c r="AE58" s="363">
        <f t="shared" si="50"/>
        <v>0</v>
      </c>
      <c r="AF58" s="1044"/>
    </row>
    <row r="59" spans="1:32" x14ac:dyDescent="0.25">
      <c r="A59" s="362" t="s">
        <v>389</v>
      </c>
      <c r="B59" s="363">
        <f t="shared" si="52"/>
        <v>0</v>
      </c>
      <c r="C59" s="363">
        <f t="shared" si="52"/>
        <v>0</v>
      </c>
      <c r="D59" s="363">
        <f t="shared" ref="D59" si="54">D34</f>
        <v>0</v>
      </c>
      <c r="E59" s="363">
        <f t="shared" si="53"/>
        <v>0</v>
      </c>
      <c r="F59" s="339">
        <f t="shared" si="47"/>
        <v>0</v>
      </c>
      <c r="G59" s="339">
        <f t="shared" si="41"/>
        <v>0</v>
      </c>
      <c r="H59" s="363">
        <f t="shared" si="51"/>
        <v>0</v>
      </c>
      <c r="I59" s="363">
        <f t="shared" si="51"/>
        <v>0</v>
      </c>
      <c r="J59" s="363">
        <f t="shared" si="51"/>
        <v>0</v>
      </c>
      <c r="K59" s="363">
        <f t="shared" si="51"/>
        <v>0</v>
      </c>
      <c r="L59" s="363">
        <f t="shared" si="51"/>
        <v>0</v>
      </c>
      <c r="M59" s="363">
        <f t="shared" si="51"/>
        <v>0</v>
      </c>
      <c r="N59" s="363">
        <f t="shared" si="51"/>
        <v>0</v>
      </c>
      <c r="O59" s="363">
        <f t="shared" si="51"/>
        <v>0</v>
      </c>
      <c r="P59" s="363">
        <f t="shared" si="51"/>
        <v>0</v>
      </c>
      <c r="Q59" s="363">
        <f t="shared" si="51"/>
        <v>0</v>
      </c>
      <c r="R59" s="363">
        <f t="shared" si="51"/>
        <v>0</v>
      </c>
      <c r="S59" s="363">
        <f t="shared" si="51"/>
        <v>0</v>
      </c>
      <c r="T59" s="363">
        <f t="shared" si="51"/>
        <v>0</v>
      </c>
      <c r="U59" s="363">
        <f t="shared" si="51"/>
        <v>0</v>
      </c>
      <c r="V59" s="363">
        <f t="shared" si="51"/>
        <v>0</v>
      </c>
      <c r="W59" s="363">
        <f t="shared" si="51"/>
        <v>0</v>
      </c>
      <c r="X59" s="363">
        <f t="shared" si="50"/>
        <v>0</v>
      </c>
      <c r="Y59" s="363">
        <f t="shared" si="50"/>
        <v>0</v>
      </c>
      <c r="Z59" s="363">
        <f t="shared" si="50"/>
        <v>0</v>
      </c>
      <c r="AA59" s="363">
        <f t="shared" si="50"/>
        <v>0</v>
      </c>
      <c r="AB59" s="363">
        <f t="shared" si="50"/>
        <v>0</v>
      </c>
      <c r="AC59" s="363">
        <f t="shared" si="50"/>
        <v>0</v>
      </c>
      <c r="AD59" s="363">
        <f t="shared" si="50"/>
        <v>0</v>
      </c>
      <c r="AE59" s="363">
        <f t="shared" si="50"/>
        <v>0</v>
      </c>
      <c r="AF59" s="1044"/>
    </row>
  </sheetData>
  <customSheetViews>
    <customSheetView guid="{533DC55B-6AD4-4674-9488-685EF2039F3E}" scale="80">
      <pane xSplit="1" ySplit="4" topLeftCell="B5" activePane="bottomRight" state="frozen"/>
      <selection pane="bottomRight" activeCell="A20" sqref="A20:AE20"/>
      <pageMargins left="0.7" right="0.7" top="0.75" bottom="0.75" header="0.3" footer="0.3"/>
      <pageSetup paperSize="9" orientation="portrait" r:id="rId1"/>
    </customSheetView>
    <customSheetView guid="{85F4575B-DBC5-482A-9916-255D8F0BC94E}" scale="80">
      <pane xSplit="1" ySplit="4" topLeftCell="B38" activePane="bottomRight" state="frozen"/>
      <selection pane="bottomRight" activeCell="D40" sqref="D40"/>
      <pageMargins left="0.7" right="0.7" top="0.75" bottom="0.75" header="0.3" footer="0.3"/>
      <pageSetup paperSize="9" orientation="portrait" r:id="rId2"/>
    </customSheetView>
    <customSheetView guid="{B1BF08D1-D416-4B47-ADD0-4F59132DC9E8}" scale="80">
      <pane xSplit="1" ySplit="4" topLeftCell="B35" activePane="bottomRight" state="frozen"/>
      <selection pane="bottomRight" activeCell="F40" sqref="F40"/>
      <pageMargins left="0.7" right="0.7" top="0.75" bottom="0.75" header="0.3" footer="0.3"/>
      <pageSetup paperSize="9" orientation="portrait" r:id="rId3"/>
    </customSheetView>
    <customSheetView guid="{4F41B9CC-959D-442C-80B0-1F0DB2C76D27}" scale="80">
      <pane xSplit="1" ySplit="4" topLeftCell="B35" activePane="bottomRight" state="frozen"/>
      <selection pane="bottomRight" activeCell="F40" sqref="F40"/>
      <pageMargins left="0.7" right="0.7" top="0.75" bottom="0.75" header="0.3" footer="0.3"/>
      <pageSetup paperSize="9" orientation="portrait" r:id="rId4"/>
    </customSheetView>
    <customSheetView guid="{602C8EDB-B9EF-4C85-B0D5-0558C3A0ABAB}" scale="80">
      <pane xSplit="1" ySplit="4" topLeftCell="B35" activePane="bottomRight" state="frozen"/>
      <selection pane="bottomRight" activeCell="F40" sqref="F40"/>
      <pageMargins left="0.7" right="0.7" top="0.75" bottom="0.75" header="0.3" footer="0.3"/>
      <pageSetup paperSize="9" orientation="portrait" r:id="rId5"/>
    </customSheetView>
    <customSheetView guid="{D01FA037-9AEC-4167-ADB8-2F327C01ECE6}" scale="80">
      <pane xSplit="1" ySplit="4" topLeftCell="B35" activePane="bottomRight" state="frozen"/>
      <selection pane="bottomRight" activeCell="F40" sqref="F40"/>
      <pageMargins left="0.7" right="0.7" top="0.75" bottom="0.75" header="0.3" footer="0.3"/>
      <pageSetup paperSize="9" orientation="portrait" r:id="rId6"/>
    </customSheetView>
    <customSheetView guid="{84867370-1F3E-4368-AF79-FBCE46FFFE92}" scale="80">
      <pane xSplit="1" ySplit="4" topLeftCell="B35" activePane="bottomRight" state="frozen"/>
      <selection pane="bottomRight" activeCell="F40" sqref="F40"/>
      <pageMargins left="0.7" right="0.7" top="0.75" bottom="0.75" header="0.3" footer="0.3"/>
      <pageSetup paperSize="9" orientation="portrait" r:id="rId7"/>
    </customSheetView>
    <customSheetView guid="{0C2B9C2A-7B94-41EF-A2E6-F8AC9A67DE25}" scale="80">
      <pane xSplit="1" ySplit="4" topLeftCell="B35" activePane="bottomRight" state="frozen"/>
      <selection pane="bottomRight" activeCell="F40" sqref="F40"/>
      <pageMargins left="0.7" right="0.7" top="0.75" bottom="0.75" header="0.3" footer="0.3"/>
      <pageSetup paperSize="9" orientation="portrait" r:id="rId8"/>
    </customSheetView>
    <customSheetView guid="{47B983AB-FE5F-4725-860C-A2F29420596D}" scale="80">
      <pane xSplit="1" ySplit="4" topLeftCell="B35" activePane="bottomRight" state="frozen"/>
      <selection pane="bottomRight" activeCell="F40" sqref="F40"/>
      <pageMargins left="0.7" right="0.7" top="0.75" bottom="0.75" header="0.3" footer="0.3"/>
      <pageSetup paperSize="9" orientation="portrait" r:id="rId9"/>
    </customSheetView>
    <customSheetView guid="{DAA8A688-7558-4B5B-8DBD-E2629BD9E9A8}" topLeftCell="A34">
      <selection activeCell="A38" sqref="A38"/>
      <pageMargins left="0.7" right="0.7" top="0.75" bottom="0.75" header="0.3" footer="0.3"/>
    </customSheetView>
    <customSheetView guid="{BCD82A82-B724-4763-8580-D765356E09BA}" scale="70">
      <selection sqref="A1:Y1"/>
      <pageMargins left="0.7" right="0.7" top="0.75" bottom="0.75" header="0.3" footer="0.3"/>
    </customSheetView>
    <customSheetView guid="{C236B307-BD63-48C4-A75F-B3F3717BF55C}" topLeftCell="A34">
      <selection activeCell="A38" sqref="A38"/>
      <pageMargins left="0.7" right="0.7" top="0.75" bottom="0.75" header="0.3" footer="0.3"/>
    </customSheetView>
    <customSheetView guid="{87218168-6C8E-4D5B-A5E5-DCCC26803AA3}" topLeftCell="A34">
      <selection activeCell="A38" sqref="A38"/>
      <pageMargins left="0.7" right="0.7" top="0.75" bottom="0.75" header="0.3" footer="0.3"/>
    </customSheetView>
    <customSheetView guid="{874882D1-E741-4CCA-BF0D-E72FA60B771D}" topLeftCell="A10">
      <selection activeCell="A38" sqref="A38"/>
      <pageMargins left="0.7" right="0.7" top="0.75" bottom="0.75" header="0.3" footer="0.3"/>
    </customSheetView>
    <customSheetView guid="{B82BA08A-1A30-4F4D-A478-74A6BD09EA97}" topLeftCell="A34">
      <selection activeCell="A38" sqref="A38"/>
      <pageMargins left="0.7" right="0.7" top="0.75" bottom="0.75" header="0.3" footer="0.3"/>
    </customSheetView>
    <customSheetView guid="{4D0DFB57-2CBA-42F2-9A97-C453A6851FBA}" scale="80">
      <pane xSplit="1" ySplit="4" topLeftCell="B35" activePane="bottomRight" state="frozen"/>
      <selection pane="bottomRight" activeCell="F40" sqref="F40"/>
      <pageMargins left="0.7" right="0.7" top="0.75" bottom="0.75" header="0.3" footer="0.3"/>
      <pageSetup paperSize="9" orientation="portrait" r:id="rId10"/>
    </customSheetView>
    <customSheetView guid="{770624BF-07F3-44B6-94C3-4CC447CDD45C}" scale="80">
      <pane xSplit="1" ySplit="4" topLeftCell="B35" activePane="bottomRight" state="frozen"/>
      <selection pane="bottomRight" activeCell="F40" sqref="F40"/>
      <pageMargins left="0.7" right="0.7" top="0.75" bottom="0.75" header="0.3" footer="0.3"/>
      <pageSetup paperSize="9" orientation="portrait" r:id="rId11"/>
    </customSheetView>
    <customSheetView guid="{E508E171-4ED9-4B07-84DF-DA28C60E1969}" scale="80">
      <pane xSplit="1" ySplit="4" topLeftCell="B35" activePane="bottomRight" state="frozen"/>
      <selection pane="bottomRight" activeCell="F40" sqref="F40"/>
      <pageMargins left="0.7" right="0.7" top="0.75" bottom="0.75" header="0.3" footer="0.3"/>
      <pageSetup paperSize="9" orientation="portrait" r:id="rId12"/>
    </customSheetView>
    <customSheetView guid="{74870EE6-26B9-40F7-9DC9-260EF16D8959}" scale="80">
      <pane xSplit="1" ySplit="4" topLeftCell="B35" activePane="bottomRight" state="frozen"/>
      <selection pane="bottomRight" activeCell="F40" sqref="F40"/>
      <pageMargins left="0.7" right="0.7" top="0.75" bottom="0.75" header="0.3" footer="0.3"/>
      <pageSetup paperSize="9" orientation="portrait" r:id="rId13"/>
    </customSheetView>
    <customSheetView guid="{009B3074-D8EC-4952-BF50-43CD64449612}" scale="80">
      <pane xSplit="1" ySplit="4" topLeftCell="B35" activePane="bottomRight" state="frozen"/>
      <selection pane="bottomRight" activeCell="F40" sqref="F40"/>
      <pageMargins left="0.7" right="0.7" top="0.75" bottom="0.75" header="0.3" footer="0.3"/>
      <pageSetup paperSize="9" orientation="portrait" r:id="rId14"/>
    </customSheetView>
    <customSheetView guid="{F679EF4A-C5FD-4B86-B87B-D85968E0F2CA}" scale="80">
      <pane xSplit="1" ySplit="4" topLeftCell="B35" activePane="bottomRight" state="frozen"/>
      <selection pane="bottomRight" activeCell="F40" sqref="F40"/>
      <pageMargins left="0.7" right="0.7" top="0.75" bottom="0.75" header="0.3" footer="0.3"/>
      <pageSetup paperSize="9" orientation="portrait" r:id="rId15"/>
    </customSheetView>
    <customSheetView guid="{959E901C-5DDE-42EE-AE94-AB8976B5E00B}" scale="80">
      <pane xSplit="1" ySplit="4" topLeftCell="B35" activePane="bottomRight" state="frozen"/>
      <selection pane="bottomRight" activeCell="F40" sqref="F40"/>
      <pageMargins left="0.7" right="0.7" top="0.75" bottom="0.75" header="0.3" footer="0.3"/>
      <pageSetup paperSize="9" orientation="portrait" r:id="rId16"/>
    </customSheetView>
    <customSheetView guid="{69DABE6F-6182-4403-A4A2-969F10F1C13A}" scale="80">
      <pane xSplit="1" ySplit="4" topLeftCell="B35" activePane="bottomRight" state="frozen"/>
      <selection pane="bottomRight" activeCell="F40" sqref="F40"/>
      <pageMargins left="0.7" right="0.7" top="0.75" bottom="0.75" header="0.3" footer="0.3"/>
      <pageSetup paperSize="9" orientation="portrait" r:id="rId17"/>
    </customSheetView>
    <customSheetView guid="{09C3E205-981E-4A4E-BE89-8B7044192060}" scale="80">
      <pane xSplit="1" ySplit="4" topLeftCell="B38" activePane="bottomRight" state="frozen"/>
      <selection pane="bottomRight" activeCell="D40" sqref="D40"/>
      <pageMargins left="0.7" right="0.7" top="0.75" bottom="0.75" header="0.3" footer="0.3"/>
      <pageSetup paperSize="9" orientation="portrait" r:id="rId18"/>
    </customSheetView>
    <customSheetView guid="{6A602CB8-B24C-4ED4-B378-B27354BE0A1A}" scale="80">
      <pane xSplit="1" ySplit="4" topLeftCell="B38" activePane="bottomRight" state="frozen"/>
      <selection pane="bottomRight" activeCell="D40" sqref="D40"/>
      <pageMargins left="0.7" right="0.7" top="0.75" bottom="0.75" header="0.3" footer="0.3"/>
      <pageSetup paperSize="9" orientation="portrait" r:id="rId19"/>
    </customSheetView>
    <customSheetView guid="{7C130984-112A-4861-AA43-E2940708E3DC}" scale="80" state="hidden">
      <pane xSplit="1" ySplit="4" topLeftCell="B38" activePane="bottomRight" state="frozen"/>
      <selection pane="bottomRight" activeCell="A54" activeCellId="2" sqref="A17 A48 A54"/>
      <pageMargins left="0.7" right="0.7" top="0.75" bottom="0.75" header="0.3" footer="0.3"/>
      <pageSetup paperSize="9" orientation="portrait" r:id="rId20"/>
    </customSheetView>
  </customSheetViews>
  <mergeCells count="53">
    <mergeCell ref="W3:W4"/>
    <mergeCell ref="Z2:AA2"/>
    <mergeCell ref="A1:Y1"/>
    <mergeCell ref="A2:A4"/>
    <mergeCell ref="B2:B4"/>
    <mergeCell ref="C2:C4"/>
    <mergeCell ref="D2:D4"/>
    <mergeCell ref="E2:E4"/>
    <mergeCell ref="F2:G2"/>
    <mergeCell ref="H2:I2"/>
    <mergeCell ref="J2:K2"/>
    <mergeCell ref="L2:M2"/>
    <mergeCell ref="AB2:AC2"/>
    <mergeCell ref="AD2:AE2"/>
    <mergeCell ref="AD3:AD4"/>
    <mergeCell ref="AE3:AE4"/>
    <mergeCell ref="A6:AE6"/>
    <mergeCell ref="F3:F4"/>
    <mergeCell ref="G3:G4"/>
    <mergeCell ref="N3:N4"/>
    <mergeCell ref="O3:O4"/>
    <mergeCell ref="P3:P4"/>
    <mergeCell ref="Q3:Q4"/>
    <mergeCell ref="N2:O2"/>
    <mergeCell ref="P2:Q2"/>
    <mergeCell ref="R2:S2"/>
    <mergeCell ref="T2:U2"/>
    <mergeCell ref="V2:W2"/>
    <mergeCell ref="AF6:AF12"/>
    <mergeCell ref="A13:AE13"/>
    <mergeCell ref="AF13:AF19"/>
    <mergeCell ref="X3:X4"/>
    <mergeCell ref="Y3:Y4"/>
    <mergeCell ref="Z3:Z4"/>
    <mergeCell ref="AA3:AA4"/>
    <mergeCell ref="AB3:AB4"/>
    <mergeCell ref="AC3:AC4"/>
    <mergeCell ref="R3:R4"/>
    <mergeCell ref="S3:S4"/>
    <mergeCell ref="T3:T4"/>
    <mergeCell ref="U3:U4"/>
    <mergeCell ref="AF2:AF4"/>
    <mergeCell ref="X2:Y2"/>
    <mergeCell ref="V3:V4"/>
    <mergeCell ref="AF41:AF47"/>
    <mergeCell ref="AF49:AF53"/>
    <mergeCell ref="AF55:AF59"/>
    <mergeCell ref="A20:AE20"/>
    <mergeCell ref="AF20:AF26"/>
    <mergeCell ref="A27:AE27"/>
    <mergeCell ref="A28:AE28"/>
    <mergeCell ref="AF28:AF34"/>
    <mergeCell ref="A35:AE35"/>
  </mergeCells>
  <hyperlinks>
    <hyperlink ref="A1:Y1" location="Оглавление!A1" display="Отчет о ходе реализации (сетевой график) муниципальной программы &quot;Формирование комфортной городской среды в городе Когалыме&quot; "/>
  </hyperlinks>
  <pageMargins left="0.7" right="0.7" top="0.75" bottom="0.75" header="0.3" footer="0.3"/>
  <pageSetup paperSize="9" orientation="portrait" r:id="rId2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zoomScale="80" zoomScaleNormal="80" workbookViewId="0">
      <pane xSplit="7" ySplit="7" topLeftCell="AF74" activePane="bottomRight" state="frozen"/>
      <selection activeCell="A54" activeCellId="2" sqref="A17 A48 A54"/>
      <selection pane="topRight" activeCell="A54" activeCellId="2" sqref="A17 A48 A54"/>
      <selection pane="bottomLeft" activeCell="A54" activeCellId="2" sqref="A17 A48 A54"/>
      <selection pane="bottomRight" activeCell="A54" activeCellId="2" sqref="A17 A48 A54"/>
    </sheetView>
  </sheetViews>
  <sheetFormatPr defaultColWidth="9.140625" defaultRowHeight="15" x14ac:dyDescent="0.25"/>
  <cols>
    <col min="1" max="1" width="44.42578125" style="379" customWidth="1"/>
    <col min="2" max="7" width="13.28515625" style="379" customWidth="1"/>
    <col min="8" max="17" width="10.7109375" style="379" customWidth="1"/>
    <col min="18" max="18" width="13.7109375" style="379" customWidth="1"/>
    <col min="19" max="25" width="10.7109375" style="379" customWidth="1"/>
    <col min="26" max="26" width="12.7109375" style="379" customWidth="1"/>
    <col min="27" max="27" width="12.28515625" style="379" customWidth="1"/>
    <col min="28" max="28" width="13" style="379" customWidth="1"/>
    <col min="29" max="31" width="10.7109375" style="379" customWidth="1"/>
    <col min="32" max="32" width="51.7109375" style="379" customWidth="1"/>
    <col min="33" max="16384" width="9.140625" style="379"/>
  </cols>
  <sheetData>
    <row r="1" spans="1:33" ht="18.75" x14ac:dyDescent="0.25">
      <c r="A1" s="1072" t="s">
        <v>443</v>
      </c>
      <c r="B1" s="1072"/>
      <c r="C1" s="1072"/>
      <c r="D1" s="1072"/>
      <c r="E1" s="1072"/>
      <c r="F1" s="1072"/>
      <c r="G1" s="1072"/>
      <c r="H1" s="1072"/>
      <c r="I1" s="1072"/>
      <c r="J1" s="1072"/>
      <c r="K1" s="1072"/>
      <c r="L1" s="1072"/>
      <c r="M1" s="1072"/>
      <c r="N1" s="1072"/>
      <c r="O1" s="1072"/>
      <c r="P1" s="1072"/>
      <c r="Q1" s="1072"/>
      <c r="R1" s="1072"/>
      <c r="S1" s="1072"/>
      <c r="T1" s="1072"/>
      <c r="U1" s="1072"/>
      <c r="V1" s="1072"/>
      <c r="W1" s="1072"/>
      <c r="X1" s="377"/>
      <c r="Y1" s="377"/>
      <c r="Z1" s="377"/>
      <c r="AA1" s="377"/>
      <c r="AB1" s="377"/>
      <c r="AC1" s="377"/>
      <c r="AD1" s="377"/>
      <c r="AE1" s="378"/>
      <c r="AF1" s="378"/>
    </row>
    <row r="2" spans="1:33" ht="15.75" x14ac:dyDescent="0.25">
      <c r="A2" s="378"/>
      <c r="B2" s="378"/>
      <c r="C2" s="380"/>
      <c r="D2" s="380"/>
      <c r="E2" s="380"/>
      <c r="F2" s="380"/>
      <c r="G2" s="380"/>
      <c r="H2" s="381"/>
      <c r="I2" s="378"/>
      <c r="J2" s="378"/>
      <c r="K2" s="378"/>
      <c r="L2" s="378"/>
      <c r="M2" s="378"/>
      <c r="N2" s="378"/>
      <c r="O2" s="378"/>
      <c r="P2" s="378"/>
      <c r="Q2" s="378"/>
      <c r="R2" s="378"/>
      <c r="S2" s="378"/>
      <c r="T2" s="378"/>
      <c r="U2" s="378"/>
      <c r="V2" s="378"/>
      <c r="W2" s="378"/>
      <c r="X2" s="378"/>
      <c r="Y2" s="378"/>
      <c r="Z2" s="378"/>
      <c r="AA2" s="378"/>
      <c r="AB2" s="378"/>
      <c r="AC2" s="378"/>
      <c r="AD2" s="378"/>
      <c r="AE2" s="378"/>
      <c r="AF2" s="378"/>
    </row>
    <row r="3" spans="1:33" ht="15.75" x14ac:dyDescent="0.25">
      <c r="A3" s="1082" t="s">
        <v>444</v>
      </c>
      <c r="B3" s="1083" t="s">
        <v>399</v>
      </c>
      <c r="C3" s="1085" t="s">
        <v>516</v>
      </c>
      <c r="D3" s="1085" t="s">
        <v>517</v>
      </c>
      <c r="E3" s="1085" t="s">
        <v>518</v>
      </c>
      <c r="F3" s="1087" t="s">
        <v>400</v>
      </c>
      <c r="G3" s="1088"/>
      <c r="H3" s="996" t="s">
        <v>7</v>
      </c>
      <c r="I3" s="997"/>
      <c r="J3" s="996" t="s">
        <v>8</v>
      </c>
      <c r="K3" s="997"/>
      <c r="L3" s="996" t="s">
        <v>9</v>
      </c>
      <c r="M3" s="997"/>
      <c r="N3" s="996" t="s">
        <v>10</v>
      </c>
      <c r="O3" s="997"/>
      <c r="P3" s="996" t="s">
        <v>11</v>
      </c>
      <c r="Q3" s="997"/>
      <c r="R3" s="996" t="s">
        <v>12</v>
      </c>
      <c r="S3" s="997"/>
      <c r="T3" s="996" t="s">
        <v>13</v>
      </c>
      <c r="U3" s="997"/>
      <c r="V3" s="996" t="s">
        <v>14</v>
      </c>
      <c r="W3" s="997"/>
      <c r="X3" s="996" t="s">
        <v>15</v>
      </c>
      <c r="Y3" s="997"/>
      <c r="Z3" s="996" t="s">
        <v>16</v>
      </c>
      <c r="AA3" s="997"/>
      <c r="AB3" s="996" t="s">
        <v>17</v>
      </c>
      <c r="AC3" s="997"/>
      <c r="AD3" s="1077" t="s">
        <v>18</v>
      </c>
      <c r="AE3" s="1077"/>
      <c r="AF3" s="1078" t="s">
        <v>19</v>
      </c>
    </row>
    <row r="4" spans="1:33" ht="47.25" x14ac:dyDescent="0.25">
      <c r="A4" s="1082"/>
      <c r="B4" s="1084"/>
      <c r="C4" s="1086"/>
      <c r="D4" s="1086"/>
      <c r="E4" s="1086"/>
      <c r="F4" s="383" t="s">
        <v>401</v>
      </c>
      <c r="G4" s="383" t="s">
        <v>21</v>
      </c>
      <c r="H4" s="384" t="s">
        <v>165</v>
      </c>
      <c r="I4" s="384" t="s">
        <v>445</v>
      </c>
      <c r="J4" s="384" t="s">
        <v>165</v>
      </c>
      <c r="K4" s="385" t="s">
        <v>445</v>
      </c>
      <c r="L4" s="384" t="s">
        <v>165</v>
      </c>
      <c r="M4" s="384" t="s">
        <v>445</v>
      </c>
      <c r="N4" s="384" t="s">
        <v>165</v>
      </c>
      <c r="O4" s="384" t="s">
        <v>445</v>
      </c>
      <c r="P4" s="384" t="s">
        <v>165</v>
      </c>
      <c r="Q4" s="384" t="s">
        <v>445</v>
      </c>
      <c r="R4" s="384" t="s">
        <v>165</v>
      </c>
      <c r="S4" s="384" t="s">
        <v>445</v>
      </c>
      <c r="T4" s="384" t="s">
        <v>165</v>
      </c>
      <c r="U4" s="384" t="s">
        <v>445</v>
      </c>
      <c r="V4" s="384" t="s">
        <v>165</v>
      </c>
      <c r="W4" s="384" t="s">
        <v>445</v>
      </c>
      <c r="X4" s="384" t="s">
        <v>165</v>
      </c>
      <c r="Y4" s="384" t="s">
        <v>445</v>
      </c>
      <c r="Z4" s="384" t="s">
        <v>165</v>
      </c>
      <c r="AA4" s="384" t="s">
        <v>445</v>
      </c>
      <c r="AB4" s="384" t="s">
        <v>165</v>
      </c>
      <c r="AC4" s="384" t="s">
        <v>445</v>
      </c>
      <c r="AD4" s="384" t="s">
        <v>165</v>
      </c>
      <c r="AE4" s="384" t="s">
        <v>445</v>
      </c>
      <c r="AF4" s="1078"/>
    </row>
    <row r="5" spans="1:33" ht="15.75" x14ac:dyDescent="0.25">
      <c r="A5" s="384">
        <v>1</v>
      </c>
      <c r="B5" s="386">
        <v>2</v>
      </c>
      <c r="C5" s="387">
        <v>3</v>
      </c>
      <c r="D5" s="387">
        <v>4</v>
      </c>
      <c r="E5" s="387">
        <v>5</v>
      </c>
      <c r="F5" s="385">
        <v>6</v>
      </c>
      <c r="G5" s="385">
        <v>7</v>
      </c>
      <c r="H5" s="384">
        <v>8</v>
      </c>
      <c r="I5" s="384">
        <v>9</v>
      </c>
      <c r="J5" s="384">
        <v>10</v>
      </c>
      <c r="K5" s="384">
        <v>11</v>
      </c>
      <c r="L5" s="384">
        <v>12</v>
      </c>
      <c r="M5" s="384">
        <v>13</v>
      </c>
      <c r="N5" s="384">
        <v>14</v>
      </c>
      <c r="O5" s="384">
        <v>15</v>
      </c>
      <c r="P5" s="384">
        <v>16</v>
      </c>
      <c r="Q5" s="384">
        <v>17</v>
      </c>
      <c r="R5" s="384">
        <v>18</v>
      </c>
      <c r="S5" s="384">
        <v>19</v>
      </c>
      <c r="T5" s="384">
        <v>20</v>
      </c>
      <c r="U5" s="384">
        <v>21</v>
      </c>
      <c r="V5" s="384">
        <v>22</v>
      </c>
      <c r="W5" s="384">
        <v>23</v>
      </c>
      <c r="X5" s="384">
        <v>24</v>
      </c>
      <c r="Y5" s="384">
        <v>25</v>
      </c>
      <c r="Z5" s="384">
        <v>26</v>
      </c>
      <c r="AA5" s="384">
        <v>27</v>
      </c>
      <c r="AB5" s="384">
        <v>28</v>
      </c>
      <c r="AC5" s="384">
        <v>29</v>
      </c>
      <c r="AD5" s="384">
        <v>30</v>
      </c>
      <c r="AE5" s="384">
        <v>31</v>
      </c>
      <c r="AF5" s="382">
        <v>32</v>
      </c>
    </row>
    <row r="6" spans="1:33" ht="15.75" x14ac:dyDescent="0.25">
      <c r="A6" s="1079" t="s">
        <v>54</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1"/>
      <c r="AF6" s="388"/>
    </row>
    <row r="7" spans="1:33" ht="15.75" customHeight="1" x14ac:dyDescent="0.25">
      <c r="A7" s="695" t="s">
        <v>446</v>
      </c>
      <c r="B7" s="696"/>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7"/>
      <c r="AF7" s="389"/>
    </row>
    <row r="8" spans="1:33" ht="15.75" x14ac:dyDescent="0.25">
      <c r="A8" s="283" t="s">
        <v>447</v>
      </c>
      <c r="B8" s="284">
        <v>146331.98800000001</v>
      </c>
      <c r="C8" s="284">
        <v>43218.288</v>
      </c>
      <c r="D8" s="284">
        <v>39909.893000000004</v>
      </c>
      <c r="E8" s="284">
        <v>39909.893000000004</v>
      </c>
      <c r="F8" s="284">
        <v>27.273526141119603</v>
      </c>
      <c r="G8" s="284">
        <v>92.344918891743248</v>
      </c>
      <c r="H8" s="284">
        <v>5148.46</v>
      </c>
      <c r="I8" s="284">
        <v>2013.02</v>
      </c>
      <c r="J8" s="284">
        <v>17138.027999999998</v>
      </c>
      <c r="K8" s="284">
        <v>20039.633000000002</v>
      </c>
      <c r="L8" s="284">
        <v>20931.8</v>
      </c>
      <c r="M8" s="284">
        <v>17857.240000000002</v>
      </c>
      <c r="N8" s="284">
        <v>12572.64</v>
      </c>
      <c r="O8" s="284">
        <v>0</v>
      </c>
      <c r="P8" s="284">
        <v>13484.189999999999</v>
      </c>
      <c r="Q8" s="284">
        <v>0</v>
      </c>
      <c r="R8" s="284">
        <v>12837.99</v>
      </c>
      <c r="S8" s="284">
        <v>0</v>
      </c>
      <c r="T8" s="284">
        <v>6273.75</v>
      </c>
      <c r="U8" s="284">
        <v>0</v>
      </c>
      <c r="V8" s="284">
        <v>6330.9699999999993</v>
      </c>
      <c r="W8" s="284">
        <v>0</v>
      </c>
      <c r="X8" s="284">
        <v>4169.6499999999996</v>
      </c>
      <c r="Y8" s="284">
        <v>0</v>
      </c>
      <c r="Z8" s="284">
        <v>19206.150000000001</v>
      </c>
      <c r="AA8" s="284">
        <v>0</v>
      </c>
      <c r="AB8" s="284">
        <v>16249.51</v>
      </c>
      <c r="AC8" s="284">
        <v>0</v>
      </c>
      <c r="AD8" s="284">
        <v>11988.849999999999</v>
      </c>
      <c r="AE8" s="284">
        <v>0</v>
      </c>
      <c r="AF8" s="681"/>
      <c r="AG8" s="762">
        <f>C8-E8</f>
        <v>3308.3949999999968</v>
      </c>
    </row>
    <row r="9" spans="1:33" ht="15.75" x14ac:dyDescent="0.25">
      <c r="A9" s="390" t="s">
        <v>169</v>
      </c>
      <c r="B9" s="391">
        <v>0</v>
      </c>
      <c r="C9" s="391">
        <v>0</v>
      </c>
      <c r="D9" s="392">
        <v>0</v>
      </c>
      <c r="E9" s="392">
        <v>0</v>
      </c>
      <c r="F9" s="392">
        <v>0</v>
      </c>
      <c r="G9" s="392">
        <v>0</v>
      </c>
      <c r="H9" s="287">
        <v>0</v>
      </c>
      <c r="I9" s="287">
        <v>0</v>
      </c>
      <c r="J9" s="287">
        <v>0</v>
      </c>
      <c r="K9" s="287">
        <v>0</v>
      </c>
      <c r="L9" s="287">
        <v>0</v>
      </c>
      <c r="M9" s="287">
        <v>0</v>
      </c>
      <c r="N9" s="287">
        <v>0</v>
      </c>
      <c r="O9" s="287">
        <v>0</v>
      </c>
      <c r="P9" s="287">
        <v>0</v>
      </c>
      <c r="Q9" s="287">
        <v>0</v>
      </c>
      <c r="R9" s="287">
        <v>0</v>
      </c>
      <c r="S9" s="287">
        <v>0</v>
      </c>
      <c r="T9" s="287">
        <v>0</v>
      </c>
      <c r="U9" s="287">
        <v>0</v>
      </c>
      <c r="V9" s="287">
        <v>0</v>
      </c>
      <c r="W9" s="287">
        <v>0</v>
      </c>
      <c r="X9" s="287">
        <v>0</v>
      </c>
      <c r="Y9" s="287">
        <v>0</v>
      </c>
      <c r="Z9" s="287">
        <v>0</v>
      </c>
      <c r="AA9" s="287">
        <v>0</v>
      </c>
      <c r="AB9" s="287">
        <v>0</v>
      </c>
      <c r="AC9" s="287">
        <v>0</v>
      </c>
      <c r="AD9" s="287">
        <v>0</v>
      </c>
      <c r="AE9" s="287">
        <v>0</v>
      </c>
      <c r="AF9" s="682"/>
      <c r="AG9" s="762">
        <f t="shared" ref="AG9:AG72" si="0">C9-E9</f>
        <v>0</v>
      </c>
    </row>
    <row r="10" spans="1:33" ht="15.75" x14ac:dyDescent="0.25">
      <c r="A10" s="286" t="s">
        <v>32</v>
      </c>
      <c r="B10" s="391">
        <v>0</v>
      </c>
      <c r="C10" s="391">
        <v>0</v>
      </c>
      <c r="D10" s="392">
        <v>0</v>
      </c>
      <c r="E10" s="392">
        <v>0</v>
      </c>
      <c r="F10" s="392">
        <v>0</v>
      </c>
      <c r="G10" s="392">
        <v>0</v>
      </c>
      <c r="H10" s="287">
        <v>0</v>
      </c>
      <c r="I10" s="287">
        <v>0</v>
      </c>
      <c r="J10" s="287">
        <v>0</v>
      </c>
      <c r="K10" s="287">
        <v>0</v>
      </c>
      <c r="L10" s="287">
        <v>0</v>
      </c>
      <c r="M10" s="287">
        <v>0</v>
      </c>
      <c r="N10" s="287">
        <v>0</v>
      </c>
      <c r="O10" s="287">
        <v>0</v>
      </c>
      <c r="P10" s="287">
        <v>0</v>
      </c>
      <c r="Q10" s="287">
        <v>0</v>
      </c>
      <c r="R10" s="287">
        <v>0</v>
      </c>
      <c r="S10" s="287">
        <v>0</v>
      </c>
      <c r="T10" s="287">
        <v>0</v>
      </c>
      <c r="U10" s="287">
        <v>0</v>
      </c>
      <c r="V10" s="287">
        <v>0</v>
      </c>
      <c r="W10" s="287">
        <v>0</v>
      </c>
      <c r="X10" s="287">
        <v>0</v>
      </c>
      <c r="Y10" s="287">
        <v>0</v>
      </c>
      <c r="Z10" s="287">
        <v>0</v>
      </c>
      <c r="AA10" s="287">
        <v>0</v>
      </c>
      <c r="AB10" s="287">
        <v>0</v>
      </c>
      <c r="AC10" s="287">
        <v>0</v>
      </c>
      <c r="AD10" s="287">
        <v>0</v>
      </c>
      <c r="AE10" s="287">
        <v>0</v>
      </c>
      <c r="AF10" s="682"/>
      <c r="AG10" s="762">
        <f t="shared" si="0"/>
        <v>0</v>
      </c>
    </row>
    <row r="11" spans="1:33" ht="15.75" x14ac:dyDescent="0.25">
      <c r="A11" s="286" t="s">
        <v>33</v>
      </c>
      <c r="B11" s="391">
        <v>146331.98800000001</v>
      </c>
      <c r="C11" s="391">
        <v>43218.288</v>
      </c>
      <c r="D11" s="392">
        <v>39909.893000000004</v>
      </c>
      <c r="E11" s="392">
        <v>39909.893000000004</v>
      </c>
      <c r="F11" s="392">
        <v>27.273526141119603</v>
      </c>
      <c r="G11" s="392">
        <v>92.344918891743248</v>
      </c>
      <c r="H11" s="287">
        <v>5148.46</v>
      </c>
      <c r="I11" s="287">
        <v>2013.02</v>
      </c>
      <c r="J11" s="287">
        <v>17138.027999999998</v>
      </c>
      <c r="K11" s="287">
        <v>20039.633000000002</v>
      </c>
      <c r="L11" s="287">
        <v>20931.8</v>
      </c>
      <c r="M11" s="287">
        <v>17857.240000000002</v>
      </c>
      <c r="N11" s="287">
        <v>12572.64</v>
      </c>
      <c r="O11" s="287">
        <v>0</v>
      </c>
      <c r="P11" s="287">
        <v>13484.189999999999</v>
      </c>
      <c r="Q11" s="287">
        <v>0</v>
      </c>
      <c r="R11" s="287">
        <v>12837.99</v>
      </c>
      <c r="S11" s="287">
        <v>0</v>
      </c>
      <c r="T11" s="287">
        <v>6273.75</v>
      </c>
      <c r="U11" s="287">
        <v>0</v>
      </c>
      <c r="V11" s="287">
        <v>6330.9699999999993</v>
      </c>
      <c r="W11" s="287">
        <v>0</v>
      </c>
      <c r="X11" s="287">
        <v>4169.6499999999996</v>
      </c>
      <c r="Y11" s="287">
        <v>0</v>
      </c>
      <c r="Z11" s="287">
        <v>19206.150000000001</v>
      </c>
      <c r="AA11" s="287">
        <v>0</v>
      </c>
      <c r="AB11" s="287">
        <v>16249.51</v>
      </c>
      <c r="AC11" s="287">
        <v>0</v>
      </c>
      <c r="AD11" s="287">
        <v>11988.849999999999</v>
      </c>
      <c r="AE11" s="287">
        <v>0</v>
      </c>
      <c r="AF11" s="682"/>
      <c r="AG11" s="762">
        <f t="shared" si="0"/>
        <v>3308.3949999999968</v>
      </c>
    </row>
    <row r="12" spans="1:33" ht="31.5" x14ac:dyDescent="0.25">
      <c r="A12" s="298" t="s">
        <v>174</v>
      </c>
      <c r="B12" s="391">
        <v>0</v>
      </c>
      <c r="C12" s="391">
        <v>0</v>
      </c>
      <c r="D12" s="392">
        <v>0</v>
      </c>
      <c r="E12" s="392">
        <v>0</v>
      </c>
      <c r="F12" s="392">
        <v>0</v>
      </c>
      <c r="G12" s="392">
        <v>0</v>
      </c>
      <c r="H12" s="287">
        <v>0</v>
      </c>
      <c r="I12" s="287">
        <v>0</v>
      </c>
      <c r="J12" s="287">
        <v>0</v>
      </c>
      <c r="K12" s="287">
        <v>0</v>
      </c>
      <c r="L12" s="287">
        <v>0</v>
      </c>
      <c r="M12" s="287">
        <v>0</v>
      </c>
      <c r="N12" s="287">
        <v>0</v>
      </c>
      <c r="O12" s="287">
        <v>0</v>
      </c>
      <c r="P12" s="287">
        <v>0</v>
      </c>
      <c r="Q12" s="287">
        <v>0</v>
      </c>
      <c r="R12" s="287">
        <v>0</v>
      </c>
      <c r="S12" s="287">
        <v>0</v>
      </c>
      <c r="T12" s="287">
        <v>0</v>
      </c>
      <c r="U12" s="287">
        <v>0</v>
      </c>
      <c r="V12" s="287">
        <v>0</v>
      </c>
      <c r="W12" s="287">
        <v>0</v>
      </c>
      <c r="X12" s="287">
        <v>0</v>
      </c>
      <c r="Y12" s="287">
        <v>0</v>
      </c>
      <c r="Z12" s="287">
        <v>0</v>
      </c>
      <c r="AA12" s="287">
        <v>0</v>
      </c>
      <c r="AB12" s="287">
        <v>0</v>
      </c>
      <c r="AC12" s="287">
        <v>0</v>
      </c>
      <c r="AD12" s="287">
        <v>0</v>
      </c>
      <c r="AE12" s="287">
        <v>0</v>
      </c>
      <c r="AF12" s="682"/>
      <c r="AG12" s="762">
        <f t="shared" si="0"/>
        <v>0</v>
      </c>
    </row>
    <row r="13" spans="1:33" ht="15.75" x14ac:dyDescent="0.25">
      <c r="A13" s="286" t="s">
        <v>221</v>
      </c>
      <c r="B13" s="391">
        <v>0</v>
      </c>
      <c r="C13" s="391">
        <v>0</v>
      </c>
      <c r="D13" s="392">
        <v>0</v>
      </c>
      <c r="E13" s="392">
        <v>0</v>
      </c>
      <c r="F13" s="392">
        <v>0</v>
      </c>
      <c r="G13" s="392">
        <v>0</v>
      </c>
      <c r="H13" s="287">
        <v>0</v>
      </c>
      <c r="I13" s="287">
        <v>0</v>
      </c>
      <c r="J13" s="287">
        <v>0</v>
      </c>
      <c r="K13" s="287">
        <v>0</v>
      </c>
      <c r="L13" s="287">
        <v>0</v>
      </c>
      <c r="M13" s="287">
        <v>0</v>
      </c>
      <c r="N13" s="287">
        <v>0</v>
      </c>
      <c r="O13" s="287">
        <v>0</v>
      </c>
      <c r="P13" s="287">
        <v>0</v>
      </c>
      <c r="Q13" s="287">
        <v>0</v>
      </c>
      <c r="R13" s="287">
        <v>0</v>
      </c>
      <c r="S13" s="287">
        <v>0</v>
      </c>
      <c r="T13" s="287">
        <v>0</v>
      </c>
      <c r="U13" s="287">
        <v>0</v>
      </c>
      <c r="V13" s="287">
        <v>0</v>
      </c>
      <c r="W13" s="287">
        <v>0</v>
      </c>
      <c r="X13" s="287">
        <v>0</v>
      </c>
      <c r="Y13" s="287">
        <v>0</v>
      </c>
      <c r="Z13" s="287">
        <v>0</v>
      </c>
      <c r="AA13" s="287">
        <v>0</v>
      </c>
      <c r="AB13" s="287">
        <v>0</v>
      </c>
      <c r="AC13" s="287">
        <v>0</v>
      </c>
      <c r="AD13" s="287">
        <v>0</v>
      </c>
      <c r="AE13" s="287">
        <v>0</v>
      </c>
      <c r="AF13" s="683"/>
      <c r="AG13" s="762">
        <f t="shared" si="0"/>
        <v>0</v>
      </c>
    </row>
    <row r="14" spans="1:33" s="519" customFormat="1" ht="15.75" customHeight="1" x14ac:dyDescent="0.25">
      <c r="A14" s="695" t="s">
        <v>448</v>
      </c>
      <c r="B14" s="696"/>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7"/>
      <c r="AF14" s="682"/>
      <c r="AG14" s="762">
        <f t="shared" si="0"/>
        <v>0</v>
      </c>
    </row>
    <row r="15" spans="1:33" s="519" customFormat="1" ht="15.75" customHeight="1" x14ac:dyDescent="0.25">
      <c r="A15" s="286" t="s">
        <v>447</v>
      </c>
      <c r="B15" s="391">
        <v>73599.078000000009</v>
      </c>
      <c r="C15" s="391">
        <v>19037.738000000001</v>
      </c>
      <c r="D15" s="391">
        <v>15806.564</v>
      </c>
      <c r="E15" s="629">
        <v>15806.564</v>
      </c>
      <c r="F15" s="391">
        <v>21.476578823446673</v>
      </c>
      <c r="G15" s="391">
        <v>83.027531947335333</v>
      </c>
      <c r="H15" s="287">
        <v>5009.18</v>
      </c>
      <c r="I15" s="287">
        <v>1954.18</v>
      </c>
      <c r="J15" s="287">
        <v>7290.2479999999996</v>
      </c>
      <c r="K15" s="287">
        <v>10257.244000000001</v>
      </c>
      <c r="L15" s="287">
        <v>6738.31</v>
      </c>
      <c r="M15" s="287">
        <v>3595.14</v>
      </c>
      <c r="N15" s="287">
        <v>5721.53</v>
      </c>
      <c r="O15" s="287">
        <v>0</v>
      </c>
      <c r="P15" s="287">
        <v>8700.2099999999991</v>
      </c>
      <c r="Q15" s="287">
        <v>0</v>
      </c>
      <c r="R15" s="287">
        <v>12457.3</v>
      </c>
      <c r="S15" s="287">
        <v>0</v>
      </c>
      <c r="T15" s="287">
        <v>5809.39</v>
      </c>
      <c r="U15" s="287">
        <v>0</v>
      </c>
      <c r="V15" s="287">
        <v>5779.61</v>
      </c>
      <c r="W15" s="287">
        <v>0</v>
      </c>
      <c r="X15" s="287">
        <v>3520.33</v>
      </c>
      <c r="Y15" s="287">
        <v>0</v>
      </c>
      <c r="Z15" s="287">
        <v>4565.5</v>
      </c>
      <c r="AA15" s="287">
        <v>0</v>
      </c>
      <c r="AB15" s="287">
        <v>4081.58</v>
      </c>
      <c r="AC15" s="287">
        <v>0</v>
      </c>
      <c r="AD15" s="287">
        <v>3925.89</v>
      </c>
      <c r="AE15" s="287">
        <v>0</v>
      </c>
      <c r="AF15" s="687" t="s">
        <v>519</v>
      </c>
      <c r="AG15" s="762">
        <f t="shared" si="0"/>
        <v>3231.1740000000009</v>
      </c>
    </row>
    <row r="16" spans="1:33" s="519" customFormat="1" ht="15.75" x14ac:dyDescent="0.25">
      <c r="A16" s="390" t="s">
        <v>169</v>
      </c>
      <c r="B16" s="391">
        <v>0</v>
      </c>
      <c r="C16" s="392">
        <v>0</v>
      </c>
      <c r="D16" s="392">
        <v>0</v>
      </c>
      <c r="E16" s="392">
        <v>0</v>
      </c>
      <c r="F16" s="391">
        <v>0</v>
      </c>
      <c r="G16" s="391">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0">
        <v>0</v>
      </c>
      <c r="AD16" s="290">
        <v>0</v>
      </c>
      <c r="AE16" s="290">
        <v>0</v>
      </c>
      <c r="AF16" s="763"/>
      <c r="AG16" s="762">
        <f t="shared" si="0"/>
        <v>0</v>
      </c>
    </row>
    <row r="17" spans="1:33" s="519" customFormat="1" ht="15.75" x14ac:dyDescent="0.25">
      <c r="A17" s="286" t="s">
        <v>32</v>
      </c>
      <c r="B17" s="391">
        <v>0</v>
      </c>
      <c r="C17" s="392">
        <v>0</v>
      </c>
      <c r="D17" s="392">
        <v>0</v>
      </c>
      <c r="E17" s="392">
        <v>0</v>
      </c>
      <c r="F17" s="391">
        <v>0</v>
      </c>
      <c r="G17" s="391">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0</v>
      </c>
      <c r="Y17" s="290">
        <v>0</v>
      </c>
      <c r="Z17" s="290">
        <v>0</v>
      </c>
      <c r="AA17" s="290">
        <v>0</v>
      </c>
      <c r="AB17" s="290">
        <v>0</v>
      </c>
      <c r="AC17" s="290">
        <v>0</v>
      </c>
      <c r="AD17" s="290">
        <v>0</v>
      </c>
      <c r="AE17" s="290">
        <v>0</v>
      </c>
      <c r="AF17" s="692"/>
      <c r="AG17" s="762">
        <f t="shared" si="0"/>
        <v>0</v>
      </c>
    </row>
    <row r="18" spans="1:33" s="514" customFormat="1" ht="24.75" customHeight="1" x14ac:dyDescent="0.25">
      <c r="A18" s="517" t="s">
        <v>33</v>
      </c>
      <c r="B18" s="391">
        <v>73599.078000000009</v>
      </c>
      <c r="C18" s="392">
        <v>19037.738000000001</v>
      </c>
      <c r="D18" s="392">
        <v>15806.564</v>
      </c>
      <c r="E18" s="392">
        <v>15806.564</v>
      </c>
      <c r="F18" s="391">
        <v>21.476578823446673</v>
      </c>
      <c r="G18" s="391">
        <v>83.027531947335333</v>
      </c>
      <c r="H18" s="290">
        <v>5009.18</v>
      </c>
      <c r="I18" s="290">
        <v>1954.18</v>
      </c>
      <c r="J18" s="290">
        <v>7290.2479999999996</v>
      </c>
      <c r="K18" s="290">
        <v>10257.244000000001</v>
      </c>
      <c r="L18" s="290">
        <v>6738.31</v>
      </c>
      <c r="M18" s="290">
        <v>3595.14</v>
      </c>
      <c r="N18" s="290">
        <v>5721.53</v>
      </c>
      <c r="O18" s="290">
        <v>0</v>
      </c>
      <c r="P18" s="290">
        <v>8700.2099999999991</v>
      </c>
      <c r="Q18" s="290">
        <v>0</v>
      </c>
      <c r="R18" s="290">
        <v>12457.3</v>
      </c>
      <c r="S18" s="290">
        <v>0</v>
      </c>
      <c r="T18" s="290">
        <v>5809.39</v>
      </c>
      <c r="U18" s="290">
        <v>0</v>
      </c>
      <c r="V18" s="290">
        <v>5779.61</v>
      </c>
      <c r="W18" s="290">
        <v>0</v>
      </c>
      <c r="X18" s="290">
        <v>3520.33</v>
      </c>
      <c r="Y18" s="290">
        <v>0</v>
      </c>
      <c r="Z18" s="290">
        <v>4565.5</v>
      </c>
      <c r="AA18" s="290">
        <v>0</v>
      </c>
      <c r="AB18" s="290">
        <v>4081.58</v>
      </c>
      <c r="AC18" s="290">
        <v>0</v>
      </c>
      <c r="AD18" s="290">
        <v>3925.89</v>
      </c>
      <c r="AE18" s="290">
        <v>0</v>
      </c>
      <c r="AF18" s="692"/>
      <c r="AG18" s="762">
        <f t="shared" si="0"/>
        <v>3231.1740000000009</v>
      </c>
    </row>
    <row r="19" spans="1:33" s="519" customFormat="1" ht="31.5" x14ac:dyDescent="0.25">
      <c r="A19" s="298" t="s">
        <v>174</v>
      </c>
      <c r="B19" s="391">
        <v>0</v>
      </c>
      <c r="C19" s="392">
        <v>0</v>
      </c>
      <c r="D19" s="392">
        <v>0</v>
      </c>
      <c r="E19" s="392">
        <v>0</v>
      </c>
      <c r="F19" s="391">
        <v>0</v>
      </c>
      <c r="G19" s="391">
        <v>0</v>
      </c>
      <c r="H19" s="290">
        <v>0</v>
      </c>
      <c r="I19" s="290">
        <v>0</v>
      </c>
      <c r="J19" s="290">
        <v>0</v>
      </c>
      <c r="K19" s="290">
        <v>0</v>
      </c>
      <c r="L19" s="290">
        <v>0</v>
      </c>
      <c r="M19" s="290">
        <v>0</v>
      </c>
      <c r="N19" s="290">
        <v>0</v>
      </c>
      <c r="O19" s="290">
        <v>0</v>
      </c>
      <c r="P19" s="290">
        <v>0</v>
      </c>
      <c r="Q19" s="290">
        <v>0</v>
      </c>
      <c r="R19" s="290">
        <v>0</v>
      </c>
      <c r="S19" s="290">
        <v>0</v>
      </c>
      <c r="T19" s="290">
        <v>0</v>
      </c>
      <c r="U19" s="290">
        <v>0</v>
      </c>
      <c r="V19" s="290">
        <v>0</v>
      </c>
      <c r="W19" s="290">
        <v>0</v>
      </c>
      <c r="X19" s="290">
        <v>0</v>
      </c>
      <c r="Y19" s="290">
        <v>0</v>
      </c>
      <c r="Z19" s="290">
        <v>0</v>
      </c>
      <c r="AA19" s="290">
        <v>0</v>
      </c>
      <c r="AB19" s="290">
        <v>0</v>
      </c>
      <c r="AC19" s="290">
        <v>0</v>
      </c>
      <c r="AD19" s="290">
        <v>0</v>
      </c>
      <c r="AE19" s="290">
        <v>0</v>
      </c>
      <c r="AF19" s="692"/>
      <c r="AG19" s="762">
        <f t="shared" si="0"/>
        <v>0</v>
      </c>
    </row>
    <row r="20" spans="1:33" s="519" customFormat="1" ht="15.75" x14ac:dyDescent="0.25">
      <c r="A20" s="286" t="s">
        <v>221</v>
      </c>
      <c r="B20" s="391">
        <v>0</v>
      </c>
      <c r="C20" s="392">
        <v>0</v>
      </c>
      <c r="D20" s="392">
        <v>0</v>
      </c>
      <c r="E20" s="392">
        <v>0</v>
      </c>
      <c r="F20" s="391">
        <v>0</v>
      </c>
      <c r="G20" s="391">
        <v>0</v>
      </c>
      <c r="H20" s="290">
        <v>0</v>
      </c>
      <c r="I20" s="290">
        <v>0</v>
      </c>
      <c r="J20" s="290">
        <v>0</v>
      </c>
      <c r="K20" s="290">
        <v>0</v>
      </c>
      <c r="L20" s="290">
        <v>0</v>
      </c>
      <c r="M20" s="290">
        <v>0</v>
      </c>
      <c r="N20" s="290">
        <v>0</v>
      </c>
      <c r="O20" s="290">
        <v>0</v>
      </c>
      <c r="P20" s="290">
        <v>0</v>
      </c>
      <c r="Q20" s="290">
        <v>0</v>
      </c>
      <c r="R20" s="290">
        <v>0</v>
      </c>
      <c r="S20" s="290">
        <v>0</v>
      </c>
      <c r="T20" s="290">
        <v>0</v>
      </c>
      <c r="U20" s="290">
        <v>0</v>
      </c>
      <c r="V20" s="290">
        <v>0</v>
      </c>
      <c r="W20" s="290">
        <v>0</v>
      </c>
      <c r="X20" s="290">
        <v>0</v>
      </c>
      <c r="Y20" s="290">
        <v>0</v>
      </c>
      <c r="Z20" s="290">
        <v>0</v>
      </c>
      <c r="AA20" s="290">
        <v>0</v>
      </c>
      <c r="AB20" s="290">
        <v>0</v>
      </c>
      <c r="AC20" s="290">
        <v>0</v>
      </c>
      <c r="AD20" s="290">
        <v>0</v>
      </c>
      <c r="AE20" s="290">
        <v>0</v>
      </c>
      <c r="AF20" s="693"/>
      <c r="AG20" s="762">
        <f t="shared" si="0"/>
        <v>0</v>
      </c>
    </row>
    <row r="21" spans="1:33" s="519" customFormat="1" ht="15.75" customHeight="1" x14ac:dyDescent="0.25">
      <c r="A21" s="695" t="s">
        <v>449</v>
      </c>
      <c r="B21" s="696"/>
      <c r="C21" s="696"/>
      <c r="D21" s="696"/>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7"/>
      <c r="AF21" s="688"/>
      <c r="AG21" s="762">
        <f t="shared" si="0"/>
        <v>0</v>
      </c>
    </row>
    <row r="22" spans="1:33" s="519" customFormat="1" ht="15.75" customHeight="1" x14ac:dyDescent="0.25">
      <c r="A22" s="286" t="s">
        <v>447</v>
      </c>
      <c r="B22" s="391">
        <v>36986.1</v>
      </c>
      <c r="C22" s="391">
        <v>21182.59</v>
      </c>
      <c r="D22" s="391">
        <v>21784.959000000003</v>
      </c>
      <c r="E22" s="629">
        <v>21784.959000000003</v>
      </c>
      <c r="F22" s="391">
        <v>58.90039501326175</v>
      </c>
      <c r="G22" s="391">
        <v>102.84369852789486</v>
      </c>
      <c r="H22" s="287">
        <v>0</v>
      </c>
      <c r="I22" s="287">
        <v>0</v>
      </c>
      <c r="J22" s="287">
        <v>9686.92</v>
      </c>
      <c r="K22" s="287">
        <v>9686.9189999999999</v>
      </c>
      <c r="L22" s="287">
        <v>11495.67</v>
      </c>
      <c r="M22" s="287">
        <v>12098.04</v>
      </c>
      <c r="N22" s="287">
        <v>6680.39</v>
      </c>
      <c r="O22" s="287">
        <v>0</v>
      </c>
      <c r="P22" s="287">
        <v>4123.12</v>
      </c>
      <c r="Q22" s="287">
        <v>0</v>
      </c>
      <c r="R22" s="287">
        <v>0</v>
      </c>
      <c r="S22" s="287">
        <v>0</v>
      </c>
      <c r="T22" s="287">
        <v>0</v>
      </c>
      <c r="U22" s="287">
        <v>0</v>
      </c>
      <c r="V22" s="287">
        <v>0</v>
      </c>
      <c r="W22" s="287">
        <v>0</v>
      </c>
      <c r="X22" s="287">
        <v>0</v>
      </c>
      <c r="Y22" s="287">
        <v>0</v>
      </c>
      <c r="Z22" s="287">
        <v>0</v>
      </c>
      <c r="AA22" s="287">
        <v>0</v>
      </c>
      <c r="AB22" s="287">
        <v>0</v>
      </c>
      <c r="AC22" s="287">
        <v>0</v>
      </c>
      <c r="AD22" s="287">
        <v>5000</v>
      </c>
      <c r="AE22" s="287">
        <v>0</v>
      </c>
      <c r="AF22" s="691" t="s">
        <v>520</v>
      </c>
      <c r="AG22" s="762">
        <f>C22-E22</f>
        <v>-602.36900000000242</v>
      </c>
    </row>
    <row r="23" spans="1:33" s="519" customFormat="1" ht="15.75" x14ac:dyDescent="0.25">
      <c r="A23" s="390" t="s">
        <v>169</v>
      </c>
      <c r="B23" s="391">
        <v>0</v>
      </c>
      <c r="C23" s="392">
        <v>0</v>
      </c>
      <c r="D23" s="392">
        <v>0</v>
      </c>
      <c r="E23" s="392">
        <v>0</v>
      </c>
      <c r="F23" s="391">
        <v>0</v>
      </c>
      <c r="G23" s="391">
        <v>0</v>
      </c>
      <c r="H23" s="290">
        <v>0</v>
      </c>
      <c r="I23" s="290">
        <v>0</v>
      </c>
      <c r="J23" s="290">
        <v>0</v>
      </c>
      <c r="K23" s="290">
        <v>0</v>
      </c>
      <c r="L23" s="290">
        <v>0</v>
      </c>
      <c r="M23" s="290">
        <v>0</v>
      </c>
      <c r="N23" s="290">
        <v>0</v>
      </c>
      <c r="O23" s="290">
        <v>0</v>
      </c>
      <c r="P23" s="290">
        <v>0</v>
      </c>
      <c r="Q23" s="290">
        <v>0</v>
      </c>
      <c r="R23" s="290">
        <v>0</v>
      </c>
      <c r="S23" s="290">
        <v>0</v>
      </c>
      <c r="T23" s="290">
        <v>0</v>
      </c>
      <c r="U23" s="290">
        <v>0</v>
      </c>
      <c r="V23" s="290">
        <v>0</v>
      </c>
      <c r="W23" s="290">
        <v>0</v>
      </c>
      <c r="X23" s="290">
        <v>0</v>
      </c>
      <c r="Y23" s="290">
        <v>0</v>
      </c>
      <c r="Z23" s="290">
        <v>0</v>
      </c>
      <c r="AA23" s="290">
        <v>0</v>
      </c>
      <c r="AB23" s="290">
        <v>0</v>
      </c>
      <c r="AC23" s="290">
        <v>0</v>
      </c>
      <c r="AD23" s="290">
        <v>0</v>
      </c>
      <c r="AE23" s="290">
        <v>0</v>
      </c>
      <c r="AF23" s="703"/>
      <c r="AG23" s="762">
        <f t="shared" si="0"/>
        <v>0</v>
      </c>
    </row>
    <row r="24" spans="1:33" s="519" customFormat="1" ht="15.75" x14ac:dyDescent="0.25">
      <c r="A24" s="286" t="s">
        <v>32</v>
      </c>
      <c r="B24" s="391">
        <v>0</v>
      </c>
      <c r="C24" s="392">
        <v>0</v>
      </c>
      <c r="D24" s="392">
        <v>0</v>
      </c>
      <c r="E24" s="392">
        <v>0</v>
      </c>
      <c r="F24" s="391">
        <v>0</v>
      </c>
      <c r="G24" s="391">
        <v>0</v>
      </c>
      <c r="H24" s="290">
        <v>0</v>
      </c>
      <c r="I24" s="290">
        <v>0</v>
      </c>
      <c r="J24" s="290">
        <v>0</v>
      </c>
      <c r="K24" s="290">
        <v>0</v>
      </c>
      <c r="L24" s="290">
        <v>0</v>
      </c>
      <c r="M24" s="290">
        <v>0</v>
      </c>
      <c r="N24" s="290">
        <v>0</v>
      </c>
      <c r="O24" s="290">
        <v>0</v>
      </c>
      <c r="P24" s="290">
        <v>0</v>
      </c>
      <c r="Q24" s="290">
        <v>0</v>
      </c>
      <c r="R24" s="290">
        <v>0</v>
      </c>
      <c r="S24" s="290">
        <v>0</v>
      </c>
      <c r="T24" s="290">
        <v>0</v>
      </c>
      <c r="U24" s="290">
        <v>0</v>
      </c>
      <c r="V24" s="290">
        <v>0</v>
      </c>
      <c r="W24" s="290">
        <v>0</v>
      </c>
      <c r="X24" s="290">
        <v>0</v>
      </c>
      <c r="Y24" s="290">
        <v>0</v>
      </c>
      <c r="Z24" s="290">
        <v>0</v>
      </c>
      <c r="AA24" s="290">
        <v>0</v>
      </c>
      <c r="AB24" s="290">
        <v>0</v>
      </c>
      <c r="AC24" s="290">
        <v>0</v>
      </c>
      <c r="AD24" s="290">
        <v>0</v>
      </c>
      <c r="AE24" s="290">
        <v>0</v>
      </c>
      <c r="AF24" s="703"/>
      <c r="AG24" s="762">
        <f t="shared" si="0"/>
        <v>0</v>
      </c>
    </row>
    <row r="25" spans="1:33" s="514" customFormat="1" ht="24.75" customHeight="1" x14ac:dyDescent="0.25">
      <c r="A25" s="517" t="s">
        <v>33</v>
      </c>
      <c r="B25" s="617">
        <v>36986.1</v>
      </c>
      <c r="C25" s="392">
        <v>21182.59</v>
      </c>
      <c r="D25" s="618">
        <v>21784.959000000003</v>
      </c>
      <c r="E25" s="764">
        <v>21784.959000000003</v>
      </c>
      <c r="F25" s="617">
        <v>58.90039501326175</v>
      </c>
      <c r="G25" s="617">
        <v>102.84369852789486</v>
      </c>
      <c r="H25" s="290">
        <v>0</v>
      </c>
      <c r="I25" s="290">
        <v>0</v>
      </c>
      <c r="J25" s="617">
        <v>9686.92</v>
      </c>
      <c r="K25" s="701">
        <v>9686.9189999999999</v>
      </c>
      <c r="L25" s="617">
        <v>11495.67</v>
      </c>
      <c r="M25" s="617">
        <v>12098.04</v>
      </c>
      <c r="N25" s="617">
        <v>6680.39</v>
      </c>
      <c r="O25" s="617">
        <v>0</v>
      </c>
      <c r="P25" s="617">
        <v>4123.12</v>
      </c>
      <c r="Q25" s="617">
        <v>0</v>
      </c>
      <c r="R25" s="617">
        <v>0</v>
      </c>
      <c r="S25" s="617">
        <v>0</v>
      </c>
      <c r="T25" s="617">
        <v>0</v>
      </c>
      <c r="U25" s="617">
        <v>0</v>
      </c>
      <c r="V25" s="617">
        <v>0</v>
      </c>
      <c r="W25" s="617">
        <v>0</v>
      </c>
      <c r="X25" s="617">
        <v>0</v>
      </c>
      <c r="Y25" s="617">
        <v>0</v>
      </c>
      <c r="Z25" s="617">
        <v>0</v>
      </c>
      <c r="AA25" s="617">
        <v>0</v>
      </c>
      <c r="AB25" s="617">
        <v>0</v>
      </c>
      <c r="AC25" s="617">
        <v>0</v>
      </c>
      <c r="AD25" s="617">
        <v>5000</v>
      </c>
      <c r="AE25" s="617">
        <v>0</v>
      </c>
      <c r="AF25" s="703"/>
      <c r="AG25" s="762">
        <f t="shared" si="0"/>
        <v>-602.36900000000242</v>
      </c>
    </row>
    <row r="26" spans="1:33" s="519" customFormat="1" ht="31.5" x14ac:dyDescent="0.25">
      <c r="A26" s="298" t="s">
        <v>174</v>
      </c>
      <c r="B26" s="391">
        <v>0</v>
      </c>
      <c r="C26" s="392">
        <v>0</v>
      </c>
      <c r="D26" s="392">
        <v>0</v>
      </c>
      <c r="E26" s="392">
        <v>0</v>
      </c>
      <c r="F26" s="391">
        <v>0</v>
      </c>
      <c r="G26" s="391">
        <v>0</v>
      </c>
      <c r="H26" s="290">
        <v>0</v>
      </c>
      <c r="I26" s="290">
        <v>0</v>
      </c>
      <c r="J26" s="290">
        <v>0</v>
      </c>
      <c r="K26" s="290">
        <v>0</v>
      </c>
      <c r="L26" s="290">
        <v>0</v>
      </c>
      <c r="M26" s="290">
        <v>0</v>
      </c>
      <c r="N26" s="290">
        <v>0</v>
      </c>
      <c r="O26" s="290">
        <v>0</v>
      </c>
      <c r="P26" s="290">
        <v>0</v>
      </c>
      <c r="Q26" s="290">
        <v>0</v>
      </c>
      <c r="R26" s="290">
        <v>0</v>
      </c>
      <c r="S26" s="290">
        <v>0</v>
      </c>
      <c r="T26" s="290">
        <v>0</v>
      </c>
      <c r="U26" s="290">
        <v>0</v>
      </c>
      <c r="V26" s="290">
        <v>0</v>
      </c>
      <c r="W26" s="290">
        <v>0</v>
      </c>
      <c r="X26" s="290">
        <v>0</v>
      </c>
      <c r="Y26" s="290">
        <v>0</v>
      </c>
      <c r="Z26" s="290">
        <v>0</v>
      </c>
      <c r="AA26" s="290">
        <v>0</v>
      </c>
      <c r="AB26" s="290">
        <v>0</v>
      </c>
      <c r="AC26" s="290">
        <v>0</v>
      </c>
      <c r="AD26" s="290">
        <v>0</v>
      </c>
      <c r="AE26" s="290">
        <v>0</v>
      </c>
      <c r="AF26" s="703"/>
      <c r="AG26" s="762">
        <f t="shared" si="0"/>
        <v>0</v>
      </c>
    </row>
    <row r="27" spans="1:33" s="519" customFormat="1" ht="15.75" x14ac:dyDescent="0.25">
      <c r="A27" s="286" t="s">
        <v>221</v>
      </c>
      <c r="B27" s="391">
        <v>0</v>
      </c>
      <c r="C27" s="392">
        <v>0</v>
      </c>
      <c r="D27" s="392">
        <v>0</v>
      </c>
      <c r="E27" s="392">
        <v>0</v>
      </c>
      <c r="F27" s="391">
        <v>0</v>
      </c>
      <c r="G27" s="391">
        <v>0</v>
      </c>
      <c r="H27" s="290">
        <v>0</v>
      </c>
      <c r="I27" s="290">
        <v>0</v>
      </c>
      <c r="J27" s="290">
        <v>0</v>
      </c>
      <c r="K27" s="290">
        <v>0</v>
      </c>
      <c r="L27" s="290">
        <v>0</v>
      </c>
      <c r="M27" s="290">
        <v>0</v>
      </c>
      <c r="N27" s="290">
        <v>0</v>
      </c>
      <c r="O27" s="290">
        <v>0</v>
      </c>
      <c r="P27" s="290">
        <v>0</v>
      </c>
      <c r="Q27" s="290">
        <v>0</v>
      </c>
      <c r="R27" s="290">
        <v>0</v>
      </c>
      <c r="S27" s="290">
        <v>0</v>
      </c>
      <c r="T27" s="290">
        <v>0</v>
      </c>
      <c r="U27" s="290">
        <v>0</v>
      </c>
      <c r="V27" s="290">
        <v>0</v>
      </c>
      <c r="W27" s="290">
        <v>0</v>
      </c>
      <c r="X27" s="290">
        <v>0</v>
      </c>
      <c r="Y27" s="290">
        <v>0</v>
      </c>
      <c r="Z27" s="290">
        <v>0</v>
      </c>
      <c r="AA27" s="290">
        <v>0</v>
      </c>
      <c r="AB27" s="290">
        <v>0</v>
      </c>
      <c r="AC27" s="290">
        <v>0</v>
      </c>
      <c r="AD27" s="290">
        <v>0</v>
      </c>
      <c r="AE27" s="290">
        <v>0</v>
      </c>
      <c r="AF27" s="704"/>
      <c r="AG27" s="762">
        <f t="shared" si="0"/>
        <v>0</v>
      </c>
    </row>
    <row r="28" spans="1:33" s="519" customFormat="1" ht="15.75" customHeight="1" x14ac:dyDescent="0.25">
      <c r="A28" s="695" t="s">
        <v>450</v>
      </c>
      <c r="B28" s="696"/>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7"/>
      <c r="AF28" s="513"/>
      <c r="AG28" s="762">
        <f t="shared" si="0"/>
        <v>0</v>
      </c>
    </row>
    <row r="29" spans="1:33" s="519" customFormat="1" ht="15.75" customHeight="1" x14ac:dyDescent="0.25">
      <c r="A29" s="286" t="s">
        <v>447</v>
      </c>
      <c r="B29" s="391">
        <v>23242.3</v>
      </c>
      <c r="C29" s="391">
        <v>2421.65</v>
      </c>
      <c r="D29" s="391">
        <v>2318.37</v>
      </c>
      <c r="E29" s="629">
        <v>2318.37</v>
      </c>
      <c r="F29" s="391">
        <v>9.9747873489284622</v>
      </c>
      <c r="G29" s="391">
        <v>95.735139264551023</v>
      </c>
      <c r="H29" s="287">
        <v>139.28</v>
      </c>
      <c r="I29" s="287">
        <v>58.84</v>
      </c>
      <c r="J29" s="287">
        <v>160.86000000000001</v>
      </c>
      <c r="K29" s="287">
        <v>95.47</v>
      </c>
      <c r="L29" s="287">
        <v>2121.5100000000002</v>
      </c>
      <c r="M29" s="287">
        <v>2164.06</v>
      </c>
      <c r="N29" s="287">
        <v>170.72</v>
      </c>
      <c r="O29" s="287">
        <v>0</v>
      </c>
      <c r="P29" s="287">
        <v>660.86</v>
      </c>
      <c r="Q29" s="287">
        <v>0</v>
      </c>
      <c r="R29" s="287">
        <v>380.69</v>
      </c>
      <c r="S29" s="287">
        <v>0</v>
      </c>
      <c r="T29" s="287">
        <v>464.36</v>
      </c>
      <c r="U29" s="287">
        <v>0</v>
      </c>
      <c r="V29" s="287">
        <v>551.36</v>
      </c>
      <c r="W29" s="287">
        <v>0</v>
      </c>
      <c r="X29" s="287">
        <v>649.32000000000005</v>
      </c>
      <c r="Y29" s="287">
        <v>0</v>
      </c>
      <c r="Z29" s="287">
        <v>14640.65</v>
      </c>
      <c r="AA29" s="287">
        <v>0</v>
      </c>
      <c r="AB29" s="287">
        <v>239.73</v>
      </c>
      <c r="AC29" s="287">
        <v>0</v>
      </c>
      <c r="AD29" s="287">
        <v>3062.96</v>
      </c>
      <c r="AE29" s="287">
        <v>0</v>
      </c>
      <c r="AF29" s="694" t="s">
        <v>521</v>
      </c>
      <c r="AG29" s="762">
        <f t="shared" si="0"/>
        <v>103.2800000000002</v>
      </c>
    </row>
    <row r="30" spans="1:33" s="519" customFormat="1" ht="15.75" x14ac:dyDescent="0.25">
      <c r="A30" s="390" t="s">
        <v>451</v>
      </c>
      <c r="B30" s="391">
        <v>0</v>
      </c>
      <c r="C30" s="392">
        <v>0</v>
      </c>
      <c r="D30" s="392">
        <v>0</v>
      </c>
      <c r="E30" s="392">
        <v>0</v>
      </c>
      <c r="F30" s="391">
        <v>0</v>
      </c>
      <c r="G30" s="392">
        <v>0</v>
      </c>
      <c r="H30" s="290">
        <v>0</v>
      </c>
      <c r="I30" s="290">
        <v>0</v>
      </c>
      <c r="J30" s="290">
        <v>0</v>
      </c>
      <c r="K30" s="290">
        <v>0</v>
      </c>
      <c r="L30" s="290">
        <v>0</v>
      </c>
      <c r="M30" s="290">
        <v>0</v>
      </c>
      <c r="N30" s="290">
        <v>0</v>
      </c>
      <c r="O30" s="290">
        <v>0</v>
      </c>
      <c r="P30" s="290">
        <v>0</v>
      </c>
      <c r="Q30" s="290">
        <v>0</v>
      </c>
      <c r="R30" s="290">
        <v>0</v>
      </c>
      <c r="S30" s="290">
        <v>0</v>
      </c>
      <c r="T30" s="290">
        <v>0</v>
      </c>
      <c r="U30" s="290">
        <v>0</v>
      </c>
      <c r="V30" s="290">
        <v>0</v>
      </c>
      <c r="W30" s="290">
        <v>0</v>
      </c>
      <c r="X30" s="290">
        <v>0</v>
      </c>
      <c r="Y30" s="290">
        <v>0</v>
      </c>
      <c r="Z30" s="290">
        <v>0</v>
      </c>
      <c r="AA30" s="290">
        <v>0</v>
      </c>
      <c r="AB30" s="290">
        <v>0</v>
      </c>
      <c r="AC30" s="290">
        <v>0</v>
      </c>
      <c r="AD30" s="290">
        <v>0</v>
      </c>
      <c r="AE30" s="290">
        <v>0</v>
      </c>
      <c r="AF30" s="679"/>
      <c r="AG30" s="762">
        <f t="shared" si="0"/>
        <v>0</v>
      </c>
    </row>
    <row r="31" spans="1:33" s="519" customFormat="1" ht="15.75" x14ac:dyDescent="0.25">
      <c r="A31" s="286" t="s">
        <v>32</v>
      </c>
      <c r="B31" s="391">
        <v>0</v>
      </c>
      <c r="C31" s="392">
        <v>0</v>
      </c>
      <c r="D31" s="392">
        <v>0</v>
      </c>
      <c r="E31" s="392">
        <v>0</v>
      </c>
      <c r="F31" s="391">
        <v>0</v>
      </c>
      <c r="G31" s="392">
        <v>0</v>
      </c>
      <c r="H31" s="290">
        <v>0</v>
      </c>
      <c r="I31" s="290">
        <v>0</v>
      </c>
      <c r="J31" s="290">
        <v>0</v>
      </c>
      <c r="K31" s="290">
        <v>0</v>
      </c>
      <c r="L31" s="290">
        <v>0</v>
      </c>
      <c r="M31" s="290">
        <v>0</v>
      </c>
      <c r="N31" s="290">
        <v>0</v>
      </c>
      <c r="O31" s="290">
        <v>0</v>
      </c>
      <c r="P31" s="290">
        <v>0</v>
      </c>
      <c r="Q31" s="290">
        <v>0</v>
      </c>
      <c r="R31" s="290">
        <v>0</v>
      </c>
      <c r="S31" s="290">
        <v>0</v>
      </c>
      <c r="T31" s="290">
        <v>0</v>
      </c>
      <c r="U31" s="290">
        <v>0</v>
      </c>
      <c r="V31" s="290">
        <v>0</v>
      </c>
      <c r="W31" s="290">
        <v>0</v>
      </c>
      <c r="X31" s="290">
        <v>0</v>
      </c>
      <c r="Y31" s="290">
        <v>0</v>
      </c>
      <c r="Z31" s="290">
        <v>0</v>
      </c>
      <c r="AA31" s="290">
        <v>0</v>
      </c>
      <c r="AB31" s="290">
        <v>0</v>
      </c>
      <c r="AC31" s="290">
        <v>0</v>
      </c>
      <c r="AD31" s="290">
        <v>0</v>
      </c>
      <c r="AE31" s="290">
        <v>0</v>
      </c>
      <c r="AF31" s="679"/>
      <c r="AG31" s="762">
        <f t="shared" si="0"/>
        <v>0</v>
      </c>
    </row>
    <row r="32" spans="1:33" s="515" customFormat="1" ht="24.75" customHeight="1" x14ac:dyDescent="0.25">
      <c r="A32" s="517" t="s">
        <v>33</v>
      </c>
      <c r="B32" s="619">
        <v>23242.3</v>
      </c>
      <c r="C32" s="392">
        <v>2421.65</v>
      </c>
      <c r="D32" s="620">
        <v>2318.37</v>
      </c>
      <c r="E32" s="619">
        <v>2318.37</v>
      </c>
      <c r="F32" s="620">
        <v>9.9747873489284622</v>
      </c>
      <c r="G32" s="620">
        <v>95.735139264551023</v>
      </c>
      <c r="H32" s="620">
        <v>139.28</v>
      </c>
      <c r="I32" s="620">
        <v>58.84</v>
      </c>
      <c r="J32" s="620">
        <v>160.86000000000001</v>
      </c>
      <c r="K32" s="617">
        <v>95.47</v>
      </c>
      <c r="L32" s="620">
        <v>2121.5100000000002</v>
      </c>
      <c r="M32" s="620">
        <v>2164.06</v>
      </c>
      <c r="N32" s="620">
        <v>170.72</v>
      </c>
      <c r="O32" s="620">
        <v>0</v>
      </c>
      <c r="P32" s="620">
        <v>660.86</v>
      </c>
      <c r="Q32" s="620">
        <v>0</v>
      </c>
      <c r="R32" s="620">
        <v>380.69</v>
      </c>
      <c r="S32" s="620">
        <v>0</v>
      </c>
      <c r="T32" s="620">
        <v>464.36</v>
      </c>
      <c r="U32" s="620">
        <v>0</v>
      </c>
      <c r="V32" s="620">
        <v>551.36</v>
      </c>
      <c r="W32" s="620">
        <v>0</v>
      </c>
      <c r="X32" s="620">
        <v>649.32000000000005</v>
      </c>
      <c r="Y32" s="620">
        <v>0</v>
      </c>
      <c r="Z32" s="620">
        <v>14640.65</v>
      </c>
      <c r="AA32" s="620">
        <v>0</v>
      </c>
      <c r="AB32" s="620">
        <v>239.73</v>
      </c>
      <c r="AC32" s="620">
        <v>0</v>
      </c>
      <c r="AD32" s="620">
        <v>3062.96</v>
      </c>
      <c r="AE32" s="620">
        <v>0</v>
      </c>
      <c r="AF32" s="679"/>
      <c r="AG32" s="762">
        <f t="shared" si="0"/>
        <v>103.2800000000002</v>
      </c>
    </row>
    <row r="33" spans="1:33" s="519" customFormat="1" ht="31.5" x14ac:dyDescent="0.25">
      <c r="A33" s="298" t="s">
        <v>174</v>
      </c>
      <c r="B33" s="391">
        <v>0</v>
      </c>
      <c r="C33" s="392">
        <v>0</v>
      </c>
      <c r="D33" s="392">
        <v>0</v>
      </c>
      <c r="E33" s="392">
        <v>0</v>
      </c>
      <c r="F33" s="391">
        <v>0</v>
      </c>
      <c r="G33" s="392">
        <v>0</v>
      </c>
      <c r="H33" s="290">
        <v>0</v>
      </c>
      <c r="I33" s="290">
        <v>0</v>
      </c>
      <c r="J33" s="290">
        <v>0</v>
      </c>
      <c r="K33" s="290">
        <v>0</v>
      </c>
      <c r="L33" s="290">
        <v>0</v>
      </c>
      <c r="M33" s="290">
        <v>0</v>
      </c>
      <c r="N33" s="290">
        <v>0</v>
      </c>
      <c r="O33" s="290">
        <v>0</v>
      </c>
      <c r="P33" s="290">
        <v>0</v>
      </c>
      <c r="Q33" s="290">
        <v>0</v>
      </c>
      <c r="R33" s="290">
        <v>0</v>
      </c>
      <c r="S33" s="290">
        <v>0</v>
      </c>
      <c r="T33" s="290">
        <v>0</v>
      </c>
      <c r="U33" s="290">
        <v>0</v>
      </c>
      <c r="V33" s="290">
        <v>0</v>
      </c>
      <c r="W33" s="290">
        <v>0</v>
      </c>
      <c r="X33" s="290">
        <v>0</v>
      </c>
      <c r="Y33" s="290">
        <v>0</v>
      </c>
      <c r="Z33" s="290">
        <v>0</v>
      </c>
      <c r="AA33" s="290">
        <v>0</v>
      </c>
      <c r="AB33" s="290">
        <v>0</v>
      </c>
      <c r="AC33" s="290">
        <v>0</v>
      </c>
      <c r="AD33" s="290">
        <v>0</v>
      </c>
      <c r="AE33" s="290">
        <v>0</v>
      </c>
      <c r="AF33" s="679"/>
      <c r="AG33" s="762">
        <f t="shared" si="0"/>
        <v>0</v>
      </c>
    </row>
    <row r="34" spans="1:33" s="519" customFormat="1" ht="15.75" x14ac:dyDescent="0.25">
      <c r="A34" s="286" t="s">
        <v>221</v>
      </c>
      <c r="B34" s="391">
        <v>0</v>
      </c>
      <c r="C34" s="392">
        <v>0</v>
      </c>
      <c r="D34" s="392">
        <v>0</v>
      </c>
      <c r="E34" s="392">
        <v>0</v>
      </c>
      <c r="F34" s="391">
        <v>0</v>
      </c>
      <c r="G34" s="392">
        <v>0</v>
      </c>
      <c r="H34" s="290">
        <v>0</v>
      </c>
      <c r="I34" s="290">
        <v>0</v>
      </c>
      <c r="J34" s="290">
        <v>0</v>
      </c>
      <c r="K34" s="290">
        <v>0</v>
      </c>
      <c r="L34" s="290">
        <v>0</v>
      </c>
      <c r="M34" s="290">
        <v>0</v>
      </c>
      <c r="N34" s="290">
        <v>0</v>
      </c>
      <c r="O34" s="290">
        <v>0</v>
      </c>
      <c r="P34" s="290">
        <v>0</v>
      </c>
      <c r="Q34" s="290">
        <v>0</v>
      </c>
      <c r="R34" s="290">
        <v>0</v>
      </c>
      <c r="S34" s="290">
        <v>0</v>
      </c>
      <c r="T34" s="290">
        <v>0</v>
      </c>
      <c r="U34" s="290">
        <v>0</v>
      </c>
      <c r="V34" s="290">
        <v>0</v>
      </c>
      <c r="W34" s="290">
        <v>0</v>
      </c>
      <c r="X34" s="290">
        <v>0</v>
      </c>
      <c r="Y34" s="290">
        <v>0</v>
      </c>
      <c r="Z34" s="290">
        <v>0</v>
      </c>
      <c r="AA34" s="290">
        <v>0</v>
      </c>
      <c r="AB34" s="290">
        <v>0</v>
      </c>
      <c r="AC34" s="290">
        <v>0</v>
      </c>
      <c r="AD34" s="290">
        <v>0</v>
      </c>
      <c r="AE34" s="290">
        <v>0</v>
      </c>
      <c r="AF34" s="680"/>
      <c r="AG34" s="762">
        <f t="shared" si="0"/>
        <v>0</v>
      </c>
    </row>
    <row r="35" spans="1:33" s="519" customFormat="1" ht="15.75" customHeight="1" x14ac:dyDescent="0.25">
      <c r="A35" s="695" t="s">
        <v>452</v>
      </c>
      <c r="B35" s="696"/>
      <c r="C35" s="696"/>
      <c r="D35" s="696"/>
      <c r="E35" s="696"/>
      <c r="F35" s="696"/>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7"/>
      <c r="AF35" s="679"/>
      <c r="AG35" s="762">
        <f t="shared" si="0"/>
        <v>0</v>
      </c>
    </row>
    <row r="36" spans="1:33" s="519" customFormat="1" ht="78.75" x14ac:dyDescent="0.25">
      <c r="A36" s="286" t="s">
        <v>447</v>
      </c>
      <c r="B36" s="391">
        <v>12504.51</v>
      </c>
      <c r="C36" s="391">
        <v>576.30999999999995</v>
      </c>
      <c r="D36" s="391">
        <v>0</v>
      </c>
      <c r="E36" s="629">
        <v>0</v>
      </c>
      <c r="F36" s="391">
        <v>0</v>
      </c>
      <c r="G36" s="391">
        <v>0</v>
      </c>
      <c r="H36" s="287">
        <v>0</v>
      </c>
      <c r="I36" s="287">
        <v>0</v>
      </c>
      <c r="J36" s="287">
        <v>0</v>
      </c>
      <c r="K36" s="287">
        <v>0</v>
      </c>
      <c r="L36" s="287">
        <v>576.30999999999995</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11928.2</v>
      </c>
      <c r="AC36" s="287">
        <v>0</v>
      </c>
      <c r="AD36" s="287">
        <v>0</v>
      </c>
      <c r="AE36" s="287">
        <v>0</v>
      </c>
      <c r="AF36" s="702" t="s">
        <v>522</v>
      </c>
      <c r="AG36" s="762">
        <f t="shared" si="0"/>
        <v>576.30999999999995</v>
      </c>
    </row>
    <row r="37" spans="1:33" s="519" customFormat="1" ht="15.75" x14ac:dyDescent="0.25">
      <c r="A37" s="390" t="s">
        <v>451</v>
      </c>
      <c r="B37" s="391">
        <v>0</v>
      </c>
      <c r="C37" s="392">
        <v>0</v>
      </c>
      <c r="D37" s="392">
        <v>0</v>
      </c>
      <c r="E37" s="392">
        <v>0</v>
      </c>
      <c r="F37" s="391">
        <v>0</v>
      </c>
      <c r="G37" s="392">
        <v>0</v>
      </c>
      <c r="H37" s="290">
        <v>0</v>
      </c>
      <c r="I37" s="290">
        <v>0</v>
      </c>
      <c r="J37" s="290">
        <v>0</v>
      </c>
      <c r="K37" s="290">
        <v>0</v>
      </c>
      <c r="L37" s="290">
        <v>0</v>
      </c>
      <c r="M37" s="290">
        <v>0</v>
      </c>
      <c r="N37" s="290">
        <v>0</v>
      </c>
      <c r="O37" s="290">
        <v>0</v>
      </c>
      <c r="P37" s="290">
        <v>0</v>
      </c>
      <c r="Q37" s="290">
        <v>0</v>
      </c>
      <c r="R37" s="290">
        <v>0</v>
      </c>
      <c r="S37" s="290">
        <v>0</v>
      </c>
      <c r="T37" s="290">
        <v>0</v>
      </c>
      <c r="U37" s="290">
        <v>0</v>
      </c>
      <c r="V37" s="290">
        <v>0</v>
      </c>
      <c r="W37" s="290">
        <v>0</v>
      </c>
      <c r="X37" s="290">
        <v>0</v>
      </c>
      <c r="Y37" s="290">
        <v>0</v>
      </c>
      <c r="Z37" s="290">
        <v>0</v>
      </c>
      <c r="AA37" s="290">
        <v>0</v>
      </c>
      <c r="AB37" s="290">
        <v>0</v>
      </c>
      <c r="AC37" s="290">
        <v>0</v>
      </c>
      <c r="AD37" s="290">
        <v>0</v>
      </c>
      <c r="AE37" s="290">
        <v>0</v>
      </c>
      <c r="AF37" s="702"/>
      <c r="AG37" s="762">
        <f t="shared" si="0"/>
        <v>0</v>
      </c>
    </row>
    <row r="38" spans="1:33" s="519" customFormat="1" ht="15.75" x14ac:dyDescent="0.25">
      <c r="A38" s="286" t="s">
        <v>32</v>
      </c>
      <c r="B38" s="391">
        <v>0</v>
      </c>
      <c r="C38" s="392">
        <v>0</v>
      </c>
      <c r="D38" s="392">
        <v>0</v>
      </c>
      <c r="E38" s="392">
        <v>0</v>
      </c>
      <c r="F38" s="391">
        <v>0</v>
      </c>
      <c r="G38" s="392">
        <v>0</v>
      </c>
      <c r="H38" s="290">
        <v>0</v>
      </c>
      <c r="I38" s="290">
        <v>0</v>
      </c>
      <c r="J38" s="290">
        <v>0</v>
      </c>
      <c r="K38" s="290">
        <v>0</v>
      </c>
      <c r="L38" s="290">
        <v>0</v>
      </c>
      <c r="M38" s="290">
        <v>0</v>
      </c>
      <c r="N38" s="290">
        <v>0</v>
      </c>
      <c r="O38" s="290">
        <v>0</v>
      </c>
      <c r="P38" s="290">
        <v>0</v>
      </c>
      <c r="Q38" s="290">
        <v>0</v>
      </c>
      <c r="R38" s="290">
        <v>0</v>
      </c>
      <c r="S38" s="290">
        <v>0</v>
      </c>
      <c r="T38" s="290">
        <v>0</v>
      </c>
      <c r="U38" s="290">
        <v>0</v>
      </c>
      <c r="V38" s="290">
        <v>0</v>
      </c>
      <c r="W38" s="290">
        <v>0</v>
      </c>
      <c r="X38" s="290">
        <v>0</v>
      </c>
      <c r="Y38" s="290">
        <v>0</v>
      </c>
      <c r="Z38" s="290">
        <v>0</v>
      </c>
      <c r="AA38" s="290">
        <v>0</v>
      </c>
      <c r="AB38" s="290">
        <v>0</v>
      </c>
      <c r="AC38" s="290">
        <v>0</v>
      </c>
      <c r="AD38" s="290">
        <v>0</v>
      </c>
      <c r="AE38" s="290">
        <v>0</v>
      </c>
      <c r="AF38" s="702"/>
      <c r="AG38" s="762">
        <f t="shared" si="0"/>
        <v>0</v>
      </c>
    </row>
    <row r="39" spans="1:33" s="514" customFormat="1" ht="24.75" customHeight="1" x14ac:dyDescent="0.25">
      <c r="A39" s="517" t="s">
        <v>33</v>
      </c>
      <c r="B39" s="619">
        <v>12504.51</v>
      </c>
      <c r="C39" s="392">
        <v>576.30999999999995</v>
      </c>
      <c r="D39" s="392">
        <v>0</v>
      </c>
      <c r="E39" s="392">
        <v>0</v>
      </c>
      <c r="F39" s="391">
        <v>0</v>
      </c>
      <c r="G39" s="392">
        <v>0</v>
      </c>
      <c r="H39" s="290">
        <v>0</v>
      </c>
      <c r="I39" s="290">
        <v>0</v>
      </c>
      <c r="J39" s="290">
        <v>0</v>
      </c>
      <c r="K39" s="290">
        <v>0</v>
      </c>
      <c r="L39" s="620">
        <v>576.30999999999995</v>
      </c>
      <c r="M39" s="620">
        <v>0</v>
      </c>
      <c r="N39" s="620">
        <v>0</v>
      </c>
      <c r="O39" s="620">
        <v>0</v>
      </c>
      <c r="P39" s="620">
        <v>0</v>
      </c>
      <c r="Q39" s="620">
        <v>0</v>
      </c>
      <c r="R39" s="620">
        <v>0</v>
      </c>
      <c r="S39" s="620">
        <v>0</v>
      </c>
      <c r="T39" s="620">
        <v>0</v>
      </c>
      <c r="U39" s="620">
        <v>0</v>
      </c>
      <c r="V39" s="620">
        <v>0</v>
      </c>
      <c r="W39" s="620">
        <v>0</v>
      </c>
      <c r="X39" s="620">
        <v>0</v>
      </c>
      <c r="Y39" s="620">
        <v>0</v>
      </c>
      <c r="Z39" s="620">
        <v>0</v>
      </c>
      <c r="AA39" s="620">
        <v>0</v>
      </c>
      <c r="AB39" s="620">
        <v>11928.2</v>
      </c>
      <c r="AC39" s="620">
        <v>0</v>
      </c>
      <c r="AD39" s="620">
        <v>0</v>
      </c>
      <c r="AE39" s="620">
        <v>0</v>
      </c>
      <c r="AF39" s="702"/>
      <c r="AG39" s="762">
        <f t="shared" si="0"/>
        <v>576.30999999999995</v>
      </c>
    </row>
    <row r="40" spans="1:33" s="519" customFormat="1" ht="31.5" x14ac:dyDescent="0.25">
      <c r="A40" s="298" t="s">
        <v>174</v>
      </c>
      <c r="B40" s="391">
        <v>0</v>
      </c>
      <c r="C40" s="392">
        <v>0</v>
      </c>
      <c r="D40" s="392">
        <v>0</v>
      </c>
      <c r="E40" s="392">
        <v>0</v>
      </c>
      <c r="F40" s="391">
        <v>0</v>
      </c>
      <c r="G40" s="392">
        <v>0</v>
      </c>
      <c r="H40" s="290">
        <v>0</v>
      </c>
      <c r="I40" s="290">
        <v>0</v>
      </c>
      <c r="J40" s="290">
        <v>0</v>
      </c>
      <c r="K40" s="290">
        <v>0</v>
      </c>
      <c r="L40" s="290">
        <v>0</v>
      </c>
      <c r="M40" s="290">
        <v>0</v>
      </c>
      <c r="N40" s="290">
        <v>0</v>
      </c>
      <c r="O40" s="290">
        <v>0</v>
      </c>
      <c r="P40" s="290">
        <v>0</v>
      </c>
      <c r="Q40" s="290">
        <v>0</v>
      </c>
      <c r="R40" s="290">
        <v>0</v>
      </c>
      <c r="S40" s="290">
        <v>0</v>
      </c>
      <c r="T40" s="290">
        <v>0</v>
      </c>
      <c r="U40" s="290">
        <v>0</v>
      </c>
      <c r="V40" s="290">
        <v>0</v>
      </c>
      <c r="W40" s="290">
        <v>0</v>
      </c>
      <c r="X40" s="290">
        <v>0</v>
      </c>
      <c r="Y40" s="290">
        <v>0</v>
      </c>
      <c r="Z40" s="290">
        <v>0</v>
      </c>
      <c r="AA40" s="290">
        <v>0</v>
      </c>
      <c r="AB40" s="290">
        <v>0</v>
      </c>
      <c r="AC40" s="290">
        <v>0</v>
      </c>
      <c r="AD40" s="290">
        <v>0</v>
      </c>
      <c r="AE40" s="290">
        <v>0</v>
      </c>
      <c r="AF40" s="702"/>
      <c r="AG40" s="762">
        <f t="shared" si="0"/>
        <v>0</v>
      </c>
    </row>
    <row r="41" spans="1:33" s="519" customFormat="1" ht="15.75" x14ac:dyDescent="0.25">
      <c r="A41" s="286" t="s">
        <v>221</v>
      </c>
      <c r="B41" s="391">
        <v>0</v>
      </c>
      <c r="C41" s="392">
        <v>0</v>
      </c>
      <c r="D41" s="392">
        <v>0</v>
      </c>
      <c r="E41" s="392">
        <v>0</v>
      </c>
      <c r="F41" s="391">
        <v>0</v>
      </c>
      <c r="G41" s="392">
        <v>0</v>
      </c>
      <c r="H41" s="290">
        <v>0</v>
      </c>
      <c r="I41" s="290">
        <v>0</v>
      </c>
      <c r="J41" s="290">
        <v>0</v>
      </c>
      <c r="K41" s="290">
        <v>0</v>
      </c>
      <c r="L41" s="290">
        <v>0</v>
      </c>
      <c r="M41" s="290">
        <v>0</v>
      </c>
      <c r="N41" s="290">
        <v>0</v>
      </c>
      <c r="O41" s="290">
        <v>0</v>
      </c>
      <c r="P41" s="290">
        <v>0</v>
      </c>
      <c r="Q41" s="290">
        <v>0</v>
      </c>
      <c r="R41" s="290">
        <v>0</v>
      </c>
      <c r="S41" s="290">
        <v>0</v>
      </c>
      <c r="T41" s="290">
        <v>0</v>
      </c>
      <c r="U41" s="290">
        <v>0</v>
      </c>
      <c r="V41" s="290">
        <v>0</v>
      </c>
      <c r="W41" s="290">
        <v>0</v>
      </c>
      <c r="X41" s="290">
        <v>0</v>
      </c>
      <c r="Y41" s="290">
        <v>0</v>
      </c>
      <c r="Z41" s="290">
        <v>0</v>
      </c>
      <c r="AA41" s="290">
        <v>0</v>
      </c>
      <c r="AB41" s="290">
        <v>0</v>
      </c>
      <c r="AC41" s="290">
        <v>0</v>
      </c>
      <c r="AD41" s="290">
        <v>0</v>
      </c>
      <c r="AE41" s="290">
        <v>0</v>
      </c>
      <c r="AF41" s="702"/>
      <c r="AG41" s="762">
        <f t="shared" si="0"/>
        <v>0</v>
      </c>
    </row>
    <row r="42" spans="1:33" s="519" customFormat="1" ht="15.75" customHeight="1" x14ac:dyDescent="0.25">
      <c r="A42" s="695" t="s">
        <v>453</v>
      </c>
      <c r="B42" s="696"/>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7"/>
      <c r="AF42" s="679"/>
      <c r="AG42" s="762">
        <f t="shared" si="0"/>
        <v>0</v>
      </c>
    </row>
    <row r="43" spans="1:33" s="519" customFormat="1" ht="15.75" x14ac:dyDescent="0.25">
      <c r="A43" s="283" t="s">
        <v>31</v>
      </c>
      <c r="B43" s="284">
        <v>53509.31</v>
      </c>
      <c r="C43" s="284">
        <v>15427.56</v>
      </c>
      <c r="D43" s="284">
        <v>14248.93</v>
      </c>
      <c r="E43" s="284">
        <v>14248.93</v>
      </c>
      <c r="F43" s="284">
        <v>26.62888009581884</v>
      </c>
      <c r="G43" s="284">
        <v>92.360230652157568</v>
      </c>
      <c r="H43" s="284">
        <v>5142.3099999999995</v>
      </c>
      <c r="I43" s="284">
        <v>3726.31</v>
      </c>
      <c r="J43" s="284">
        <v>5553.46</v>
      </c>
      <c r="K43" s="284">
        <v>6282.34</v>
      </c>
      <c r="L43" s="284">
        <v>4731.79</v>
      </c>
      <c r="M43" s="284">
        <v>4240.28</v>
      </c>
      <c r="N43" s="284">
        <v>3977.92</v>
      </c>
      <c r="O43" s="284">
        <v>0</v>
      </c>
      <c r="P43" s="284">
        <v>2981.2799999999997</v>
      </c>
      <c r="Q43" s="284">
        <v>0</v>
      </c>
      <c r="R43" s="284">
        <v>2527.65</v>
      </c>
      <c r="S43" s="284">
        <v>0</v>
      </c>
      <c r="T43" s="284">
        <v>3132.16</v>
      </c>
      <c r="U43" s="284">
        <v>0</v>
      </c>
      <c r="V43" s="284">
        <v>4103.8100000000004</v>
      </c>
      <c r="W43" s="284">
        <v>0</v>
      </c>
      <c r="X43" s="284">
        <v>4851.67</v>
      </c>
      <c r="Y43" s="284">
        <v>0</v>
      </c>
      <c r="Z43" s="284">
        <v>6810.2</v>
      </c>
      <c r="AA43" s="284">
        <v>0</v>
      </c>
      <c r="AB43" s="284">
        <v>4842.46</v>
      </c>
      <c r="AC43" s="284">
        <v>0</v>
      </c>
      <c r="AD43" s="284">
        <v>4854.6000000000004</v>
      </c>
      <c r="AE43" s="284">
        <v>0</v>
      </c>
      <c r="AF43" s="698"/>
      <c r="AG43" s="762">
        <f t="shared" si="0"/>
        <v>1178.6299999999992</v>
      </c>
    </row>
    <row r="44" spans="1:33" s="519" customFormat="1" ht="15.75" x14ac:dyDescent="0.25">
      <c r="A44" s="390" t="s">
        <v>169</v>
      </c>
      <c r="B44" s="392">
        <v>0</v>
      </c>
      <c r="C44" s="392">
        <v>0</v>
      </c>
      <c r="D44" s="392">
        <v>0</v>
      </c>
      <c r="E44" s="392">
        <v>0</v>
      </c>
      <c r="F44" s="391">
        <v>0</v>
      </c>
      <c r="G44" s="391">
        <v>0</v>
      </c>
      <c r="H44" s="290">
        <v>0</v>
      </c>
      <c r="I44" s="290">
        <v>0</v>
      </c>
      <c r="J44" s="290">
        <v>0</v>
      </c>
      <c r="K44" s="290">
        <v>0</v>
      </c>
      <c r="L44" s="290">
        <v>0</v>
      </c>
      <c r="M44" s="290">
        <v>0</v>
      </c>
      <c r="N44" s="290">
        <v>0</v>
      </c>
      <c r="O44" s="290">
        <v>0</v>
      </c>
      <c r="P44" s="290">
        <v>0</v>
      </c>
      <c r="Q44" s="290">
        <v>0</v>
      </c>
      <c r="R44" s="290">
        <v>0</v>
      </c>
      <c r="S44" s="290">
        <v>0</v>
      </c>
      <c r="T44" s="290">
        <v>0</v>
      </c>
      <c r="U44" s="290">
        <v>0</v>
      </c>
      <c r="V44" s="290">
        <v>0</v>
      </c>
      <c r="W44" s="290">
        <v>0</v>
      </c>
      <c r="X44" s="290">
        <v>0</v>
      </c>
      <c r="Y44" s="290">
        <v>0</v>
      </c>
      <c r="Z44" s="290">
        <v>0</v>
      </c>
      <c r="AA44" s="290">
        <v>0</v>
      </c>
      <c r="AB44" s="290">
        <v>0</v>
      </c>
      <c r="AC44" s="290">
        <v>0</v>
      </c>
      <c r="AD44" s="290">
        <v>0</v>
      </c>
      <c r="AE44" s="290">
        <v>0</v>
      </c>
      <c r="AF44" s="699"/>
      <c r="AG44" s="762">
        <f t="shared" si="0"/>
        <v>0</v>
      </c>
    </row>
    <row r="45" spans="1:33" s="519" customFormat="1" ht="15.75" x14ac:dyDescent="0.25">
      <c r="A45" s="286" t="s">
        <v>32</v>
      </c>
      <c r="B45" s="392">
        <v>0</v>
      </c>
      <c r="C45" s="392">
        <v>0</v>
      </c>
      <c r="D45" s="392">
        <v>0</v>
      </c>
      <c r="E45" s="392">
        <v>0</v>
      </c>
      <c r="F45" s="391">
        <v>0</v>
      </c>
      <c r="G45" s="391">
        <v>0</v>
      </c>
      <c r="H45" s="290">
        <v>0</v>
      </c>
      <c r="I45" s="290">
        <v>0</v>
      </c>
      <c r="J45" s="290">
        <v>0</v>
      </c>
      <c r="K45" s="290">
        <v>0</v>
      </c>
      <c r="L45" s="290">
        <v>0</v>
      </c>
      <c r="M45" s="290">
        <v>0</v>
      </c>
      <c r="N45" s="290">
        <v>0</v>
      </c>
      <c r="O45" s="290">
        <v>0</v>
      </c>
      <c r="P45" s="290">
        <v>0</v>
      </c>
      <c r="Q45" s="290">
        <v>0</v>
      </c>
      <c r="R45" s="290">
        <v>0</v>
      </c>
      <c r="S45" s="290">
        <v>0</v>
      </c>
      <c r="T45" s="290">
        <v>0</v>
      </c>
      <c r="U45" s="290">
        <v>0</v>
      </c>
      <c r="V45" s="290">
        <v>0</v>
      </c>
      <c r="W45" s="290">
        <v>0</v>
      </c>
      <c r="X45" s="290">
        <v>0</v>
      </c>
      <c r="Y45" s="290">
        <v>0</v>
      </c>
      <c r="Z45" s="290">
        <v>0</v>
      </c>
      <c r="AA45" s="290">
        <v>0</v>
      </c>
      <c r="AB45" s="290">
        <v>0</v>
      </c>
      <c r="AC45" s="290">
        <v>0</v>
      </c>
      <c r="AD45" s="290">
        <v>0</v>
      </c>
      <c r="AE45" s="290">
        <v>0</v>
      </c>
      <c r="AF45" s="699"/>
      <c r="AG45" s="762">
        <f t="shared" si="0"/>
        <v>0</v>
      </c>
    </row>
    <row r="46" spans="1:33" s="519" customFormat="1" ht="15.75" x14ac:dyDescent="0.25">
      <c r="A46" s="286" t="s">
        <v>33</v>
      </c>
      <c r="B46" s="392">
        <v>53509.31</v>
      </c>
      <c r="C46" s="392">
        <v>15427.56</v>
      </c>
      <c r="D46" s="392">
        <v>14248.93</v>
      </c>
      <c r="E46" s="392">
        <v>14248.93</v>
      </c>
      <c r="F46" s="391">
        <v>26.62888009581884</v>
      </c>
      <c r="G46" s="391">
        <v>92.360230652157568</v>
      </c>
      <c r="H46" s="290">
        <v>5142.3099999999995</v>
      </c>
      <c r="I46" s="290">
        <v>3726.31</v>
      </c>
      <c r="J46" s="290">
        <v>5553.46</v>
      </c>
      <c r="K46" s="290">
        <v>6282.34</v>
      </c>
      <c r="L46" s="290">
        <v>4731.79</v>
      </c>
      <c r="M46" s="290">
        <v>4240.28</v>
      </c>
      <c r="N46" s="290">
        <v>3977.92</v>
      </c>
      <c r="O46" s="290">
        <v>0</v>
      </c>
      <c r="P46" s="290">
        <v>2981.2799999999997</v>
      </c>
      <c r="Q46" s="290">
        <v>0</v>
      </c>
      <c r="R46" s="290">
        <v>2527.65</v>
      </c>
      <c r="S46" s="290">
        <v>0</v>
      </c>
      <c r="T46" s="290">
        <v>3132.16</v>
      </c>
      <c r="U46" s="290">
        <v>0</v>
      </c>
      <c r="V46" s="290">
        <v>4103.8100000000004</v>
      </c>
      <c r="W46" s="290">
        <v>0</v>
      </c>
      <c r="X46" s="290">
        <v>4851.67</v>
      </c>
      <c r="Y46" s="290">
        <v>0</v>
      </c>
      <c r="Z46" s="290">
        <v>6810.2</v>
      </c>
      <c r="AA46" s="290">
        <v>0</v>
      </c>
      <c r="AB46" s="290">
        <v>4842.46</v>
      </c>
      <c r="AC46" s="290">
        <v>0</v>
      </c>
      <c r="AD46" s="290">
        <v>4854.6000000000004</v>
      </c>
      <c r="AE46" s="290">
        <v>0</v>
      </c>
      <c r="AF46" s="699"/>
      <c r="AG46" s="762">
        <f t="shared" si="0"/>
        <v>1178.6299999999992</v>
      </c>
    </row>
    <row r="47" spans="1:33" s="519" customFormat="1" ht="31.5" x14ac:dyDescent="0.25">
      <c r="A47" s="298" t="s">
        <v>174</v>
      </c>
      <c r="B47" s="392">
        <v>0</v>
      </c>
      <c r="C47" s="392">
        <v>0</v>
      </c>
      <c r="D47" s="392">
        <v>0</v>
      </c>
      <c r="E47" s="392">
        <v>0</v>
      </c>
      <c r="F47" s="391">
        <v>0</v>
      </c>
      <c r="G47" s="391">
        <v>0</v>
      </c>
      <c r="H47" s="290">
        <v>0</v>
      </c>
      <c r="I47" s="290">
        <v>0</v>
      </c>
      <c r="J47" s="290">
        <v>0</v>
      </c>
      <c r="K47" s="290">
        <v>0</v>
      </c>
      <c r="L47" s="290">
        <v>0</v>
      </c>
      <c r="M47" s="290">
        <v>0</v>
      </c>
      <c r="N47" s="290">
        <v>0</v>
      </c>
      <c r="O47" s="290">
        <v>0</v>
      </c>
      <c r="P47" s="290">
        <v>0</v>
      </c>
      <c r="Q47" s="290">
        <v>0</v>
      </c>
      <c r="R47" s="290">
        <v>0</v>
      </c>
      <c r="S47" s="290">
        <v>0</v>
      </c>
      <c r="T47" s="290">
        <v>0</v>
      </c>
      <c r="U47" s="290">
        <v>0</v>
      </c>
      <c r="V47" s="290">
        <v>0</v>
      </c>
      <c r="W47" s="290">
        <v>0</v>
      </c>
      <c r="X47" s="290">
        <v>0</v>
      </c>
      <c r="Y47" s="290">
        <v>0</v>
      </c>
      <c r="Z47" s="290">
        <v>0</v>
      </c>
      <c r="AA47" s="290">
        <v>0</v>
      </c>
      <c r="AB47" s="290">
        <v>0</v>
      </c>
      <c r="AC47" s="290">
        <v>0</v>
      </c>
      <c r="AD47" s="290">
        <v>0</v>
      </c>
      <c r="AE47" s="290">
        <v>0</v>
      </c>
      <c r="AF47" s="699"/>
      <c r="AG47" s="762">
        <f t="shared" si="0"/>
        <v>0</v>
      </c>
    </row>
    <row r="48" spans="1:33" s="519" customFormat="1" ht="15.75" x14ac:dyDescent="0.25">
      <c r="A48" s="286" t="s">
        <v>221</v>
      </c>
      <c r="B48" s="392">
        <v>0</v>
      </c>
      <c r="C48" s="392">
        <v>0</v>
      </c>
      <c r="D48" s="392">
        <v>0</v>
      </c>
      <c r="E48" s="392">
        <v>0</v>
      </c>
      <c r="F48" s="391">
        <v>0</v>
      </c>
      <c r="G48" s="391">
        <v>0</v>
      </c>
      <c r="H48" s="290">
        <v>0</v>
      </c>
      <c r="I48" s="290">
        <v>0</v>
      </c>
      <c r="J48" s="290">
        <v>0</v>
      </c>
      <c r="K48" s="290">
        <v>0</v>
      </c>
      <c r="L48" s="290">
        <v>0</v>
      </c>
      <c r="M48" s="290">
        <v>0</v>
      </c>
      <c r="N48" s="290">
        <v>0</v>
      </c>
      <c r="O48" s="290">
        <v>0</v>
      </c>
      <c r="P48" s="290">
        <v>0</v>
      </c>
      <c r="Q48" s="290">
        <v>0</v>
      </c>
      <c r="R48" s="290">
        <v>0</v>
      </c>
      <c r="S48" s="290">
        <v>0</v>
      </c>
      <c r="T48" s="290">
        <v>0</v>
      </c>
      <c r="U48" s="290">
        <v>0</v>
      </c>
      <c r="V48" s="290">
        <v>0</v>
      </c>
      <c r="W48" s="290">
        <v>0</v>
      </c>
      <c r="X48" s="290">
        <v>0</v>
      </c>
      <c r="Y48" s="290">
        <v>0</v>
      </c>
      <c r="Z48" s="290">
        <v>0</v>
      </c>
      <c r="AA48" s="290">
        <v>0</v>
      </c>
      <c r="AB48" s="290">
        <v>0</v>
      </c>
      <c r="AC48" s="290">
        <v>0</v>
      </c>
      <c r="AD48" s="290">
        <v>0</v>
      </c>
      <c r="AE48" s="290">
        <v>0</v>
      </c>
      <c r="AF48" s="699"/>
      <c r="AG48" s="762">
        <f t="shared" si="0"/>
        <v>0</v>
      </c>
    </row>
    <row r="49" spans="1:33" s="519" customFormat="1" ht="15.75" customHeight="1" x14ac:dyDescent="0.25">
      <c r="A49" s="695" t="s">
        <v>454</v>
      </c>
      <c r="B49" s="696"/>
      <c r="C49" s="696"/>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7"/>
      <c r="AF49" s="699"/>
      <c r="AG49" s="762">
        <f t="shared" si="0"/>
        <v>0</v>
      </c>
    </row>
    <row r="50" spans="1:33" s="519" customFormat="1" ht="15.75" customHeight="1" x14ac:dyDescent="0.25">
      <c r="A50" s="286" t="s">
        <v>31</v>
      </c>
      <c r="B50" s="287">
        <v>8644.3100000000013</v>
      </c>
      <c r="C50" s="287">
        <v>3345.6000000000004</v>
      </c>
      <c r="D50" s="287">
        <v>3345.6000000000004</v>
      </c>
      <c r="E50" s="630">
        <v>3345.6000000000004</v>
      </c>
      <c r="F50" s="391">
        <v>38.702915559483635</v>
      </c>
      <c r="G50" s="391">
        <v>100</v>
      </c>
      <c r="H50" s="287">
        <v>1391.87</v>
      </c>
      <c r="I50" s="287">
        <v>0</v>
      </c>
      <c r="J50" s="287">
        <v>1136.68</v>
      </c>
      <c r="K50" s="287">
        <v>2528.5500000000002</v>
      </c>
      <c r="L50" s="287">
        <v>817.05</v>
      </c>
      <c r="M50" s="287">
        <v>817.05</v>
      </c>
      <c r="N50" s="287">
        <v>509.07</v>
      </c>
      <c r="O50" s="287">
        <v>0</v>
      </c>
      <c r="P50" s="287">
        <v>14.54</v>
      </c>
      <c r="Q50" s="287">
        <v>0</v>
      </c>
      <c r="R50" s="287">
        <v>109.61</v>
      </c>
      <c r="S50" s="287">
        <v>0</v>
      </c>
      <c r="T50" s="287">
        <v>706.92</v>
      </c>
      <c r="U50" s="287">
        <v>0</v>
      </c>
      <c r="V50" s="287">
        <v>1073.97</v>
      </c>
      <c r="W50" s="287">
        <v>0</v>
      </c>
      <c r="X50" s="287">
        <v>1386.93</v>
      </c>
      <c r="Y50" s="287">
        <v>0</v>
      </c>
      <c r="Z50" s="287">
        <v>1379.96</v>
      </c>
      <c r="AA50" s="287">
        <v>0</v>
      </c>
      <c r="AB50" s="287">
        <v>117.71</v>
      </c>
      <c r="AC50" s="287">
        <v>0</v>
      </c>
      <c r="AD50" s="287">
        <v>0</v>
      </c>
      <c r="AE50" s="287">
        <v>0</v>
      </c>
      <c r="AF50" s="694" t="s">
        <v>523</v>
      </c>
      <c r="AG50" s="762">
        <f t="shared" si="0"/>
        <v>0</v>
      </c>
    </row>
    <row r="51" spans="1:33" s="519" customFormat="1" ht="15.75" x14ac:dyDescent="0.25">
      <c r="A51" s="390" t="s">
        <v>169</v>
      </c>
      <c r="B51" s="391">
        <v>0</v>
      </c>
      <c r="C51" s="392">
        <v>0</v>
      </c>
      <c r="D51" s="391">
        <v>0</v>
      </c>
      <c r="E51" s="391">
        <v>0</v>
      </c>
      <c r="F51" s="391">
        <v>0</v>
      </c>
      <c r="G51" s="391">
        <v>0</v>
      </c>
      <c r="H51" s="290">
        <v>0</v>
      </c>
      <c r="I51" s="290">
        <v>0</v>
      </c>
      <c r="J51" s="290">
        <v>0</v>
      </c>
      <c r="K51" s="290">
        <v>0</v>
      </c>
      <c r="L51" s="290">
        <v>0</v>
      </c>
      <c r="M51" s="290">
        <v>0</v>
      </c>
      <c r="N51" s="290">
        <v>0</v>
      </c>
      <c r="O51" s="290">
        <v>0</v>
      </c>
      <c r="P51" s="290">
        <v>0</v>
      </c>
      <c r="Q51" s="290">
        <v>0</v>
      </c>
      <c r="R51" s="290">
        <v>0</v>
      </c>
      <c r="S51" s="290">
        <v>0</v>
      </c>
      <c r="T51" s="290">
        <v>0</v>
      </c>
      <c r="U51" s="290">
        <v>0</v>
      </c>
      <c r="V51" s="290">
        <v>0</v>
      </c>
      <c r="W51" s="290">
        <v>0</v>
      </c>
      <c r="X51" s="290">
        <v>0</v>
      </c>
      <c r="Y51" s="290">
        <v>0</v>
      </c>
      <c r="Z51" s="290">
        <v>0</v>
      </c>
      <c r="AA51" s="290">
        <v>0</v>
      </c>
      <c r="AB51" s="290">
        <v>0</v>
      </c>
      <c r="AC51" s="290">
        <v>0</v>
      </c>
      <c r="AD51" s="290">
        <v>0</v>
      </c>
      <c r="AE51" s="290">
        <v>0</v>
      </c>
      <c r="AF51" s="679"/>
      <c r="AG51" s="762">
        <f t="shared" si="0"/>
        <v>0</v>
      </c>
    </row>
    <row r="52" spans="1:33" s="519" customFormat="1" ht="15.75" x14ac:dyDescent="0.25">
      <c r="A52" s="286" t="s">
        <v>32</v>
      </c>
      <c r="B52" s="391">
        <v>0</v>
      </c>
      <c r="C52" s="392">
        <v>0</v>
      </c>
      <c r="D52" s="391">
        <v>0</v>
      </c>
      <c r="E52" s="391">
        <v>0</v>
      </c>
      <c r="F52" s="391">
        <v>0</v>
      </c>
      <c r="G52" s="391">
        <v>0</v>
      </c>
      <c r="H52" s="290">
        <v>0</v>
      </c>
      <c r="I52" s="290">
        <v>0</v>
      </c>
      <c r="J52" s="290">
        <v>0</v>
      </c>
      <c r="K52" s="290">
        <v>0</v>
      </c>
      <c r="L52" s="290">
        <v>0</v>
      </c>
      <c r="M52" s="290">
        <v>0</v>
      </c>
      <c r="N52" s="290">
        <v>0</v>
      </c>
      <c r="O52" s="290">
        <v>0</v>
      </c>
      <c r="P52" s="290">
        <v>0</v>
      </c>
      <c r="Q52" s="290">
        <v>0</v>
      </c>
      <c r="R52" s="290">
        <v>0</v>
      </c>
      <c r="S52" s="290">
        <v>0</v>
      </c>
      <c r="T52" s="290">
        <v>0</v>
      </c>
      <c r="U52" s="290">
        <v>0</v>
      </c>
      <c r="V52" s="290">
        <v>0</v>
      </c>
      <c r="W52" s="290">
        <v>0</v>
      </c>
      <c r="X52" s="290">
        <v>0</v>
      </c>
      <c r="Y52" s="290">
        <v>0</v>
      </c>
      <c r="Z52" s="290">
        <v>0</v>
      </c>
      <c r="AA52" s="290">
        <v>0</v>
      </c>
      <c r="AB52" s="290">
        <v>0</v>
      </c>
      <c r="AC52" s="290">
        <v>0</v>
      </c>
      <c r="AD52" s="290">
        <v>0</v>
      </c>
      <c r="AE52" s="290">
        <v>0</v>
      </c>
      <c r="AF52" s="679"/>
      <c r="AG52" s="762">
        <f t="shared" si="0"/>
        <v>0</v>
      </c>
    </row>
    <row r="53" spans="1:33" s="516" customFormat="1" ht="15.75" x14ac:dyDescent="0.25">
      <c r="A53" s="517" t="s">
        <v>33</v>
      </c>
      <c r="B53" s="619">
        <v>8644.3100000000013</v>
      </c>
      <c r="C53" s="392">
        <v>3345.6000000000004</v>
      </c>
      <c r="D53" s="620">
        <v>3345.6000000000004</v>
      </c>
      <c r="E53" s="619">
        <v>3345.6000000000004</v>
      </c>
      <c r="F53" s="620">
        <v>38.702915559483635</v>
      </c>
      <c r="G53" s="620">
        <v>100</v>
      </c>
      <c r="H53" s="620">
        <v>1391.87</v>
      </c>
      <c r="I53" s="617"/>
      <c r="J53" s="620">
        <v>1136.68</v>
      </c>
      <c r="K53" s="617">
        <v>2528.5500000000002</v>
      </c>
      <c r="L53" s="620">
        <v>817.05</v>
      </c>
      <c r="M53" s="620">
        <v>817.05</v>
      </c>
      <c r="N53" s="620">
        <v>509.07</v>
      </c>
      <c r="O53" s="620">
        <v>0</v>
      </c>
      <c r="P53" s="620">
        <v>14.54</v>
      </c>
      <c r="Q53" s="620">
        <v>0</v>
      </c>
      <c r="R53" s="620">
        <v>109.61</v>
      </c>
      <c r="S53" s="620">
        <v>0</v>
      </c>
      <c r="T53" s="620">
        <v>706.92</v>
      </c>
      <c r="U53" s="620">
        <v>0</v>
      </c>
      <c r="V53" s="620">
        <v>1073.97</v>
      </c>
      <c r="W53" s="620">
        <v>0</v>
      </c>
      <c r="X53" s="620">
        <v>1386.93</v>
      </c>
      <c r="Y53" s="620">
        <v>0</v>
      </c>
      <c r="Z53" s="620">
        <v>1379.96</v>
      </c>
      <c r="AA53" s="620">
        <v>0</v>
      </c>
      <c r="AB53" s="620">
        <v>117.71</v>
      </c>
      <c r="AC53" s="620">
        <v>0</v>
      </c>
      <c r="AD53" s="620">
        <v>0</v>
      </c>
      <c r="AE53" s="620">
        <v>0</v>
      </c>
      <c r="AF53" s="679"/>
      <c r="AG53" s="762">
        <f t="shared" si="0"/>
        <v>0</v>
      </c>
    </row>
    <row r="54" spans="1:33" s="519" customFormat="1" ht="31.5" x14ac:dyDescent="0.25">
      <c r="A54" s="298" t="s">
        <v>174</v>
      </c>
      <c r="B54" s="391">
        <v>0</v>
      </c>
      <c r="C54" s="392">
        <v>0</v>
      </c>
      <c r="D54" s="391">
        <v>0</v>
      </c>
      <c r="E54" s="391">
        <v>0</v>
      </c>
      <c r="F54" s="391">
        <v>0</v>
      </c>
      <c r="G54" s="391">
        <v>0</v>
      </c>
      <c r="H54" s="290">
        <v>0</v>
      </c>
      <c r="I54" s="290">
        <v>0</v>
      </c>
      <c r="J54" s="290">
        <v>0</v>
      </c>
      <c r="K54" s="290">
        <v>0</v>
      </c>
      <c r="L54" s="290">
        <v>0</v>
      </c>
      <c r="M54" s="290">
        <v>0</v>
      </c>
      <c r="N54" s="290">
        <v>0</v>
      </c>
      <c r="O54" s="290">
        <v>0</v>
      </c>
      <c r="P54" s="290">
        <v>0</v>
      </c>
      <c r="Q54" s="290">
        <v>0</v>
      </c>
      <c r="R54" s="290">
        <v>0</v>
      </c>
      <c r="S54" s="290">
        <v>0</v>
      </c>
      <c r="T54" s="290">
        <v>0</v>
      </c>
      <c r="U54" s="290">
        <v>0</v>
      </c>
      <c r="V54" s="290">
        <v>0</v>
      </c>
      <c r="W54" s="290">
        <v>0</v>
      </c>
      <c r="X54" s="290">
        <v>0</v>
      </c>
      <c r="Y54" s="290">
        <v>0</v>
      </c>
      <c r="Z54" s="290">
        <v>0</v>
      </c>
      <c r="AA54" s="290">
        <v>0</v>
      </c>
      <c r="AB54" s="290">
        <v>0</v>
      </c>
      <c r="AC54" s="290">
        <v>0</v>
      </c>
      <c r="AD54" s="290">
        <v>0</v>
      </c>
      <c r="AE54" s="290">
        <v>0</v>
      </c>
      <c r="AF54" s="679"/>
      <c r="AG54" s="762">
        <f t="shared" si="0"/>
        <v>0</v>
      </c>
    </row>
    <row r="55" spans="1:33" s="519" customFormat="1" ht="15.75" x14ac:dyDescent="0.25">
      <c r="A55" s="286" t="s">
        <v>221</v>
      </c>
      <c r="B55" s="391">
        <v>0</v>
      </c>
      <c r="C55" s="392">
        <v>0</v>
      </c>
      <c r="D55" s="391">
        <v>0</v>
      </c>
      <c r="E55" s="391">
        <v>0</v>
      </c>
      <c r="F55" s="391">
        <v>0</v>
      </c>
      <c r="G55" s="391">
        <v>0</v>
      </c>
      <c r="H55" s="290">
        <v>0</v>
      </c>
      <c r="I55" s="290">
        <v>0</v>
      </c>
      <c r="J55" s="290">
        <v>0</v>
      </c>
      <c r="K55" s="290">
        <v>0</v>
      </c>
      <c r="L55" s="290">
        <v>0</v>
      </c>
      <c r="M55" s="290">
        <v>0</v>
      </c>
      <c r="N55" s="290">
        <v>0</v>
      </c>
      <c r="O55" s="290">
        <v>0</v>
      </c>
      <c r="P55" s="290">
        <v>0</v>
      </c>
      <c r="Q55" s="290">
        <v>0</v>
      </c>
      <c r="R55" s="290">
        <v>0</v>
      </c>
      <c r="S55" s="290">
        <v>0</v>
      </c>
      <c r="T55" s="290">
        <v>0</v>
      </c>
      <c r="U55" s="290">
        <v>0</v>
      </c>
      <c r="V55" s="290">
        <v>0</v>
      </c>
      <c r="W55" s="290">
        <v>0</v>
      </c>
      <c r="X55" s="290">
        <v>0</v>
      </c>
      <c r="Y55" s="290">
        <v>0</v>
      </c>
      <c r="Z55" s="290">
        <v>0</v>
      </c>
      <c r="AA55" s="290">
        <v>0</v>
      </c>
      <c r="AB55" s="290">
        <v>0</v>
      </c>
      <c r="AC55" s="290">
        <v>0</v>
      </c>
      <c r="AD55" s="290">
        <v>0</v>
      </c>
      <c r="AE55" s="290">
        <v>0</v>
      </c>
      <c r="AF55" s="680"/>
      <c r="AG55" s="762">
        <f t="shared" si="0"/>
        <v>0</v>
      </c>
    </row>
    <row r="56" spans="1:33" s="519" customFormat="1" ht="15.75" customHeight="1" x14ac:dyDescent="0.25">
      <c r="A56" s="695" t="s">
        <v>455</v>
      </c>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7"/>
      <c r="AF56" s="694"/>
      <c r="AG56" s="762">
        <f t="shared" si="0"/>
        <v>0</v>
      </c>
    </row>
    <row r="57" spans="1:33" s="519" customFormat="1" ht="15.75" customHeight="1" x14ac:dyDescent="0.25">
      <c r="A57" s="286" t="s">
        <v>31</v>
      </c>
      <c r="B57" s="287">
        <v>44865</v>
      </c>
      <c r="C57" s="287">
        <v>12081.96</v>
      </c>
      <c r="D57" s="287">
        <v>10903.33</v>
      </c>
      <c r="E57" s="630">
        <v>10903.33</v>
      </c>
      <c r="F57" s="391">
        <v>24.302529811657195</v>
      </c>
      <c r="G57" s="391">
        <v>90.244711950709984</v>
      </c>
      <c r="H57" s="287">
        <v>3750.44</v>
      </c>
      <c r="I57" s="287">
        <v>3726.31</v>
      </c>
      <c r="J57" s="287">
        <v>4416.78</v>
      </c>
      <c r="K57" s="287">
        <v>3753.79</v>
      </c>
      <c r="L57" s="287">
        <v>3914.74</v>
      </c>
      <c r="M57" s="287">
        <v>3423.23</v>
      </c>
      <c r="N57" s="287">
        <v>3468.85</v>
      </c>
      <c r="O57" s="287">
        <v>0</v>
      </c>
      <c r="P57" s="287">
        <v>2966.74</v>
      </c>
      <c r="Q57" s="287">
        <v>0</v>
      </c>
      <c r="R57" s="287">
        <v>2418.04</v>
      </c>
      <c r="S57" s="287">
        <v>0</v>
      </c>
      <c r="T57" s="287">
        <v>2425.2399999999998</v>
      </c>
      <c r="U57" s="287">
        <v>0</v>
      </c>
      <c r="V57" s="287">
        <v>3029.84</v>
      </c>
      <c r="W57" s="287">
        <v>0</v>
      </c>
      <c r="X57" s="287">
        <v>3464.74</v>
      </c>
      <c r="Y57" s="287">
        <v>0</v>
      </c>
      <c r="Z57" s="287">
        <v>5430.24</v>
      </c>
      <c r="AA57" s="287">
        <v>0</v>
      </c>
      <c r="AB57" s="287">
        <v>4724.75</v>
      </c>
      <c r="AC57" s="287">
        <v>0</v>
      </c>
      <c r="AD57" s="287">
        <v>4854.6000000000004</v>
      </c>
      <c r="AE57" s="287">
        <v>0</v>
      </c>
      <c r="AF57" s="694" t="s">
        <v>524</v>
      </c>
      <c r="AG57" s="762">
        <f t="shared" si="0"/>
        <v>1178.6299999999992</v>
      </c>
    </row>
    <row r="58" spans="1:33" s="519" customFormat="1" ht="15.75" x14ac:dyDescent="0.25">
      <c r="A58" s="393" t="s">
        <v>169</v>
      </c>
      <c r="B58" s="392">
        <v>0</v>
      </c>
      <c r="C58" s="392">
        <v>0</v>
      </c>
      <c r="D58" s="392">
        <v>0</v>
      </c>
      <c r="E58" s="392">
        <v>0</v>
      </c>
      <c r="F58" s="392">
        <v>0</v>
      </c>
      <c r="G58" s="392">
        <v>0</v>
      </c>
      <c r="H58" s="290">
        <v>0</v>
      </c>
      <c r="I58" s="290">
        <v>0</v>
      </c>
      <c r="J58" s="290">
        <v>0</v>
      </c>
      <c r="K58" s="290">
        <v>0</v>
      </c>
      <c r="L58" s="290">
        <v>0</v>
      </c>
      <c r="M58" s="290">
        <v>0</v>
      </c>
      <c r="N58" s="290">
        <v>0</v>
      </c>
      <c r="O58" s="290">
        <v>0</v>
      </c>
      <c r="P58" s="290">
        <v>0</v>
      </c>
      <c r="Q58" s="290">
        <v>0</v>
      </c>
      <c r="R58" s="290">
        <v>0</v>
      </c>
      <c r="S58" s="290">
        <v>0</v>
      </c>
      <c r="T58" s="290">
        <v>0</v>
      </c>
      <c r="U58" s="290">
        <v>0</v>
      </c>
      <c r="V58" s="290">
        <v>0</v>
      </c>
      <c r="W58" s="290">
        <v>0</v>
      </c>
      <c r="X58" s="290">
        <v>0</v>
      </c>
      <c r="Y58" s="290">
        <v>0</v>
      </c>
      <c r="Z58" s="290">
        <v>0</v>
      </c>
      <c r="AA58" s="290">
        <v>0</v>
      </c>
      <c r="AB58" s="290">
        <v>0</v>
      </c>
      <c r="AC58" s="290">
        <v>0</v>
      </c>
      <c r="AD58" s="290">
        <v>0</v>
      </c>
      <c r="AE58" s="290">
        <v>0</v>
      </c>
      <c r="AF58" s="679"/>
      <c r="AG58" s="762">
        <f t="shared" si="0"/>
        <v>0</v>
      </c>
    </row>
    <row r="59" spans="1:33" s="519" customFormat="1" ht="15.75" x14ac:dyDescent="0.25">
      <c r="A59" s="293" t="s">
        <v>32</v>
      </c>
      <c r="B59" s="392">
        <v>0</v>
      </c>
      <c r="C59" s="392">
        <v>0</v>
      </c>
      <c r="D59" s="392">
        <v>0</v>
      </c>
      <c r="E59" s="392">
        <v>0</v>
      </c>
      <c r="F59" s="392">
        <v>0</v>
      </c>
      <c r="G59" s="392">
        <v>0</v>
      </c>
      <c r="H59" s="290">
        <v>0</v>
      </c>
      <c r="I59" s="290">
        <v>0</v>
      </c>
      <c r="J59" s="290">
        <v>0</v>
      </c>
      <c r="K59" s="290">
        <v>0</v>
      </c>
      <c r="L59" s="290">
        <v>0</v>
      </c>
      <c r="M59" s="290">
        <v>0</v>
      </c>
      <c r="N59" s="290">
        <v>0</v>
      </c>
      <c r="O59" s="290">
        <v>0</v>
      </c>
      <c r="P59" s="290">
        <v>0</v>
      </c>
      <c r="Q59" s="290">
        <v>0</v>
      </c>
      <c r="R59" s="290">
        <v>0</v>
      </c>
      <c r="S59" s="290">
        <v>0</v>
      </c>
      <c r="T59" s="290">
        <v>0</v>
      </c>
      <c r="U59" s="290">
        <v>0</v>
      </c>
      <c r="V59" s="290">
        <v>0</v>
      </c>
      <c r="W59" s="290">
        <v>0</v>
      </c>
      <c r="X59" s="290">
        <v>0</v>
      </c>
      <c r="Y59" s="290">
        <v>0</v>
      </c>
      <c r="Z59" s="290">
        <v>0</v>
      </c>
      <c r="AA59" s="290">
        <v>0</v>
      </c>
      <c r="AB59" s="290">
        <v>0</v>
      </c>
      <c r="AC59" s="290">
        <v>0</v>
      </c>
      <c r="AD59" s="290">
        <v>0</v>
      </c>
      <c r="AE59" s="290">
        <v>0</v>
      </c>
      <c r="AF59" s="679"/>
      <c r="AG59" s="762">
        <f t="shared" si="0"/>
        <v>0</v>
      </c>
    </row>
    <row r="60" spans="1:33" s="516" customFormat="1" ht="15.75" x14ac:dyDescent="0.25">
      <c r="A60" s="517" t="s">
        <v>33</v>
      </c>
      <c r="B60" s="619">
        <v>44865</v>
      </c>
      <c r="C60" s="392">
        <v>12081.96</v>
      </c>
      <c r="D60" s="620">
        <v>10903.33</v>
      </c>
      <c r="E60" s="619">
        <v>10903.33</v>
      </c>
      <c r="F60" s="620">
        <v>24.302529811657195</v>
      </c>
      <c r="G60" s="620">
        <v>90.244711950709984</v>
      </c>
      <c r="H60" s="620">
        <v>3750.44</v>
      </c>
      <c r="I60" s="620">
        <v>3726.31</v>
      </c>
      <c r="J60" s="620">
        <v>4416.78</v>
      </c>
      <c r="K60" s="620">
        <v>3753.79</v>
      </c>
      <c r="L60" s="620">
        <v>3914.74</v>
      </c>
      <c r="M60" s="620">
        <v>3423.23</v>
      </c>
      <c r="N60" s="620">
        <v>3468.85</v>
      </c>
      <c r="O60" s="620">
        <v>0</v>
      </c>
      <c r="P60" s="620">
        <v>2966.74</v>
      </c>
      <c r="Q60" s="620">
        <v>0</v>
      </c>
      <c r="R60" s="620">
        <v>2418.04</v>
      </c>
      <c r="S60" s="620">
        <v>0</v>
      </c>
      <c r="T60" s="620">
        <v>2425.2399999999998</v>
      </c>
      <c r="U60" s="620">
        <v>0</v>
      </c>
      <c r="V60" s="620">
        <v>3029.84</v>
      </c>
      <c r="W60" s="620">
        <v>0</v>
      </c>
      <c r="X60" s="620">
        <v>3464.74</v>
      </c>
      <c r="Y60" s="620">
        <v>0</v>
      </c>
      <c r="Z60" s="620">
        <v>5430.24</v>
      </c>
      <c r="AA60" s="620">
        <v>0</v>
      </c>
      <c r="AB60" s="620">
        <v>4724.75</v>
      </c>
      <c r="AC60" s="620">
        <v>0</v>
      </c>
      <c r="AD60" s="620">
        <v>4854.6000000000004</v>
      </c>
      <c r="AE60" s="620">
        <v>0</v>
      </c>
      <c r="AF60" s="679"/>
      <c r="AG60" s="762">
        <f t="shared" si="0"/>
        <v>1178.6299999999992</v>
      </c>
    </row>
    <row r="61" spans="1:33" s="519" customFormat="1" ht="31.5" x14ac:dyDescent="0.25">
      <c r="A61" s="298" t="s">
        <v>174</v>
      </c>
      <c r="B61" s="392">
        <v>0</v>
      </c>
      <c r="C61" s="392">
        <v>0</v>
      </c>
      <c r="D61" s="392">
        <v>0</v>
      </c>
      <c r="E61" s="392">
        <v>0</v>
      </c>
      <c r="F61" s="392">
        <v>0</v>
      </c>
      <c r="G61" s="392">
        <v>0</v>
      </c>
      <c r="H61" s="290">
        <v>0</v>
      </c>
      <c r="I61" s="290">
        <v>0</v>
      </c>
      <c r="J61" s="290">
        <v>0</v>
      </c>
      <c r="K61" s="290">
        <v>0</v>
      </c>
      <c r="L61" s="290">
        <v>0</v>
      </c>
      <c r="M61" s="290">
        <v>0</v>
      </c>
      <c r="N61" s="290">
        <v>0</v>
      </c>
      <c r="O61" s="290">
        <v>0</v>
      </c>
      <c r="P61" s="290">
        <v>0</v>
      </c>
      <c r="Q61" s="290">
        <v>0</v>
      </c>
      <c r="R61" s="290">
        <v>0</v>
      </c>
      <c r="S61" s="290">
        <v>0</v>
      </c>
      <c r="T61" s="290">
        <v>0</v>
      </c>
      <c r="U61" s="290">
        <v>0</v>
      </c>
      <c r="V61" s="290">
        <v>0</v>
      </c>
      <c r="W61" s="290">
        <v>0</v>
      </c>
      <c r="X61" s="290">
        <v>0</v>
      </c>
      <c r="Y61" s="290">
        <v>0</v>
      </c>
      <c r="Z61" s="290">
        <v>0</v>
      </c>
      <c r="AA61" s="290">
        <v>0</v>
      </c>
      <c r="AB61" s="290">
        <v>0</v>
      </c>
      <c r="AC61" s="290">
        <v>0</v>
      </c>
      <c r="AD61" s="290">
        <v>0</v>
      </c>
      <c r="AE61" s="290">
        <v>0</v>
      </c>
      <c r="AF61" s="679"/>
      <c r="AG61" s="762">
        <f t="shared" si="0"/>
        <v>0</v>
      </c>
    </row>
    <row r="62" spans="1:33" s="519" customFormat="1" ht="15.75" x14ac:dyDescent="0.25">
      <c r="A62" s="293" t="s">
        <v>221</v>
      </c>
      <c r="B62" s="392">
        <v>0</v>
      </c>
      <c r="C62" s="392">
        <v>0</v>
      </c>
      <c r="D62" s="392">
        <v>0</v>
      </c>
      <c r="E62" s="392">
        <v>0</v>
      </c>
      <c r="F62" s="392">
        <v>0</v>
      </c>
      <c r="G62" s="392">
        <v>0</v>
      </c>
      <c r="H62" s="290">
        <v>0</v>
      </c>
      <c r="I62" s="290">
        <v>0</v>
      </c>
      <c r="J62" s="290">
        <v>0</v>
      </c>
      <c r="K62" s="290">
        <v>0</v>
      </c>
      <c r="L62" s="290">
        <v>0</v>
      </c>
      <c r="M62" s="290">
        <v>0</v>
      </c>
      <c r="N62" s="290">
        <v>0</v>
      </c>
      <c r="O62" s="290">
        <v>0</v>
      </c>
      <c r="P62" s="290">
        <v>0</v>
      </c>
      <c r="Q62" s="290">
        <v>0</v>
      </c>
      <c r="R62" s="290">
        <v>0</v>
      </c>
      <c r="S62" s="290">
        <v>0</v>
      </c>
      <c r="T62" s="290">
        <v>0</v>
      </c>
      <c r="U62" s="290">
        <v>0</v>
      </c>
      <c r="V62" s="290">
        <v>0</v>
      </c>
      <c r="W62" s="290">
        <v>0</v>
      </c>
      <c r="X62" s="290">
        <v>0</v>
      </c>
      <c r="Y62" s="290">
        <v>0</v>
      </c>
      <c r="Z62" s="290">
        <v>0</v>
      </c>
      <c r="AA62" s="290">
        <v>0</v>
      </c>
      <c r="AB62" s="290">
        <v>0</v>
      </c>
      <c r="AC62" s="290">
        <v>0</v>
      </c>
      <c r="AD62" s="290">
        <v>0</v>
      </c>
      <c r="AE62" s="290">
        <v>0</v>
      </c>
      <c r="AF62" s="680"/>
      <c r="AG62" s="762">
        <f t="shared" si="0"/>
        <v>0</v>
      </c>
    </row>
    <row r="63" spans="1:33" s="519" customFormat="1" ht="15.75" customHeight="1" x14ac:dyDescent="0.25">
      <c r="A63" s="695" t="s">
        <v>456</v>
      </c>
      <c r="B63" s="696"/>
      <c r="C63" s="696"/>
      <c r="D63" s="696"/>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7"/>
      <c r="AF63" s="679"/>
      <c r="AG63" s="762">
        <f t="shared" si="0"/>
        <v>0</v>
      </c>
    </row>
    <row r="64" spans="1:33" s="519" customFormat="1" ht="15.75" customHeight="1" x14ac:dyDescent="0.25">
      <c r="A64" s="286" t="s">
        <v>31</v>
      </c>
      <c r="B64" s="287">
        <v>6870.5999999999995</v>
      </c>
      <c r="C64" s="287">
        <v>1476.3300000000002</v>
      </c>
      <c r="D64" s="287">
        <v>1400.96</v>
      </c>
      <c r="E64" s="630">
        <v>1400.96</v>
      </c>
      <c r="F64" s="391">
        <v>20.390650016010248</v>
      </c>
      <c r="G64" s="391">
        <v>94.894772848888792</v>
      </c>
      <c r="H64" s="287">
        <v>372.66</v>
      </c>
      <c r="I64" s="287">
        <v>257.2</v>
      </c>
      <c r="J64" s="287">
        <v>650.46</v>
      </c>
      <c r="K64" s="287">
        <v>673.76</v>
      </c>
      <c r="L64" s="287">
        <v>453.21</v>
      </c>
      <c r="M64" s="287">
        <v>470</v>
      </c>
      <c r="N64" s="287">
        <v>493.11</v>
      </c>
      <c r="O64" s="287">
        <v>0</v>
      </c>
      <c r="P64" s="287">
        <v>474.94</v>
      </c>
      <c r="Q64" s="287">
        <v>0</v>
      </c>
      <c r="R64" s="287">
        <v>383.71</v>
      </c>
      <c r="S64" s="287">
        <v>0</v>
      </c>
      <c r="T64" s="287">
        <v>375.14</v>
      </c>
      <c r="U64" s="287">
        <v>0</v>
      </c>
      <c r="V64" s="287">
        <v>518.82000000000005</v>
      </c>
      <c r="W64" s="287">
        <v>0</v>
      </c>
      <c r="X64" s="287">
        <v>510.25</v>
      </c>
      <c r="Y64" s="287">
        <v>0</v>
      </c>
      <c r="Z64" s="287">
        <v>518.83000000000004</v>
      </c>
      <c r="AA64" s="287">
        <v>0</v>
      </c>
      <c r="AB64" s="287">
        <v>1685.82</v>
      </c>
      <c r="AC64" s="287">
        <v>0</v>
      </c>
      <c r="AD64" s="287">
        <v>433.65</v>
      </c>
      <c r="AE64" s="287">
        <v>0</v>
      </c>
      <c r="AF64" s="687" t="s">
        <v>525</v>
      </c>
      <c r="AG64" s="762">
        <f t="shared" si="0"/>
        <v>75.370000000000118</v>
      </c>
    </row>
    <row r="65" spans="1:33" s="519" customFormat="1" ht="15.75" x14ac:dyDescent="0.25">
      <c r="A65" s="390" t="s">
        <v>169</v>
      </c>
      <c r="B65" s="391">
        <v>0</v>
      </c>
      <c r="C65" s="392">
        <v>0</v>
      </c>
      <c r="D65" s="392">
        <v>0</v>
      </c>
      <c r="E65" s="629">
        <v>0</v>
      </c>
      <c r="F65" s="391">
        <v>0</v>
      </c>
      <c r="G65" s="391">
        <v>0</v>
      </c>
      <c r="H65" s="290">
        <v>0</v>
      </c>
      <c r="I65" s="290">
        <v>0</v>
      </c>
      <c r="J65" s="290">
        <v>0</v>
      </c>
      <c r="K65" s="290">
        <v>0</v>
      </c>
      <c r="L65" s="290">
        <v>0</v>
      </c>
      <c r="M65" s="290">
        <v>0</v>
      </c>
      <c r="N65" s="290">
        <v>0</v>
      </c>
      <c r="O65" s="290">
        <v>0</v>
      </c>
      <c r="P65" s="290">
        <v>0</v>
      </c>
      <c r="Q65" s="290">
        <v>0</v>
      </c>
      <c r="R65" s="290">
        <v>0</v>
      </c>
      <c r="S65" s="290">
        <v>0</v>
      </c>
      <c r="T65" s="290">
        <v>0</v>
      </c>
      <c r="U65" s="290">
        <v>0</v>
      </c>
      <c r="V65" s="290">
        <v>0</v>
      </c>
      <c r="W65" s="290">
        <v>0</v>
      </c>
      <c r="X65" s="290">
        <v>0</v>
      </c>
      <c r="Y65" s="290">
        <v>0</v>
      </c>
      <c r="Z65" s="290">
        <v>0</v>
      </c>
      <c r="AA65" s="290">
        <v>0</v>
      </c>
      <c r="AB65" s="290">
        <v>0</v>
      </c>
      <c r="AC65" s="290">
        <v>0</v>
      </c>
      <c r="AD65" s="290">
        <v>0</v>
      </c>
      <c r="AE65" s="290">
        <v>0</v>
      </c>
      <c r="AF65" s="394"/>
      <c r="AG65" s="762">
        <f t="shared" si="0"/>
        <v>0</v>
      </c>
    </row>
    <row r="66" spans="1:33" s="519" customFormat="1" ht="15.75" x14ac:dyDescent="0.25">
      <c r="A66" s="286" t="s">
        <v>32</v>
      </c>
      <c r="B66" s="391">
        <v>0</v>
      </c>
      <c r="C66" s="392">
        <v>0</v>
      </c>
      <c r="D66" s="392">
        <v>0</v>
      </c>
      <c r="E66" s="629">
        <v>0</v>
      </c>
      <c r="F66" s="391">
        <v>0</v>
      </c>
      <c r="G66" s="391">
        <v>0</v>
      </c>
      <c r="H66" s="290">
        <v>0</v>
      </c>
      <c r="I66" s="290">
        <v>0</v>
      </c>
      <c r="J66" s="290">
        <v>0</v>
      </c>
      <c r="K66" s="290">
        <v>0</v>
      </c>
      <c r="L66" s="290">
        <v>0</v>
      </c>
      <c r="M66" s="290">
        <v>0</v>
      </c>
      <c r="N66" s="290">
        <v>0</v>
      </c>
      <c r="O66" s="290">
        <v>0</v>
      </c>
      <c r="P66" s="290">
        <v>0</v>
      </c>
      <c r="Q66" s="290">
        <v>0</v>
      </c>
      <c r="R66" s="290">
        <v>0</v>
      </c>
      <c r="S66" s="290">
        <v>0</v>
      </c>
      <c r="T66" s="290">
        <v>0</v>
      </c>
      <c r="U66" s="290">
        <v>0</v>
      </c>
      <c r="V66" s="290">
        <v>0</v>
      </c>
      <c r="W66" s="290">
        <v>0</v>
      </c>
      <c r="X66" s="290">
        <v>0</v>
      </c>
      <c r="Y66" s="290">
        <v>0</v>
      </c>
      <c r="Z66" s="290">
        <v>0</v>
      </c>
      <c r="AA66" s="290">
        <v>0</v>
      </c>
      <c r="AB66" s="290">
        <v>0</v>
      </c>
      <c r="AC66" s="290">
        <v>0</v>
      </c>
      <c r="AD66" s="290">
        <v>0</v>
      </c>
      <c r="AE66" s="290">
        <v>0</v>
      </c>
      <c r="AF66" s="394"/>
      <c r="AG66" s="762">
        <f t="shared" si="0"/>
        <v>0</v>
      </c>
    </row>
    <row r="67" spans="1:33" s="516" customFormat="1" ht="15.75" x14ac:dyDescent="0.25">
      <c r="A67" s="517" t="s">
        <v>33</v>
      </c>
      <c r="B67" s="619">
        <v>6870.5999999999995</v>
      </c>
      <c r="C67" s="392">
        <v>1476.3300000000002</v>
      </c>
      <c r="D67" s="620">
        <v>1400.96</v>
      </c>
      <c r="E67" s="619">
        <v>1400.96</v>
      </c>
      <c r="F67" s="620">
        <v>20.390650016010248</v>
      </c>
      <c r="G67" s="620">
        <v>94.894772848888792</v>
      </c>
      <c r="H67" s="620">
        <v>372.66</v>
      </c>
      <c r="I67" s="620">
        <v>257.2</v>
      </c>
      <c r="J67" s="620">
        <v>650.46</v>
      </c>
      <c r="K67" s="620">
        <v>673.76</v>
      </c>
      <c r="L67" s="620">
        <v>453.21</v>
      </c>
      <c r="M67" s="620">
        <v>470</v>
      </c>
      <c r="N67" s="620">
        <v>493.11</v>
      </c>
      <c r="O67" s="620">
        <v>0</v>
      </c>
      <c r="P67" s="620">
        <v>474.94</v>
      </c>
      <c r="Q67" s="620">
        <v>0</v>
      </c>
      <c r="R67" s="620">
        <v>383.71</v>
      </c>
      <c r="S67" s="620">
        <v>0</v>
      </c>
      <c r="T67" s="620">
        <v>375.14</v>
      </c>
      <c r="U67" s="620">
        <v>0</v>
      </c>
      <c r="V67" s="620">
        <v>518.82000000000005</v>
      </c>
      <c r="W67" s="620">
        <v>0</v>
      </c>
      <c r="X67" s="620">
        <v>510.25</v>
      </c>
      <c r="Y67" s="620">
        <v>0</v>
      </c>
      <c r="Z67" s="620">
        <v>518.83000000000004</v>
      </c>
      <c r="AA67" s="620">
        <v>0</v>
      </c>
      <c r="AB67" s="620">
        <v>1685.82</v>
      </c>
      <c r="AC67" s="620">
        <v>0</v>
      </c>
      <c r="AD67" s="620">
        <v>433.65</v>
      </c>
      <c r="AE67" s="620">
        <v>0</v>
      </c>
      <c r="AF67" s="394"/>
      <c r="AG67" s="762">
        <f t="shared" si="0"/>
        <v>75.370000000000118</v>
      </c>
    </row>
    <row r="68" spans="1:33" s="519" customFormat="1" ht="31.5" x14ac:dyDescent="0.25">
      <c r="A68" s="298" t="s">
        <v>174</v>
      </c>
      <c r="B68" s="391">
        <v>0</v>
      </c>
      <c r="C68" s="392">
        <v>0</v>
      </c>
      <c r="D68" s="392">
        <v>0</v>
      </c>
      <c r="E68" s="629">
        <v>0</v>
      </c>
      <c r="F68" s="391">
        <v>0</v>
      </c>
      <c r="G68" s="391">
        <v>0</v>
      </c>
      <c r="H68" s="290">
        <v>0</v>
      </c>
      <c r="I68" s="290">
        <v>0</v>
      </c>
      <c r="J68" s="290">
        <v>0</v>
      </c>
      <c r="K68" s="290">
        <v>0</v>
      </c>
      <c r="L68" s="290">
        <v>0</v>
      </c>
      <c r="M68" s="290">
        <v>0</v>
      </c>
      <c r="N68" s="290">
        <v>0</v>
      </c>
      <c r="O68" s="290">
        <v>0</v>
      </c>
      <c r="P68" s="290">
        <v>0</v>
      </c>
      <c r="Q68" s="290">
        <v>0</v>
      </c>
      <c r="R68" s="290">
        <v>0</v>
      </c>
      <c r="S68" s="290">
        <v>0</v>
      </c>
      <c r="T68" s="290">
        <v>0</v>
      </c>
      <c r="U68" s="290">
        <v>0</v>
      </c>
      <c r="V68" s="290">
        <v>0</v>
      </c>
      <c r="W68" s="290">
        <v>0</v>
      </c>
      <c r="X68" s="290">
        <v>0</v>
      </c>
      <c r="Y68" s="290">
        <v>0</v>
      </c>
      <c r="Z68" s="290">
        <v>0</v>
      </c>
      <c r="AA68" s="290">
        <v>0</v>
      </c>
      <c r="AB68" s="290">
        <v>0</v>
      </c>
      <c r="AC68" s="290">
        <v>0</v>
      </c>
      <c r="AD68" s="290">
        <v>0</v>
      </c>
      <c r="AE68" s="290">
        <v>0</v>
      </c>
      <c r="AF68" s="394"/>
      <c r="AG68" s="762">
        <f t="shared" si="0"/>
        <v>0</v>
      </c>
    </row>
    <row r="69" spans="1:33" s="519" customFormat="1" ht="15.75" x14ac:dyDescent="0.25">
      <c r="A69" s="286" t="s">
        <v>221</v>
      </c>
      <c r="B69" s="391">
        <v>0</v>
      </c>
      <c r="C69" s="392">
        <v>0</v>
      </c>
      <c r="D69" s="392">
        <v>0</v>
      </c>
      <c r="E69" s="629">
        <v>0</v>
      </c>
      <c r="F69" s="391">
        <v>0</v>
      </c>
      <c r="G69" s="391">
        <v>0</v>
      </c>
      <c r="H69" s="290">
        <v>0</v>
      </c>
      <c r="I69" s="290">
        <v>0</v>
      </c>
      <c r="J69" s="290">
        <v>0</v>
      </c>
      <c r="K69" s="290">
        <v>0</v>
      </c>
      <c r="L69" s="290">
        <v>0</v>
      </c>
      <c r="M69" s="290">
        <v>0</v>
      </c>
      <c r="N69" s="290">
        <v>0</v>
      </c>
      <c r="O69" s="290">
        <v>0</v>
      </c>
      <c r="P69" s="290">
        <v>0</v>
      </c>
      <c r="Q69" s="290">
        <v>0</v>
      </c>
      <c r="R69" s="290">
        <v>0</v>
      </c>
      <c r="S69" s="290">
        <v>0</v>
      </c>
      <c r="T69" s="290">
        <v>0</v>
      </c>
      <c r="U69" s="290">
        <v>0</v>
      </c>
      <c r="V69" s="290">
        <v>0</v>
      </c>
      <c r="W69" s="290">
        <v>0</v>
      </c>
      <c r="X69" s="290">
        <v>0</v>
      </c>
      <c r="Y69" s="290">
        <v>0</v>
      </c>
      <c r="Z69" s="290">
        <v>0</v>
      </c>
      <c r="AA69" s="290">
        <v>0</v>
      </c>
      <c r="AB69" s="290">
        <v>0</v>
      </c>
      <c r="AC69" s="290">
        <v>0</v>
      </c>
      <c r="AD69" s="290">
        <v>0</v>
      </c>
      <c r="AE69" s="290">
        <v>0</v>
      </c>
      <c r="AF69" s="705"/>
      <c r="AG69" s="762">
        <f t="shared" si="0"/>
        <v>0</v>
      </c>
    </row>
    <row r="70" spans="1:33" s="519" customFormat="1" ht="15.75" customHeight="1" x14ac:dyDescent="0.25">
      <c r="A70" s="684" t="s">
        <v>457</v>
      </c>
      <c r="B70" s="685"/>
      <c r="C70" s="685"/>
      <c r="D70" s="685"/>
      <c r="E70" s="685"/>
      <c r="F70" s="685"/>
      <c r="G70" s="685"/>
      <c r="H70" s="685"/>
      <c r="I70" s="685"/>
      <c r="J70" s="685"/>
      <c r="K70" s="685"/>
      <c r="L70" s="685"/>
      <c r="M70" s="685"/>
      <c r="N70" s="685"/>
      <c r="O70" s="685"/>
      <c r="P70" s="685"/>
      <c r="Q70" s="685"/>
      <c r="R70" s="685"/>
      <c r="S70" s="685"/>
      <c r="T70" s="685"/>
      <c r="U70" s="685"/>
      <c r="V70" s="685"/>
      <c r="W70" s="685"/>
      <c r="X70" s="685"/>
      <c r="Y70" s="685"/>
      <c r="Z70" s="685"/>
      <c r="AA70" s="685"/>
      <c r="AB70" s="685"/>
      <c r="AC70" s="685"/>
      <c r="AD70" s="685"/>
      <c r="AE70" s="686"/>
      <c r="AF70" s="700"/>
      <c r="AG70" s="762">
        <f t="shared" si="0"/>
        <v>0</v>
      </c>
    </row>
    <row r="71" spans="1:33" s="519" customFormat="1" ht="141.75" x14ac:dyDescent="0.25">
      <c r="A71" s="286" t="s">
        <v>31</v>
      </c>
      <c r="B71" s="287">
        <v>992.2</v>
      </c>
      <c r="C71" s="287">
        <v>0</v>
      </c>
      <c r="D71" s="287">
        <v>0</v>
      </c>
      <c r="E71" s="630">
        <v>0</v>
      </c>
      <c r="F71" s="287">
        <v>0</v>
      </c>
      <c r="G71" s="287">
        <v>0</v>
      </c>
      <c r="H71" s="287">
        <v>0</v>
      </c>
      <c r="I71" s="287">
        <v>0</v>
      </c>
      <c r="J71" s="287">
        <v>0</v>
      </c>
      <c r="K71" s="287">
        <v>0</v>
      </c>
      <c r="L71" s="287">
        <v>0</v>
      </c>
      <c r="M71" s="287">
        <v>0</v>
      </c>
      <c r="N71" s="287">
        <v>0</v>
      </c>
      <c r="O71" s="287">
        <v>0</v>
      </c>
      <c r="P71" s="287">
        <v>0</v>
      </c>
      <c r="Q71" s="287">
        <v>0</v>
      </c>
      <c r="R71" s="287">
        <v>0</v>
      </c>
      <c r="S71" s="287">
        <v>0</v>
      </c>
      <c r="T71" s="287">
        <v>0</v>
      </c>
      <c r="U71" s="287">
        <v>0</v>
      </c>
      <c r="V71" s="287">
        <v>0</v>
      </c>
      <c r="W71" s="287">
        <v>0</v>
      </c>
      <c r="X71" s="287">
        <v>0</v>
      </c>
      <c r="Y71" s="287">
        <v>0</v>
      </c>
      <c r="Z71" s="287">
        <v>992.2</v>
      </c>
      <c r="AA71" s="287">
        <v>0</v>
      </c>
      <c r="AB71" s="287">
        <v>0</v>
      </c>
      <c r="AC71" s="287">
        <v>0</v>
      </c>
      <c r="AD71" s="287">
        <v>0</v>
      </c>
      <c r="AE71" s="287">
        <v>0</v>
      </c>
      <c r="AF71" s="687" t="s">
        <v>526</v>
      </c>
      <c r="AG71" s="762">
        <f t="shared" si="0"/>
        <v>0</v>
      </c>
    </row>
    <row r="72" spans="1:33" s="519" customFormat="1" ht="15.75" x14ac:dyDescent="0.25">
      <c r="A72" s="390" t="s">
        <v>169</v>
      </c>
      <c r="B72" s="391">
        <v>0</v>
      </c>
      <c r="C72" s="392">
        <v>0</v>
      </c>
      <c r="D72" s="391">
        <v>0</v>
      </c>
      <c r="E72" s="391">
        <v>0</v>
      </c>
      <c r="F72" s="339">
        <v>0</v>
      </c>
      <c r="G72" s="339">
        <v>0</v>
      </c>
      <c r="H72" s="290">
        <v>0</v>
      </c>
      <c r="I72" s="290">
        <v>0</v>
      </c>
      <c r="J72" s="290">
        <v>0</v>
      </c>
      <c r="K72" s="290">
        <v>0</v>
      </c>
      <c r="L72" s="290">
        <v>0</v>
      </c>
      <c r="M72" s="290">
        <v>0</v>
      </c>
      <c r="N72" s="290">
        <v>0</v>
      </c>
      <c r="O72" s="290">
        <v>0</v>
      </c>
      <c r="P72" s="290">
        <v>0</v>
      </c>
      <c r="Q72" s="290">
        <v>0</v>
      </c>
      <c r="R72" s="290">
        <v>0</v>
      </c>
      <c r="S72" s="290">
        <v>0</v>
      </c>
      <c r="T72" s="290">
        <v>0</v>
      </c>
      <c r="U72" s="290">
        <v>0</v>
      </c>
      <c r="V72" s="290">
        <v>0</v>
      </c>
      <c r="W72" s="290">
        <v>0</v>
      </c>
      <c r="X72" s="290">
        <v>0</v>
      </c>
      <c r="Y72" s="290">
        <v>0</v>
      </c>
      <c r="Z72" s="290">
        <v>0</v>
      </c>
      <c r="AA72" s="290">
        <v>0</v>
      </c>
      <c r="AB72" s="290">
        <v>0</v>
      </c>
      <c r="AC72" s="290">
        <v>0</v>
      </c>
      <c r="AD72" s="290">
        <v>0</v>
      </c>
      <c r="AE72" s="290">
        <v>0</v>
      </c>
      <c r="AF72" s="692"/>
      <c r="AG72" s="762">
        <f t="shared" si="0"/>
        <v>0</v>
      </c>
    </row>
    <row r="73" spans="1:33" s="516" customFormat="1" ht="15.75" x14ac:dyDescent="0.25">
      <c r="A73" s="517" t="s">
        <v>32</v>
      </c>
      <c r="B73" s="619">
        <v>992.2</v>
      </c>
      <c r="C73" s="392">
        <v>0</v>
      </c>
      <c r="D73" s="391">
        <v>0</v>
      </c>
      <c r="E73" s="391">
        <v>0</v>
      </c>
      <c r="F73" s="339">
        <v>0</v>
      </c>
      <c r="G73" s="339">
        <v>0</v>
      </c>
      <c r="H73" s="290">
        <v>0</v>
      </c>
      <c r="I73" s="290">
        <v>0</v>
      </c>
      <c r="J73" s="290">
        <v>0</v>
      </c>
      <c r="K73" s="290">
        <v>0</v>
      </c>
      <c r="L73" s="290">
        <v>0</v>
      </c>
      <c r="M73" s="290">
        <v>0</v>
      </c>
      <c r="N73" s="290">
        <v>0</v>
      </c>
      <c r="O73" s="290">
        <v>0</v>
      </c>
      <c r="P73" s="290">
        <v>0</v>
      </c>
      <c r="Q73" s="290">
        <v>0</v>
      </c>
      <c r="R73" s="290">
        <v>0</v>
      </c>
      <c r="S73" s="290">
        <v>0</v>
      </c>
      <c r="T73" s="290">
        <v>0</v>
      </c>
      <c r="U73" s="290">
        <v>0</v>
      </c>
      <c r="V73" s="290">
        <v>0</v>
      </c>
      <c r="W73" s="290">
        <v>0</v>
      </c>
      <c r="X73" s="290">
        <v>0</v>
      </c>
      <c r="Y73" s="290">
        <v>0</v>
      </c>
      <c r="Z73" s="620">
        <v>992.2</v>
      </c>
      <c r="AA73" s="518">
        <v>0</v>
      </c>
      <c r="AB73" s="518">
        <v>0</v>
      </c>
      <c r="AC73" s="518">
        <v>0</v>
      </c>
      <c r="AD73" s="518">
        <v>0</v>
      </c>
      <c r="AE73" s="518">
        <v>0</v>
      </c>
      <c r="AF73" s="692"/>
      <c r="AG73" s="762">
        <f t="shared" ref="AG73:AG109" si="1">C73-E73</f>
        <v>0</v>
      </c>
    </row>
    <row r="74" spans="1:33" s="519" customFormat="1" ht="15.75" x14ac:dyDescent="0.25">
      <c r="A74" s="286" t="s">
        <v>33</v>
      </c>
      <c r="B74" s="391">
        <v>0</v>
      </c>
      <c r="C74" s="392">
        <v>0</v>
      </c>
      <c r="D74" s="391">
        <v>0</v>
      </c>
      <c r="E74" s="391">
        <v>0</v>
      </c>
      <c r="F74" s="339">
        <v>0</v>
      </c>
      <c r="G74" s="339">
        <v>0</v>
      </c>
      <c r="H74" s="290">
        <v>0</v>
      </c>
      <c r="I74" s="290">
        <v>0</v>
      </c>
      <c r="J74" s="290">
        <v>0</v>
      </c>
      <c r="K74" s="290">
        <v>0</v>
      </c>
      <c r="L74" s="290">
        <v>0</v>
      </c>
      <c r="M74" s="290">
        <v>0</v>
      </c>
      <c r="N74" s="290">
        <v>0</v>
      </c>
      <c r="O74" s="290">
        <v>0</v>
      </c>
      <c r="P74" s="290">
        <v>0</v>
      </c>
      <c r="Q74" s="290">
        <v>0</v>
      </c>
      <c r="R74" s="290">
        <v>0</v>
      </c>
      <c r="S74" s="290">
        <v>0</v>
      </c>
      <c r="T74" s="290">
        <v>0</v>
      </c>
      <c r="U74" s="290">
        <v>0</v>
      </c>
      <c r="V74" s="290">
        <v>0</v>
      </c>
      <c r="W74" s="290">
        <v>0</v>
      </c>
      <c r="X74" s="290">
        <v>0</v>
      </c>
      <c r="Y74" s="290">
        <v>0</v>
      </c>
      <c r="Z74" s="290">
        <v>0</v>
      </c>
      <c r="AA74" s="290">
        <v>0</v>
      </c>
      <c r="AB74" s="290">
        <v>0</v>
      </c>
      <c r="AC74" s="290">
        <v>0</v>
      </c>
      <c r="AD74" s="290">
        <v>0</v>
      </c>
      <c r="AE74" s="290">
        <v>0</v>
      </c>
      <c r="AF74" s="692"/>
      <c r="AG74" s="762">
        <f t="shared" si="1"/>
        <v>0</v>
      </c>
    </row>
    <row r="75" spans="1:33" s="519" customFormat="1" ht="31.5" x14ac:dyDescent="0.25">
      <c r="A75" s="298" t="s">
        <v>174</v>
      </c>
      <c r="B75" s="391">
        <v>0</v>
      </c>
      <c r="C75" s="392">
        <v>0</v>
      </c>
      <c r="D75" s="391">
        <v>0</v>
      </c>
      <c r="E75" s="391">
        <v>0</v>
      </c>
      <c r="F75" s="339">
        <v>0</v>
      </c>
      <c r="G75" s="339">
        <v>0</v>
      </c>
      <c r="H75" s="290">
        <v>0</v>
      </c>
      <c r="I75" s="290">
        <v>0</v>
      </c>
      <c r="J75" s="290">
        <v>0</v>
      </c>
      <c r="K75" s="290">
        <v>0</v>
      </c>
      <c r="L75" s="290">
        <v>0</v>
      </c>
      <c r="M75" s="290">
        <v>0</v>
      </c>
      <c r="N75" s="290">
        <v>0</v>
      </c>
      <c r="O75" s="290">
        <v>0</v>
      </c>
      <c r="P75" s="290">
        <v>0</v>
      </c>
      <c r="Q75" s="290">
        <v>0</v>
      </c>
      <c r="R75" s="290">
        <v>0</v>
      </c>
      <c r="S75" s="290">
        <v>0</v>
      </c>
      <c r="T75" s="290">
        <v>0</v>
      </c>
      <c r="U75" s="290">
        <v>0</v>
      </c>
      <c r="V75" s="290">
        <v>0</v>
      </c>
      <c r="W75" s="290">
        <v>0</v>
      </c>
      <c r="X75" s="290">
        <v>0</v>
      </c>
      <c r="Y75" s="290">
        <v>0</v>
      </c>
      <c r="Z75" s="290">
        <v>0</v>
      </c>
      <c r="AA75" s="290">
        <v>0</v>
      </c>
      <c r="AB75" s="290">
        <v>0</v>
      </c>
      <c r="AC75" s="290">
        <v>0</v>
      </c>
      <c r="AD75" s="290">
        <v>0</v>
      </c>
      <c r="AE75" s="290">
        <v>0</v>
      </c>
      <c r="AF75" s="692"/>
      <c r="AG75" s="762">
        <f t="shared" si="1"/>
        <v>0</v>
      </c>
    </row>
    <row r="76" spans="1:33" s="519" customFormat="1" ht="15.75" x14ac:dyDescent="0.25">
      <c r="A76" s="286" t="s">
        <v>221</v>
      </c>
      <c r="B76" s="391">
        <v>0</v>
      </c>
      <c r="C76" s="392">
        <v>0</v>
      </c>
      <c r="D76" s="391">
        <v>0</v>
      </c>
      <c r="E76" s="391">
        <v>0</v>
      </c>
      <c r="F76" s="339">
        <v>0</v>
      </c>
      <c r="G76" s="339">
        <v>0</v>
      </c>
      <c r="H76" s="290">
        <v>0</v>
      </c>
      <c r="I76" s="290">
        <v>0</v>
      </c>
      <c r="J76" s="290">
        <v>0</v>
      </c>
      <c r="K76" s="290">
        <v>0</v>
      </c>
      <c r="L76" s="290">
        <v>0</v>
      </c>
      <c r="M76" s="290">
        <v>0</v>
      </c>
      <c r="N76" s="290">
        <v>0</v>
      </c>
      <c r="O76" s="290">
        <v>0</v>
      </c>
      <c r="P76" s="290">
        <v>0</v>
      </c>
      <c r="Q76" s="290">
        <v>0</v>
      </c>
      <c r="R76" s="290">
        <v>0</v>
      </c>
      <c r="S76" s="290">
        <v>0</v>
      </c>
      <c r="T76" s="290">
        <v>0</v>
      </c>
      <c r="U76" s="290">
        <v>0</v>
      </c>
      <c r="V76" s="290">
        <v>0</v>
      </c>
      <c r="W76" s="290">
        <v>0</v>
      </c>
      <c r="X76" s="290">
        <v>0</v>
      </c>
      <c r="Y76" s="290">
        <v>0</v>
      </c>
      <c r="Z76" s="290">
        <v>0</v>
      </c>
      <c r="AA76" s="290">
        <v>0</v>
      </c>
      <c r="AB76" s="290">
        <v>0</v>
      </c>
      <c r="AC76" s="290">
        <v>0</v>
      </c>
      <c r="AD76" s="290">
        <v>0</v>
      </c>
      <c r="AE76" s="290">
        <v>0</v>
      </c>
      <c r="AF76" s="693"/>
      <c r="AG76" s="762">
        <f t="shared" si="1"/>
        <v>0</v>
      </c>
    </row>
    <row r="77" spans="1:33" s="519" customFormat="1" ht="15.75" customHeight="1" x14ac:dyDescent="0.25">
      <c r="A77" s="684" t="s">
        <v>458</v>
      </c>
      <c r="B77" s="685"/>
      <c r="C77" s="685"/>
      <c r="D77" s="685"/>
      <c r="E77" s="685"/>
      <c r="F77" s="685"/>
      <c r="G77" s="685"/>
      <c r="H77" s="685"/>
      <c r="I77" s="685"/>
      <c r="J77" s="685"/>
      <c r="K77" s="685"/>
      <c r="L77" s="685"/>
      <c r="M77" s="685"/>
      <c r="N77" s="685"/>
      <c r="O77" s="685"/>
      <c r="P77" s="685"/>
      <c r="Q77" s="685"/>
      <c r="R77" s="685"/>
      <c r="S77" s="685"/>
      <c r="T77" s="685"/>
      <c r="U77" s="685"/>
      <c r="V77" s="685"/>
      <c r="W77" s="685"/>
      <c r="X77" s="685"/>
      <c r="Y77" s="685"/>
      <c r="Z77" s="685"/>
      <c r="AA77" s="685"/>
      <c r="AB77" s="685"/>
      <c r="AC77" s="685"/>
      <c r="AD77" s="685"/>
      <c r="AE77" s="686"/>
      <c r="AF77" s="692"/>
      <c r="AG77" s="762">
        <f t="shared" si="1"/>
        <v>0</v>
      </c>
    </row>
    <row r="78" spans="1:33" s="519" customFormat="1" ht="15.75" customHeight="1" x14ac:dyDescent="0.25">
      <c r="A78" s="286" t="s">
        <v>31</v>
      </c>
      <c r="B78" s="287">
        <v>8022.7</v>
      </c>
      <c r="C78" s="287">
        <v>2717.96</v>
      </c>
      <c r="D78" s="287">
        <v>1250.6100000000001</v>
      </c>
      <c r="E78" s="630">
        <v>1250.6100000000001</v>
      </c>
      <c r="F78" s="287">
        <v>15.588392935046805</v>
      </c>
      <c r="G78" s="287">
        <v>46.012818437357431</v>
      </c>
      <c r="H78" s="287">
        <v>526.79999999999995</v>
      </c>
      <c r="I78" s="287">
        <v>248.69</v>
      </c>
      <c r="J78" s="287">
        <v>956.85</v>
      </c>
      <c r="K78" s="287">
        <v>457.34000000000003</v>
      </c>
      <c r="L78" s="287">
        <v>1234.31</v>
      </c>
      <c r="M78" s="287">
        <v>544.58000000000004</v>
      </c>
      <c r="N78" s="287">
        <v>679.3</v>
      </c>
      <c r="O78" s="287">
        <v>0</v>
      </c>
      <c r="P78" s="287">
        <v>576.45000000000005</v>
      </c>
      <c r="Q78" s="287">
        <v>0</v>
      </c>
      <c r="R78" s="287">
        <v>576.46</v>
      </c>
      <c r="S78" s="287">
        <v>0</v>
      </c>
      <c r="T78" s="287">
        <v>576.45000000000005</v>
      </c>
      <c r="U78" s="287">
        <v>0</v>
      </c>
      <c r="V78" s="287">
        <v>576.46</v>
      </c>
      <c r="W78" s="287">
        <v>0</v>
      </c>
      <c r="X78" s="287">
        <v>576.45000000000005</v>
      </c>
      <c r="Y78" s="287">
        <v>0</v>
      </c>
      <c r="Z78" s="287">
        <v>576.46</v>
      </c>
      <c r="AA78" s="287">
        <v>0</v>
      </c>
      <c r="AB78" s="287">
        <v>576.45000000000005</v>
      </c>
      <c r="AC78" s="287">
        <v>0</v>
      </c>
      <c r="AD78" s="287">
        <v>590.26</v>
      </c>
      <c r="AE78" s="287">
        <v>0</v>
      </c>
      <c r="AF78" s="687" t="s">
        <v>527</v>
      </c>
      <c r="AG78" s="762">
        <f t="shared" si="1"/>
        <v>1467.35</v>
      </c>
    </row>
    <row r="79" spans="1:33" s="519" customFormat="1" ht="15.75" x14ac:dyDescent="0.25">
      <c r="A79" s="390" t="s">
        <v>169</v>
      </c>
      <c r="B79" s="391">
        <v>0</v>
      </c>
      <c r="C79" s="392">
        <v>0</v>
      </c>
      <c r="D79" s="392">
        <v>0</v>
      </c>
      <c r="E79" s="392">
        <v>0</v>
      </c>
      <c r="F79" s="339">
        <v>0</v>
      </c>
      <c r="G79" s="339">
        <v>0</v>
      </c>
      <c r="H79" s="290">
        <v>0</v>
      </c>
      <c r="I79" s="290">
        <v>0</v>
      </c>
      <c r="J79" s="290">
        <v>0</v>
      </c>
      <c r="K79" s="290">
        <v>0</v>
      </c>
      <c r="L79" s="290">
        <v>0</v>
      </c>
      <c r="M79" s="290">
        <v>0</v>
      </c>
      <c r="N79" s="290">
        <v>0</v>
      </c>
      <c r="O79" s="290">
        <v>0</v>
      </c>
      <c r="P79" s="290">
        <v>0</v>
      </c>
      <c r="Q79" s="290">
        <v>0</v>
      </c>
      <c r="R79" s="290">
        <v>0</v>
      </c>
      <c r="S79" s="290">
        <v>0</v>
      </c>
      <c r="T79" s="290">
        <v>0</v>
      </c>
      <c r="U79" s="290">
        <v>0</v>
      </c>
      <c r="V79" s="290">
        <v>0</v>
      </c>
      <c r="W79" s="290">
        <v>0</v>
      </c>
      <c r="X79" s="290">
        <v>0</v>
      </c>
      <c r="Y79" s="290">
        <v>0</v>
      </c>
      <c r="Z79" s="290">
        <v>0</v>
      </c>
      <c r="AA79" s="290">
        <v>0</v>
      </c>
      <c r="AB79" s="290">
        <v>0</v>
      </c>
      <c r="AC79" s="290">
        <v>0</v>
      </c>
      <c r="AD79" s="290">
        <v>0</v>
      </c>
      <c r="AE79" s="290">
        <v>0</v>
      </c>
      <c r="AF79" s="692"/>
      <c r="AG79" s="762">
        <f t="shared" si="1"/>
        <v>0</v>
      </c>
    </row>
    <row r="80" spans="1:33" s="516" customFormat="1" ht="15.75" x14ac:dyDescent="0.25">
      <c r="A80" s="517" t="s">
        <v>32</v>
      </c>
      <c r="B80" s="619">
        <v>595.29999999999995</v>
      </c>
      <c r="C80" s="392">
        <v>595.29999999999995</v>
      </c>
      <c r="D80" s="620">
        <v>378.12</v>
      </c>
      <c r="E80" s="765">
        <v>378.12</v>
      </c>
      <c r="F80" s="620">
        <v>63.517554174365877</v>
      </c>
      <c r="G80" s="620">
        <v>63.517554174365877</v>
      </c>
      <c r="H80" s="620">
        <v>526.79999999999995</v>
      </c>
      <c r="I80" s="620">
        <v>248.69</v>
      </c>
      <c r="J80" s="620">
        <v>68.5</v>
      </c>
      <c r="K80" s="617">
        <v>129.43</v>
      </c>
      <c r="L80" s="622"/>
      <c r="M80" s="623"/>
      <c r="N80" s="622"/>
      <c r="O80" s="623"/>
      <c r="P80" s="622"/>
      <c r="Q80" s="623"/>
      <c r="R80" s="622"/>
      <c r="S80" s="623"/>
      <c r="T80" s="623"/>
      <c r="U80" s="623"/>
      <c r="V80" s="623"/>
      <c r="W80" s="623"/>
      <c r="X80" s="623"/>
      <c r="Y80" s="623"/>
      <c r="Z80" s="624"/>
      <c r="AA80" s="624"/>
      <c r="AB80" s="624"/>
      <c r="AC80" s="624"/>
      <c r="AD80" s="624"/>
      <c r="AE80" s="621"/>
      <c r="AF80" s="692"/>
      <c r="AG80" s="762">
        <f t="shared" si="1"/>
        <v>217.17999999999995</v>
      </c>
    </row>
    <row r="81" spans="1:33" s="516" customFormat="1" ht="15.75" x14ac:dyDescent="0.25">
      <c r="A81" s="517" t="s">
        <v>33</v>
      </c>
      <c r="B81" s="619">
        <v>7427.4</v>
      </c>
      <c r="C81" s="392">
        <v>2122.66</v>
      </c>
      <c r="D81" s="620">
        <v>872.49</v>
      </c>
      <c r="E81" s="765">
        <v>872.49</v>
      </c>
      <c r="F81" s="620">
        <v>11.746910089667987</v>
      </c>
      <c r="G81" s="620"/>
      <c r="H81" s="617"/>
      <c r="I81" s="617"/>
      <c r="J81" s="620">
        <v>888.35</v>
      </c>
      <c r="K81" s="617">
        <v>327.91</v>
      </c>
      <c r="L81" s="620">
        <v>1234.31</v>
      </c>
      <c r="M81" s="620">
        <v>544.58000000000004</v>
      </c>
      <c r="N81" s="620">
        <v>679.3</v>
      </c>
      <c r="O81" s="620">
        <v>0</v>
      </c>
      <c r="P81" s="620">
        <v>576.45000000000005</v>
      </c>
      <c r="Q81" s="620">
        <v>0</v>
      </c>
      <c r="R81" s="620">
        <v>576.46</v>
      </c>
      <c r="S81" s="620">
        <v>0</v>
      </c>
      <c r="T81" s="620">
        <v>576.45000000000005</v>
      </c>
      <c r="U81" s="620">
        <v>0</v>
      </c>
      <c r="V81" s="620">
        <v>576.46</v>
      </c>
      <c r="W81" s="620">
        <v>0</v>
      </c>
      <c r="X81" s="620">
        <v>576.45000000000005</v>
      </c>
      <c r="Y81" s="620">
        <v>0</v>
      </c>
      <c r="Z81" s="620">
        <v>576.46</v>
      </c>
      <c r="AA81" s="620">
        <v>0</v>
      </c>
      <c r="AB81" s="620">
        <v>576.45000000000005</v>
      </c>
      <c r="AC81" s="620">
        <v>0</v>
      </c>
      <c r="AD81" s="620">
        <v>590.26</v>
      </c>
      <c r="AE81" s="620">
        <v>0</v>
      </c>
      <c r="AF81" s="692"/>
      <c r="AG81" s="762">
        <f t="shared" si="1"/>
        <v>1250.1699999999998</v>
      </c>
    </row>
    <row r="82" spans="1:33" s="519" customFormat="1" ht="31.5" x14ac:dyDescent="0.25">
      <c r="A82" s="298" t="s">
        <v>174</v>
      </c>
      <c r="B82" s="391">
        <v>0</v>
      </c>
      <c r="C82" s="392">
        <v>0</v>
      </c>
      <c r="D82" s="392">
        <v>0</v>
      </c>
      <c r="E82" s="392">
        <v>0</v>
      </c>
      <c r="F82" s="339">
        <v>0</v>
      </c>
      <c r="G82" s="339">
        <v>0</v>
      </c>
      <c r="H82" s="290">
        <v>0</v>
      </c>
      <c r="I82" s="290">
        <v>0</v>
      </c>
      <c r="J82" s="290">
        <v>0</v>
      </c>
      <c r="K82" s="290">
        <v>0</v>
      </c>
      <c r="L82" s="290">
        <v>0</v>
      </c>
      <c r="M82" s="290">
        <v>0</v>
      </c>
      <c r="N82" s="290">
        <v>0</v>
      </c>
      <c r="O82" s="290">
        <v>0</v>
      </c>
      <c r="P82" s="290">
        <v>0</v>
      </c>
      <c r="Q82" s="290">
        <v>0</v>
      </c>
      <c r="R82" s="290">
        <v>0</v>
      </c>
      <c r="S82" s="290">
        <v>0</v>
      </c>
      <c r="T82" s="290">
        <v>0</v>
      </c>
      <c r="U82" s="290">
        <v>0</v>
      </c>
      <c r="V82" s="290">
        <v>0</v>
      </c>
      <c r="W82" s="290">
        <v>0</v>
      </c>
      <c r="X82" s="290">
        <v>0</v>
      </c>
      <c r="Y82" s="290">
        <v>0</v>
      </c>
      <c r="Z82" s="290">
        <v>0</v>
      </c>
      <c r="AA82" s="290">
        <v>0</v>
      </c>
      <c r="AB82" s="290">
        <v>0</v>
      </c>
      <c r="AC82" s="290">
        <v>0</v>
      </c>
      <c r="AD82" s="290">
        <v>0</v>
      </c>
      <c r="AE82" s="290">
        <v>0</v>
      </c>
      <c r="AF82" s="692"/>
      <c r="AG82" s="762">
        <f t="shared" si="1"/>
        <v>0</v>
      </c>
    </row>
    <row r="83" spans="1:33" s="519" customFormat="1" ht="15.75" x14ac:dyDescent="0.25">
      <c r="A83" s="286" t="s">
        <v>221</v>
      </c>
      <c r="B83" s="391">
        <v>0</v>
      </c>
      <c r="C83" s="392">
        <v>0</v>
      </c>
      <c r="D83" s="392">
        <v>0</v>
      </c>
      <c r="E83" s="392">
        <v>0</v>
      </c>
      <c r="F83" s="339">
        <v>0</v>
      </c>
      <c r="G83" s="339">
        <v>0</v>
      </c>
      <c r="H83" s="290">
        <v>0</v>
      </c>
      <c r="I83" s="290">
        <v>0</v>
      </c>
      <c r="J83" s="290">
        <v>0</v>
      </c>
      <c r="K83" s="290">
        <v>0</v>
      </c>
      <c r="L83" s="290">
        <v>0</v>
      </c>
      <c r="M83" s="290">
        <v>0</v>
      </c>
      <c r="N83" s="290">
        <v>0</v>
      </c>
      <c r="O83" s="290">
        <v>0</v>
      </c>
      <c r="P83" s="290">
        <v>0</v>
      </c>
      <c r="Q83" s="290">
        <v>0</v>
      </c>
      <c r="R83" s="290">
        <v>0</v>
      </c>
      <c r="S83" s="290">
        <v>0</v>
      </c>
      <c r="T83" s="290">
        <v>0</v>
      </c>
      <c r="U83" s="290">
        <v>0</v>
      </c>
      <c r="V83" s="290">
        <v>0</v>
      </c>
      <c r="W83" s="290">
        <v>0</v>
      </c>
      <c r="X83" s="290">
        <v>0</v>
      </c>
      <c r="Y83" s="290">
        <v>0</v>
      </c>
      <c r="Z83" s="290">
        <v>0</v>
      </c>
      <c r="AA83" s="290">
        <v>0</v>
      </c>
      <c r="AB83" s="290">
        <v>0</v>
      </c>
      <c r="AC83" s="290">
        <v>0</v>
      </c>
      <c r="AD83" s="290">
        <v>0</v>
      </c>
      <c r="AE83" s="290">
        <v>0</v>
      </c>
      <c r="AF83" s="693"/>
      <c r="AG83" s="762">
        <f t="shared" si="1"/>
        <v>0</v>
      </c>
    </row>
    <row r="84" spans="1:33" s="519" customFormat="1" ht="15.75" customHeight="1" x14ac:dyDescent="0.25">
      <c r="A84" s="684" t="s">
        <v>459</v>
      </c>
      <c r="B84" s="685"/>
      <c r="C84" s="685"/>
      <c r="D84" s="685"/>
      <c r="E84" s="685"/>
      <c r="F84" s="685"/>
      <c r="G84" s="685"/>
      <c r="H84" s="685"/>
      <c r="I84" s="685"/>
      <c r="J84" s="685"/>
      <c r="K84" s="685"/>
      <c r="L84" s="685"/>
      <c r="M84" s="685"/>
      <c r="N84" s="685"/>
      <c r="O84" s="685"/>
      <c r="P84" s="685"/>
      <c r="Q84" s="685"/>
      <c r="R84" s="685"/>
      <c r="S84" s="685"/>
      <c r="T84" s="685"/>
      <c r="U84" s="685"/>
      <c r="V84" s="685"/>
      <c r="W84" s="685"/>
      <c r="X84" s="685"/>
      <c r="Y84" s="685"/>
      <c r="Z84" s="685"/>
      <c r="AA84" s="685"/>
      <c r="AB84" s="685"/>
      <c r="AC84" s="685"/>
      <c r="AD84" s="685"/>
      <c r="AE84" s="686"/>
      <c r="AF84" s="688"/>
      <c r="AG84" s="762">
        <f t="shared" si="1"/>
        <v>0</v>
      </c>
    </row>
    <row r="85" spans="1:33" s="519" customFormat="1" ht="31.5" x14ac:dyDescent="0.25">
      <c r="A85" s="286" t="s">
        <v>31</v>
      </c>
      <c r="B85" s="287">
        <v>3592.47</v>
      </c>
      <c r="C85" s="287">
        <v>3592.47</v>
      </c>
      <c r="D85" s="287">
        <v>3460.92</v>
      </c>
      <c r="E85" s="630">
        <v>3460.92</v>
      </c>
      <c r="F85" s="287">
        <v>96.338174013979241</v>
      </c>
      <c r="G85" s="287">
        <v>96.338174013979241</v>
      </c>
      <c r="H85" s="287">
        <v>0</v>
      </c>
      <c r="I85" s="287">
        <v>0</v>
      </c>
      <c r="J85" s="287">
        <v>3592.47</v>
      </c>
      <c r="K85" s="287">
        <v>3460.92</v>
      </c>
      <c r="L85" s="287">
        <v>0</v>
      </c>
      <c r="M85" s="287">
        <v>0</v>
      </c>
      <c r="N85" s="287">
        <v>0</v>
      </c>
      <c r="O85" s="287">
        <v>0</v>
      </c>
      <c r="P85" s="287">
        <v>0</v>
      </c>
      <c r="Q85" s="287">
        <v>0</v>
      </c>
      <c r="R85" s="287">
        <v>0</v>
      </c>
      <c r="S85" s="287">
        <v>0</v>
      </c>
      <c r="T85" s="287">
        <v>0</v>
      </c>
      <c r="U85" s="287">
        <v>0</v>
      </c>
      <c r="V85" s="287">
        <v>0</v>
      </c>
      <c r="W85" s="287">
        <v>0</v>
      </c>
      <c r="X85" s="287">
        <v>0</v>
      </c>
      <c r="Y85" s="287">
        <v>0</v>
      </c>
      <c r="Z85" s="287">
        <v>0</v>
      </c>
      <c r="AA85" s="287">
        <v>0</v>
      </c>
      <c r="AB85" s="287">
        <v>0</v>
      </c>
      <c r="AC85" s="287">
        <v>0</v>
      </c>
      <c r="AD85" s="287">
        <v>0</v>
      </c>
      <c r="AE85" s="287">
        <v>0</v>
      </c>
      <c r="AF85" s="687" t="s">
        <v>528</v>
      </c>
      <c r="AG85" s="762">
        <f t="shared" si="1"/>
        <v>131.54999999999973</v>
      </c>
    </row>
    <row r="86" spans="1:33" s="519" customFormat="1" ht="15.75" x14ac:dyDescent="0.25">
      <c r="A86" s="390" t="s">
        <v>169</v>
      </c>
      <c r="B86" s="391">
        <v>0</v>
      </c>
      <c r="C86" s="392">
        <v>0</v>
      </c>
      <c r="D86" s="391">
        <v>0</v>
      </c>
      <c r="E86" s="391">
        <v>0</v>
      </c>
      <c r="F86" s="339">
        <v>0</v>
      </c>
      <c r="G86" s="339">
        <v>0</v>
      </c>
      <c r="H86" s="290">
        <v>0</v>
      </c>
      <c r="I86" s="290">
        <v>0</v>
      </c>
      <c r="J86" s="290">
        <v>0</v>
      </c>
      <c r="K86" s="290">
        <v>0</v>
      </c>
      <c r="L86" s="290">
        <v>0</v>
      </c>
      <c r="M86" s="290">
        <v>0</v>
      </c>
      <c r="N86" s="290">
        <v>0</v>
      </c>
      <c r="O86" s="290">
        <v>0</v>
      </c>
      <c r="P86" s="290">
        <v>0</v>
      </c>
      <c r="Q86" s="290">
        <v>0</v>
      </c>
      <c r="R86" s="290">
        <v>0</v>
      </c>
      <c r="S86" s="290">
        <v>0</v>
      </c>
      <c r="T86" s="290">
        <v>0</v>
      </c>
      <c r="U86" s="290">
        <v>0</v>
      </c>
      <c r="V86" s="290">
        <v>0</v>
      </c>
      <c r="W86" s="290">
        <v>0</v>
      </c>
      <c r="X86" s="290">
        <v>0</v>
      </c>
      <c r="Y86" s="290">
        <v>0</v>
      </c>
      <c r="Z86" s="290">
        <v>0</v>
      </c>
      <c r="AA86" s="290">
        <v>0</v>
      </c>
      <c r="AB86" s="290">
        <v>0</v>
      </c>
      <c r="AC86" s="290">
        <v>0</v>
      </c>
      <c r="AD86" s="290">
        <v>0</v>
      </c>
      <c r="AE86" s="290">
        <v>0</v>
      </c>
      <c r="AF86" s="692"/>
      <c r="AG86" s="762">
        <f t="shared" si="1"/>
        <v>0</v>
      </c>
    </row>
    <row r="87" spans="1:33" s="519" customFormat="1" ht="15.75" x14ac:dyDescent="0.25">
      <c r="A87" s="286" t="s">
        <v>32</v>
      </c>
      <c r="B87" s="391">
        <v>0</v>
      </c>
      <c r="C87" s="392">
        <v>0</v>
      </c>
      <c r="D87" s="391">
        <v>0</v>
      </c>
      <c r="E87" s="391">
        <v>0</v>
      </c>
      <c r="F87" s="339">
        <v>0</v>
      </c>
      <c r="G87" s="339">
        <v>0</v>
      </c>
      <c r="H87" s="290">
        <v>0</v>
      </c>
      <c r="I87" s="290">
        <v>0</v>
      </c>
      <c r="J87" s="290">
        <v>0</v>
      </c>
      <c r="K87" s="290">
        <v>0</v>
      </c>
      <c r="L87" s="290">
        <v>0</v>
      </c>
      <c r="M87" s="290">
        <v>0</v>
      </c>
      <c r="N87" s="290">
        <v>0</v>
      </c>
      <c r="O87" s="290">
        <v>0</v>
      </c>
      <c r="P87" s="290">
        <v>0</v>
      </c>
      <c r="Q87" s="290">
        <v>0</v>
      </c>
      <c r="R87" s="290">
        <v>0</v>
      </c>
      <c r="S87" s="290">
        <v>0</v>
      </c>
      <c r="T87" s="290">
        <v>0</v>
      </c>
      <c r="U87" s="290">
        <v>0</v>
      </c>
      <c r="V87" s="290">
        <v>0</v>
      </c>
      <c r="W87" s="290">
        <v>0</v>
      </c>
      <c r="X87" s="290">
        <v>0</v>
      </c>
      <c r="Y87" s="290">
        <v>0</v>
      </c>
      <c r="Z87" s="290">
        <v>0</v>
      </c>
      <c r="AA87" s="290">
        <v>0</v>
      </c>
      <c r="AB87" s="290">
        <v>0</v>
      </c>
      <c r="AC87" s="290">
        <v>0</v>
      </c>
      <c r="AD87" s="290">
        <v>0</v>
      </c>
      <c r="AE87" s="290">
        <v>0</v>
      </c>
      <c r="AF87" s="692"/>
      <c r="AG87" s="762">
        <f t="shared" si="1"/>
        <v>0</v>
      </c>
    </row>
    <row r="88" spans="1:33" s="516" customFormat="1" ht="15.75" x14ac:dyDescent="0.25">
      <c r="A88" s="517" t="s">
        <v>33</v>
      </c>
      <c r="B88" s="619">
        <v>3592.47</v>
      </c>
      <c r="C88" s="392">
        <v>3592.47</v>
      </c>
      <c r="D88" s="617">
        <v>3460.92</v>
      </c>
      <c r="E88" s="617">
        <v>3460.92</v>
      </c>
      <c r="F88" s="625">
        <v>96.338174013979256</v>
      </c>
      <c r="G88" s="625">
        <v>96.338174013979256</v>
      </c>
      <c r="H88" s="290">
        <v>0</v>
      </c>
      <c r="I88" s="290">
        <v>0</v>
      </c>
      <c r="J88" s="620">
        <v>3592.47</v>
      </c>
      <c r="K88" s="617">
        <v>3460.92</v>
      </c>
      <c r="L88" s="617">
        <v>0</v>
      </c>
      <c r="M88" s="617">
        <v>0</v>
      </c>
      <c r="N88" s="617">
        <v>0</v>
      </c>
      <c r="O88" s="617">
        <v>0</v>
      </c>
      <c r="P88" s="617">
        <v>0</v>
      </c>
      <c r="Q88" s="617">
        <v>0</v>
      </c>
      <c r="R88" s="617">
        <v>0</v>
      </c>
      <c r="S88" s="617">
        <v>0</v>
      </c>
      <c r="T88" s="617">
        <v>0</v>
      </c>
      <c r="U88" s="617">
        <v>0</v>
      </c>
      <c r="V88" s="617">
        <v>0</v>
      </c>
      <c r="W88" s="617">
        <v>0</v>
      </c>
      <c r="X88" s="617">
        <v>0</v>
      </c>
      <c r="Y88" s="617">
        <v>0</v>
      </c>
      <c r="Z88" s="617">
        <v>0</v>
      </c>
      <c r="AA88" s="617">
        <v>0</v>
      </c>
      <c r="AB88" s="617">
        <v>0</v>
      </c>
      <c r="AC88" s="617">
        <v>0</v>
      </c>
      <c r="AD88" s="617">
        <v>0</v>
      </c>
      <c r="AE88" s="617">
        <v>0</v>
      </c>
      <c r="AF88" s="692"/>
      <c r="AG88" s="762">
        <f t="shared" si="1"/>
        <v>131.54999999999973</v>
      </c>
    </row>
    <row r="89" spans="1:33" s="519" customFormat="1" ht="31.5" x14ac:dyDescent="0.25">
      <c r="A89" s="298" t="s">
        <v>174</v>
      </c>
      <c r="B89" s="391">
        <v>0</v>
      </c>
      <c r="C89" s="392">
        <v>0</v>
      </c>
      <c r="D89" s="391">
        <v>0</v>
      </c>
      <c r="E89" s="391">
        <v>0</v>
      </c>
      <c r="F89" s="339">
        <v>0</v>
      </c>
      <c r="G89" s="339">
        <v>0</v>
      </c>
      <c r="H89" s="290">
        <v>0</v>
      </c>
      <c r="I89" s="290">
        <v>0</v>
      </c>
      <c r="J89" s="290">
        <v>0</v>
      </c>
      <c r="K89" s="290">
        <v>0</v>
      </c>
      <c r="L89" s="290">
        <v>0</v>
      </c>
      <c r="M89" s="290">
        <v>0</v>
      </c>
      <c r="N89" s="290">
        <v>0</v>
      </c>
      <c r="O89" s="290">
        <v>0</v>
      </c>
      <c r="P89" s="290">
        <v>0</v>
      </c>
      <c r="Q89" s="290">
        <v>0</v>
      </c>
      <c r="R89" s="290">
        <v>0</v>
      </c>
      <c r="S89" s="290">
        <v>0</v>
      </c>
      <c r="T89" s="290">
        <v>0</v>
      </c>
      <c r="U89" s="290">
        <v>0</v>
      </c>
      <c r="V89" s="290">
        <v>0</v>
      </c>
      <c r="W89" s="290">
        <v>0</v>
      </c>
      <c r="X89" s="290">
        <v>0</v>
      </c>
      <c r="Y89" s="290">
        <v>0</v>
      </c>
      <c r="Z89" s="290">
        <v>0</v>
      </c>
      <c r="AA89" s="290">
        <v>0</v>
      </c>
      <c r="AB89" s="290">
        <v>0</v>
      </c>
      <c r="AC89" s="290">
        <v>0</v>
      </c>
      <c r="AD89" s="290">
        <v>0</v>
      </c>
      <c r="AE89" s="290">
        <v>0</v>
      </c>
      <c r="AF89" s="692"/>
      <c r="AG89" s="762">
        <f t="shared" si="1"/>
        <v>0</v>
      </c>
    </row>
    <row r="90" spans="1:33" s="519" customFormat="1" ht="15.75" x14ac:dyDescent="0.25">
      <c r="A90" s="286" t="s">
        <v>221</v>
      </c>
      <c r="B90" s="391">
        <v>0</v>
      </c>
      <c r="C90" s="392">
        <v>0</v>
      </c>
      <c r="D90" s="391">
        <v>0</v>
      </c>
      <c r="E90" s="391">
        <v>0</v>
      </c>
      <c r="F90" s="339">
        <v>0</v>
      </c>
      <c r="G90" s="339">
        <v>0</v>
      </c>
      <c r="H90" s="290">
        <v>0</v>
      </c>
      <c r="I90" s="290">
        <v>0</v>
      </c>
      <c r="J90" s="290">
        <v>0</v>
      </c>
      <c r="K90" s="290">
        <v>0</v>
      </c>
      <c r="L90" s="290">
        <v>0</v>
      </c>
      <c r="M90" s="290">
        <v>0</v>
      </c>
      <c r="N90" s="290">
        <v>0</v>
      </c>
      <c r="O90" s="290">
        <v>0</v>
      </c>
      <c r="P90" s="290">
        <v>0</v>
      </c>
      <c r="Q90" s="290">
        <v>0</v>
      </c>
      <c r="R90" s="290">
        <v>0</v>
      </c>
      <c r="S90" s="290">
        <v>0</v>
      </c>
      <c r="T90" s="290">
        <v>0</v>
      </c>
      <c r="U90" s="290">
        <v>0</v>
      </c>
      <c r="V90" s="290">
        <v>0</v>
      </c>
      <c r="W90" s="290">
        <v>0</v>
      </c>
      <c r="X90" s="290">
        <v>0</v>
      </c>
      <c r="Y90" s="290">
        <v>0</v>
      </c>
      <c r="Z90" s="290">
        <v>0</v>
      </c>
      <c r="AA90" s="290">
        <v>0</v>
      </c>
      <c r="AB90" s="290">
        <v>0</v>
      </c>
      <c r="AC90" s="290">
        <v>0</v>
      </c>
      <c r="AD90" s="290">
        <v>0</v>
      </c>
      <c r="AE90" s="290">
        <v>0</v>
      </c>
      <c r="AF90" s="693"/>
      <c r="AG90" s="762">
        <f t="shared" si="1"/>
        <v>0</v>
      </c>
    </row>
    <row r="91" spans="1:33" s="519" customFormat="1" ht="15.75" customHeight="1" x14ac:dyDescent="0.25">
      <c r="A91" s="684" t="s">
        <v>460</v>
      </c>
      <c r="B91" s="685"/>
      <c r="C91" s="685"/>
      <c r="D91" s="685"/>
      <c r="E91" s="685"/>
      <c r="F91" s="685"/>
      <c r="G91" s="685"/>
      <c r="H91" s="685"/>
      <c r="I91" s="685"/>
      <c r="J91" s="685"/>
      <c r="K91" s="685"/>
      <c r="L91" s="685"/>
      <c r="M91" s="685"/>
      <c r="N91" s="685"/>
      <c r="O91" s="685"/>
      <c r="P91" s="685"/>
      <c r="Q91" s="685"/>
      <c r="R91" s="685"/>
      <c r="S91" s="685"/>
      <c r="T91" s="685"/>
      <c r="U91" s="685"/>
      <c r="V91" s="685"/>
      <c r="W91" s="685"/>
      <c r="X91" s="685"/>
      <c r="Y91" s="685"/>
      <c r="Z91" s="685"/>
      <c r="AA91" s="685"/>
      <c r="AB91" s="685"/>
      <c r="AC91" s="685"/>
      <c r="AD91" s="685"/>
      <c r="AE91" s="686"/>
      <c r="AF91" s="394"/>
      <c r="AG91" s="762">
        <f t="shared" si="1"/>
        <v>0</v>
      </c>
    </row>
    <row r="92" spans="1:33" s="519" customFormat="1" ht="126" x14ac:dyDescent="0.25">
      <c r="A92" s="395" t="s">
        <v>461</v>
      </c>
      <c r="B92" s="391">
        <v>6871.9</v>
      </c>
      <c r="C92" s="391">
        <v>0</v>
      </c>
      <c r="D92" s="391">
        <v>0</v>
      </c>
      <c r="E92" s="391">
        <v>0</v>
      </c>
      <c r="F92" s="287">
        <v>0</v>
      </c>
      <c r="G92" s="287">
        <v>0</v>
      </c>
      <c r="H92" s="396">
        <v>0</v>
      </c>
      <c r="I92" s="396">
        <v>0</v>
      </c>
      <c r="J92" s="396">
        <v>0</v>
      </c>
      <c r="K92" s="396">
        <v>0</v>
      </c>
      <c r="L92" s="396">
        <v>0</v>
      </c>
      <c r="M92" s="396">
        <v>0</v>
      </c>
      <c r="N92" s="396">
        <v>0</v>
      </c>
      <c r="O92" s="396">
        <v>0</v>
      </c>
      <c r="P92" s="396">
        <v>0</v>
      </c>
      <c r="Q92" s="396">
        <v>0</v>
      </c>
      <c r="R92" s="396">
        <v>0</v>
      </c>
      <c r="S92" s="396">
        <v>0</v>
      </c>
      <c r="T92" s="396">
        <v>0</v>
      </c>
      <c r="U92" s="396">
        <v>0</v>
      </c>
      <c r="V92" s="396">
        <v>0</v>
      </c>
      <c r="W92" s="396">
        <v>0</v>
      </c>
      <c r="X92" s="396">
        <v>0</v>
      </c>
      <c r="Y92" s="396">
        <v>0</v>
      </c>
      <c r="Z92" s="396">
        <v>6871.9</v>
      </c>
      <c r="AA92" s="396">
        <v>0</v>
      </c>
      <c r="AB92" s="396">
        <v>0</v>
      </c>
      <c r="AC92" s="396">
        <v>0</v>
      </c>
      <c r="AD92" s="396">
        <v>0</v>
      </c>
      <c r="AE92" s="396">
        <v>0</v>
      </c>
      <c r="AF92" s="694" t="s">
        <v>529</v>
      </c>
      <c r="AG92" s="762">
        <f t="shared" si="1"/>
        <v>0</v>
      </c>
    </row>
    <row r="93" spans="1:33" s="519" customFormat="1" ht="15.75" x14ac:dyDescent="0.25">
      <c r="A93" s="390" t="s">
        <v>169</v>
      </c>
      <c r="B93" s="391">
        <v>0</v>
      </c>
      <c r="C93" s="392">
        <v>0</v>
      </c>
      <c r="D93" s="392">
        <v>0</v>
      </c>
      <c r="E93" s="392">
        <v>0</v>
      </c>
      <c r="F93" s="339">
        <v>0</v>
      </c>
      <c r="G93" s="339">
        <v>0</v>
      </c>
      <c r="H93" s="290">
        <v>0</v>
      </c>
      <c r="I93" s="290">
        <v>0</v>
      </c>
      <c r="J93" s="290">
        <v>0</v>
      </c>
      <c r="K93" s="290">
        <v>0</v>
      </c>
      <c r="L93" s="290">
        <v>0</v>
      </c>
      <c r="M93" s="290">
        <v>0</v>
      </c>
      <c r="N93" s="290">
        <v>0</v>
      </c>
      <c r="O93" s="290">
        <v>0</v>
      </c>
      <c r="P93" s="290">
        <v>0</v>
      </c>
      <c r="Q93" s="290">
        <v>0</v>
      </c>
      <c r="R93" s="290">
        <v>0</v>
      </c>
      <c r="S93" s="290">
        <v>0</v>
      </c>
      <c r="T93" s="290">
        <v>0</v>
      </c>
      <c r="U93" s="290">
        <v>0</v>
      </c>
      <c r="V93" s="290">
        <v>0</v>
      </c>
      <c r="W93" s="290">
        <v>0</v>
      </c>
      <c r="X93" s="290">
        <v>0</v>
      </c>
      <c r="Y93" s="290">
        <v>0</v>
      </c>
      <c r="Z93" s="290">
        <v>0</v>
      </c>
      <c r="AA93" s="290">
        <v>0</v>
      </c>
      <c r="AB93" s="290">
        <v>0</v>
      </c>
      <c r="AC93" s="290">
        <v>0</v>
      </c>
      <c r="AD93" s="290">
        <v>0</v>
      </c>
      <c r="AE93" s="290">
        <v>0</v>
      </c>
      <c r="AF93" s="689"/>
      <c r="AG93" s="762">
        <f t="shared" si="1"/>
        <v>0</v>
      </c>
    </row>
    <row r="94" spans="1:33" s="519" customFormat="1" ht="15.75" x14ac:dyDescent="0.25">
      <c r="A94" s="286" t="s">
        <v>32</v>
      </c>
      <c r="B94" s="391">
        <v>0</v>
      </c>
      <c r="C94" s="392">
        <v>0</v>
      </c>
      <c r="D94" s="392">
        <v>0</v>
      </c>
      <c r="E94" s="392">
        <v>0</v>
      </c>
      <c r="F94" s="339">
        <v>0</v>
      </c>
      <c r="G94" s="339">
        <v>0</v>
      </c>
      <c r="H94" s="290">
        <v>0</v>
      </c>
      <c r="I94" s="290">
        <v>0</v>
      </c>
      <c r="J94" s="290">
        <v>0</v>
      </c>
      <c r="K94" s="290">
        <v>0</v>
      </c>
      <c r="L94" s="290">
        <v>0</v>
      </c>
      <c r="M94" s="290">
        <v>0</v>
      </c>
      <c r="N94" s="290">
        <v>0</v>
      </c>
      <c r="O94" s="290">
        <v>0</v>
      </c>
      <c r="P94" s="290">
        <v>0</v>
      </c>
      <c r="Q94" s="290">
        <v>0</v>
      </c>
      <c r="R94" s="290">
        <v>0</v>
      </c>
      <c r="S94" s="290">
        <v>0</v>
      </c>
      <c r="T94" s="290">
        <v>0</v>
      </c>
      <c r="U94" s="290">
        <v>0</v>
      </c>
      <c r="V94" s="290">
        <v>0</v>
      </c>
      <c r="W94" s="290">
        <v>0</v>
      </c>
      <c r="X94" s="290">
        <v>0</v>
      </c>
      <c r="Y94" s="290">
        <v>0</v>
      </c>
      <c r="Z94" s="290">
        <v>0</v>
      </c>
      <c r="AA94" s="290">
        <v>0</v>
      </c>
      <c r="AB94" s="290">
        <v>0</v>
      </c>
      <c r="AC94" s="290">
        <v>0</v>
      </c>
      <c r="AD94" s="290">
        <v>0</v>
      </c>
      <c r="AE94" s="290">
        <v>0</v>
      </c>
      <c r="AF94" s="689"/>
      <c r="AG94" s="762">
        <f t="shared" si="1"/>
        <v>0</v>
      </c>
    </row>
    <row r="95" spans="1:33" s="516" customFormat="1" ht="15.75" x14ac:dyDescent="0.25">
      <c r="A95" s="517" t="s">
        <v>33</v>
      </c>
      <c r="B95" s="619">
        <v>6871.9</v>
      </c>
      <c r="C95" s="392">
        <v>0</v>
      </c>
      <c r="D95" s="618">
        <v>0</v>
      </c>
      <c r="E95" s="618">
        <v>0</v>
      </c>
      <c r="F95" s="626">
        <v>0</v>
      </c>
      <c r="G95" s="627" t="e">
        <v>#DIV/0!</v>
      </c>
      <c r="H95" s="617"/>
      <c r="I95" s="617"/>
      <c r="J95" s="617"/>
      <c r="K95" s="617"/>
      <c r="L95" s="617">
        <v>0</v>
      </c>
      <c r="M95" s="617">
        <v>0</v>
      </c>
      <c r="N95" s="617">
        <v>0</v>
      </c>
      <c r="O95" s="617">
        <v>0</v>
      </c>
      <c r="P95" s="617">
        <v>0</v>
      </c>
      <c r="Q95" s="617">
        <v>0</v>
      </c>
      <c r="R95" s="617">
        <v>0</v>
      </c>
      <c r="S95" s="617">
        <v>0</v>
      </c>
      <c r="T95" s="617">
        <v>0</v>
      </c>
      <c r="U95" s="617">
        <v>0</v>
      </c>
      <c r="V95" s="617">
        <v>0</v>
      </c>
      <c r="W95" s="617">
        <v>0</v>
      </c>
      <c r="X95" s="617">
        <v>0</v>
      </c>
      <c r="Y95" s="617">
        <v>0</v>
      </c>
      <c r="Z95" s="617">
        <v>6871.9</v>
      </c>
      <c r="AA95" s="617">
        <v>0</v>
      </c>
      <c r="AB95" s="617">
        <v>0</v>
      </c>
      <c r="AC95" s="617">
        <v>0</v>
      </c>
      <c r="AD95" s="617">
        <v>0</v>
      </c>
      <c r="AE95" s="617">
        <v>0</v>
      </c>
      <c r="AF95" s="689"/>
      <c r="AG95" s="762">
        <f t="shared" si="1"/>
        <v>0</v>
      </c>
    </row>
    <row r="96" spans="1:33" s="519" customFormat="1" ht="31.5" x14ac:dyDescent="0.25">
      <c r="A96" s="298" t="s">
        <v>174</v>
      </c>
      <c r="B96" s="391">
        <v>0</v>
      </c>
      <c r="C96" s="392">
        <v>0</v>
      </c>
      <c r="D96" s="392">
        <v>0</v>
      </c>
      <c r="E96" s="392">
        <v>0</v>
      </c>
      <c r="F96" s="339">
        <v>0</v>
      </c>
      <c r="G96" s="339">
        <v>0</v>
      </c>
      <c r="H96" s="290">
        <v>0</v>
      </c>
      <c r="I96" s="290">
        <v>0</v>
      </c>
      <c r="J96" s="290">
        <v>0</v>
      </c>
      <c r="K96" s="290">
        <v>0</v>
      </c>
      <c r="L96" s="290">
        <v>0</v>
      </c>
      <c r="M96" s="290">
        <v>0</v>
      </c>
      <c r="N96" s="290">
        <v>0</v>
      </c>
      <c r="O96" s="290">
        <v>0</v>
      </c>
      <c r="P96" s="290">
        <v>0</v>
      </c>
      <c r="Q96" s="290">
        <v>0</v>
      </c>
      <c r="R96" s="290">
        <v>0</v>
      </c>
      <c r="S96" s="290">
        <v>0</v>
      </c>
      <c r="T96" s="290">
        <v>0</v>
      </c>
      <c r="U96" s="290">
        <v>0</v>
      </c>
      <c r="V96" s="290">
        <v>0</v>
      </c>
      <c r="W96" s="290">
        <v>0</v>
      </c>
      <c r="X96" s="290">
        <v>0</v>
      </c>
      <c r="Y96" s="290">
        <v>0</v>
      </c>
      <c r="Z96" s="290">
        <v>0</v>
      </c>
      <c r="AA96" s="290">
        <v>0</v>
      </c>
      <c r="AB96" s="290">
        <v>0</v>
      </c>
      <c r="AC96" s="290">
        <v>0</v>
      </c>
      <c r="AD96" s="290">
        <v>0</v>
      </c>
      <c r="AE96" s="290">
        <v>0</v>
      </c>
      <c r="AF96" s="689"/>
      <c r="AG96" s="762">
        <f t="shared" si="1"/>
        <v>0</v>
      </c>
    </row>
    <row r="97" spans="1:33" s="519" customFormat="1" ht="15.75" x14ac:dyDescent="0.25">
      <c r="A97" s="286" t="s">
        <v>221</v>
      </c>
      <c r="B97" s="391">
        <v>0</v>
      </c>
      <c r="C97" s="392">
        <v>0</v>
      </c>
      <c r="D97" s="392">
        <v>0</v>
      </c>
      <c r="E97" s="392">
        <v>0</v>
      </c>
      <c r="F97" s="339">
        <v>0</v>
      </c>
      <c r="G97" s="339">
        <v>0</v>
      </c>
      <c r="H97" s="290">
        <v>0</v>
      </c>
      <c r="I97" s="290">
        <v>0</v>
      </c>
      <c r="J97" s="290">
        <v>0</v>
      </c>
      <c r="K97" s="290">
        <v>0</v>
      </c>
      <c r="L97" s="290">
        <v>0</v>
      </c>
      <c r="M97" s="290">
        <v>0</v>
      </c>
      <c r="N97" s="290">
        <v>0</v>
      </c>
      <c r="O97" s="290">
        <v>0</v>
      </c>
      <c r="P97" s="290">
        <v>0</v>
      </c>
      <c r="Q97" s="290">
        <v>0</v>
      </c>
      <c r="R97" s="290">
        <v>0</v>
      </c>
      <c r="S97" s="290">
        <v>0</v>
      </c>
      <c r="T97" s="290">
        <v>0</v>
      </c>
      <c r="U97" s="290">
        <v>0</v>
      </c>
      <c r="V97" s="290">
        <v>0</v>
      </c>
      <c r="W97" s="290">
        <v>0</v>
      </c>
      <c r="X97" s="290">
        <v>0</v>
      </c>
      <c r="Y97" s="290">
        <v>0</v>
      </c>
      <c r="Z97" s="290">
        <v>0</v>
      </c>
      <c r="AA97" s="290">
        <v>0</v>
      </c>
      <c r="AB97" s="290">
        <v>0</v>
      </c>
      <c r="AC97" s="290">
        <v>0</v>
      </c>
      <c r="AD97" s="290">
        <v>0</v>
      </c>
      <c r="AE97" s="290">
        <v>0</v>
      </c>
      <c r="AF97" s="690"/>
      <c r="AG97" s="762">
        <f t="shared" si="1"/>
        <v>0</v>
      </c>
    </row>
    <row r="98" spans="1:33" s="519" customFormat="1" ht="15.75" x14ac:dyDescent="0.25">
      <c r="A98" s="397" t="s">
        <v>63</v>
      </c>
      <c r="B98" s="284">
        <v>226191.16800000001</v>
      </c>
      <c r="C98" s="284">
        <v>39081.498</v>
      </c>
      <c r="D98" s="284">
        <v>60271.313000000002</v>
      </c>
      <c r="E98" s="284">
        <v>60271.313000000002</v>
      </c>
      <c r="F98" s="284">
        <v>26.646183196684319</v>
      </c>
      <c r="G98" s="284">
        <v>154.21955678362175</v>
      </c>
      <c r="H98" s="284">
        <v>11190.23</v>
      </c>
      <c r="I98" s="284">
        <v>6245.2199999999993</v>
      </c>
      <c r="J98" s="284">
        <v>27891.267999999996</v>
      </c>
      <c r="K98" s="284">
        <v>30913.993000000002</v>
      </c>
      <c r="L98" s="284">
        <v>27351.11</v>
      </c>
      <c r="M98" s="284">
        <v>23112.100000000002</v>
      </c>
      <c r="N98" s="284">
        <v>17722.969999999998</v>
      </c>
      <c r="O98" s="284">
        <v>0</v>
      </c>
      <c r="P98" s="284">
        <v>17516.859999999997</v>
      </c>
      <c r="Q98" s="284">
        <v>0</v>
      </c>
      <c r="R98" s="284">
        <v>16325.809999999998</v>
      </c>
      <c r="S98" s="284">
        <v>0</v>
      </c>
      <c r="T98" s="284">
        <v>10357.5</v>
      </c>
      <c r="U98" s="284">
        <v>0</v>
      </c>
      <c r="V98" s="284">
        <v>11530.059999999998</v>
      </c>
      <c r="W98" s="284">
        <v>0</v>
      </c>
      <c r="X98" s="284">
        <v>10108.02</v>
      </c>
      <c r="Y98" s="284">
        <v>0</v>
      </c>
      <c r="Z98" s="284">
        <v>34975.74</v>
      </c>
      <c r="AA98" s="284">
        <v>0</v>
      </c>
      <c r="AB98" s="284">
        <v>23354.240000000002</v>
      </c>
      <c r="AC98" s="284">
        <v>0</v>
      </c>
      <c r="AD98" s="284">
        <v>17867.359999999997</v>
      </c>
      <c r="AE98" s="284">
        <v>0</v>
      </c>
      <c r="AF98" s="681"/>
      <c r="AG98" s="762">
        <f t="shared" si="1"/>
        <v>-21189.815000000002</v>
      </c>
    </row>
    <row r="99" spans="1:33" s="519" customFormat="1" ht="15.75" x14ac:dyDescent="0.25">
      <c r="A99" s="390" t="s">
        <v>169</v>
      </c>
      <c r="B99" s="287">
        <v>0</v>
      </c>
      <c r="C99" s="287">
        <v>0</v>
      </c>
      <c r="D99" s="287">
        <v>0</v>
      </c>
      <c r="E99" s="287">
        <v>0</v>
      </c>
      <c r="F99" s="398">
        <v>0</v>
      </c>
      <c r="G99" s="287">
        <v>0</v>
      </c>
      <c r="H99" s="287">
        <v>0</v>
      </c>
      <c r="I99" s="287">
        <v>0</v>
      </c>
      <c r="J99" s="287">
        <v>0</v>
      </c>
      <c r="K99" s="287">
        <v>0</v>
      </c>
      <c r="L99" s="287">
        <v>0</v>
      </c>
      <c r="M99" s="287">
        <v>0</v>
      </c>
      <c r="N99" s="287">
        <v>0</v>
      </c>
      <c r="O99" s="287">
        <v>0</v>
      </c>
      <c r="P99" s="287">
        <v>0</v>
      </c>
      <c r="Q99" s="287">
        <v>0</v>
      </c>
      <c r="R99" s="287">
        <v>0</v>
      </c>
      <c r="S99" s="287">
        <v>0</v>
      </c>
      <c r="T99" s="287">
        <v>0</v>
      </c>
      <c r="U99" s="287">
        <v>0</v>
      </c>
      <c r="V99" s="287">
        <v>0</v>
      </c>
      <c r="W99" s="287">
        <v>0</v>
      </c>
      <c r="X99" s="287">
        <v>0</v>
      </c>
      <c r="Y99" s="287">
        <v>0</v>
      </c>
      <c r="Z99" s="287">
        <v>0</v>
      </c>
      <c r="AA99" s="287">
        <v>0</v>
      </c>
      <c r="AB99" s="287">
        <v>0</v>
      </c>
      <c r="AC99" s="287">
        <v>0</v>
      </c>
      <c r="AD99" s="287">
        <v>0</v>
      </c>
      <c r="AE99" s="287">
        <v>0</v>
      </c>
      <c r="AF99" s="682"/>
      <c r="AG99" s="762">
        <f t="shared" si="1"/>
        <v>0</v>
      </c>
    </row>
    <row r="100" spans="1:33" s="519" customFormat="1" ht="15.75" x14ac:dyDescent="0.25">
      <c r="A100" s="305" t="s">
        <v>32</v>
      </c>
      <c r="B100" s="287">
        <v>1587.5</v>
      </c>
      <c r="C100" s="392">
        <v>595.29999999999995</v>
      </c>
      <c r="D100" s="287">
        <v>378.12</v>
      </c>
      <c r="E100" s="287">
        <v>378.12</v>
      </c>
      <c r="F100" s="398">
        <v>23.818582677165352</v>
      </c>
      <c r="G100" s="287">
        <v>63.517554174365877</v>
      </c>
      <c r="H100" s="287">
        <v>526.79999999999995</v>
      </c>
      <c r="I100" s="287">
        <v>248.69</v>
      </c>
      <c r="J100" s="287">
        <v>68.5</v>
      </c>
      <c r="K100" s="287">
        <v>129.43</v>
      </c>
      <c r="L100" s="287">
        <v>0</v>
      </c>
      <c r="M100" s="287">
        <v>0</v>
      </c>
      <c r="N100" s="287">
        <v>0</v>
      </c>
      <c r="O100" s="287">
        <v>0</v>
      </c>
      <c r="P100" s="287">
        <v>0</v>
      </c>
      <c r="Q100" s="287">
        <v>0</v>
      </c>
      <c r="R100" s="287">
        <v>0</v>
      </c>
      <c r="S100" s="287">
        <v>0</v>
      </c>
      <c r="T100" s="287">
        <v>0</v>
      </c>
      <c r="U100" s="287">
        <v>0</v>
      </c>
      <c r="V100" s="287">
        <v>0</v>
      </c>
      <c r="W100" s="287">
        <v>0</v>
      </c>
      <c r="X100" s="287">
        <v>0</v>
      </c>
      <c r="Y100" s="287">
        <v>0</v>
      </c>
      <c r="Z100" s="287">
        <v>992.2</v>
      </c>
      <c r="AA100" s="287">
        <v>0</v>
      </c>
      <c r="AB100" s="287">
        <v>0</v>
      </c>
      <c r="AC100" s="287">
        <v>0</v>
      </c>
      <c r="AD100" s="287">
        <v>0</v>
      </c>
      <c r="AE100" s="287">
        <v>0</v>
      </c>
      <c r="AF100" s="682"/>
      <c r="AG100" s="762">
        <f t="shared" si="1"/>
        <v>217.17999999999995</v>
      </c>
    </row>
    <row r="101" spans="1:33" s="519" customFormat="1" ht="15.75" x14ac:dyDescent="0.25">
      <c r="A101" s="305" t="s">
        <v>33</v>
      </c>
      <c r="B101" s="287">
        <v>224603.66800000001</v>
      </c>
      <c r="C101" s="392">
        <v>38486.197999999997</v>
      </c>
      <c r="D101" s="287">
        <v>59893.192999999999</v>
      </c>
      <c r="E101" s="287">
        <v>59893.192999999999</v>
      </c>
      <c r="F101" s="398">
        <v>26.666168693202287</v>
      </c>
      <c r="G101" s="287">
        <v>155.62252472951471</v>
      </c>
      <c r="H101" s="287">
        <v>10663.43</v>
      </c>
      <c r="I101" s="287">
        <v>5996.53</v>
      </c>
      <c r="J101" s="287">
        <v>27822.767999999996</v>
      </c>
      <c r="K101" s="287">
        <v>30784.563000000002</v>
      </c>
      <c r="L101" s="287">
        <v>27351.11</v>
      </c>
      <c r="M101" s="287">
        <v>23112.100000000002</v>
      </c>
      <c r="N101" s="287">
        <v>17722.969999999998</v>
      </c>
      <c r="O101" s="287">
        <v>0</v>
      </c>
      <c r="P101" s="287">
        <v>17516.859999999997</v>
      </c>
      <c r="Q101" s="287">
        <v>0</v>
      </c>
      <c r="R101" s="287">
        <v>16325.809999999998</v>
      </c>
      <c r="S101" s="287">
        <v>0</v>
      </c>
      <c r="T101" s="287">
        <v>10357.5</v>
      </c>
      <c r="U101" s="287">
        <v>0</v>
      </c>
      <c r="V101" s="287">
        <v>11530.059999999998</v>
      </c>
      <c r="W101" s="287">
        <v>0</v>
      </c>
      <c r="X101" s="287">
        <v>10108.02</v>
      </c>
      <c r="Y101" s="287">
        <v>0</v>
      </c>
      <c r="Z101" s="287">
        <v>33983.54</v>
      </c>
      <c r="AA101" s="287">
        <v>0</v>
      </c>
      <c r="AB101" s="287">
        <v>23354.240000000002</v>
      </c>
      <c r="AC101" s="287">
        <v>0</v>
      </c>
      <c r="AD101" s="287">
        <v>17867.359999999997</v>
      </c>
      <c r="AE101" s="287">
        <v>0</v>
      </c>
      <c r="AF101" s="682"/>
      <c r="AG101" s="762">
        <f t="shared" si="1"/>
        <v>-21406.995000000003</v>
      </c>
    </row>
    <row r="102" spans="1:33" s="519" customFormat="1" ht="31.5" x14ac:dyDescent="0.25">
      <c r="A102" s="298" t="s">
        <v>174</v>
      </c>
      <c r="B102" s="287">
        <v>0</v>
      </c>
      <c r="C102" s="287">
        <v>0</v>
      </c>
      <c r="D102" s="287">
        <v>0</v>
      </c>
      <c r="E102" s="287">
        <v>0</v>
      </c>
      <c r="F102" s="398">
        <v>0</v>
      </c>
      <c r="G102" s="287">
        <v>0</v>
      </c>
      <c r="H102" s="287">
        <v>0</v>
      </c>
      <c r="I102" s="287">
        <v>0</v>
      </c>
      <c r="J102" s="287">
        <v>0</v>
      </c>
      <c r="K102" s="287">
        <v>0</v>
      </c>
      <c r="L102" s="287">
        <v>0</v>
      </c>
      <c r="M102" s="287">
        <v>0</v>
      </c>
      <c r="N102" s="287">
        <v>0</v>
      </c>
      <c r="O102" s="287">
        <v>0</v>
      </c>
      <c r="P102" s="287">
        <v>0</v>
      </c>
      <c r="Q102" s="287">
        <v>0</v>
      </c>
      <c r="R102" s="287">
        <v>0</v>
      </c>
      <c r="S102" s="287">
        <v>0</v>
      </c>
      <c r="T102" s="287">
        <v>0</v>
      </c>
      <c r="U102" s="287">
        <v>0</v>
      </c>
      <c r="V102" s="287">
        <v>0</v>
      </c>
      <c r="W102" s="287">
        <v>0</v>
      </c>
      <c r="X102" s="287">
        <v>0</v>
      </c>
      <c r="Y102" s="287">
        <v>0</v>
      </c>
      <c r="Z102" s="287">
        <v>0</v>
      </c>
      <c r="AA102" s="287">
        <v>0</v>
      </c>
      <c r="AB102" s="287">
        <v>0</v>
      </c>
      <c r="AC102" s="287">
        <v>0</v>
      </c>
      <c r="AD102" s="287">
        <v>0</v>
      </c>
      <c r="AE102" s="287">
        <v>0</v>
      </c>
      <c r="AF102" s="682"/>
      <c r="AG102" s="762">
        <f t="shared" si="1"/>
        <v>0</v>
      </c>
    </row>
    <row r="103" spans="1:33" s="519" customFormat="1" ht="15.75" x14ac:dyDescent="0.25">
      <c r="A103" s="286" t="s">
        <v>221</v>
      </c>
      <c r="B103" s="287">
        <v>0</v>
      </c>
      <c r="C103" s="287">
        <v>0</v>
      </c>
      <c r="D103" s="287">
        <v>0</v>
      </c>
      <c r="E103" s="287">
        <v>0</v>
      </c>
      <c r="F103" s="398">
        <v>0</v>
      </c>
      <c r="G103" s="287">
        <v>0</v>
      </c>
      <c r="H103" s="287">
        <v>0</v>
      </c>
      <c r="I103" s="287">
        <v>0</v>
      </c>
      <c r="J103" s="287">
        <v>0</v>
      </c>
      <c r="K103" s="287">
        <v>0</v>
      </c>
      <c r="L103" s="287">
        <v>0</v>
      </c>
      <c r="M103" s="287">
        <v>0</v>
      </c>
      <c r="N103" s="287">
        <v>0</v>
      </c>
      <c r="O103" s="287">
        <v>0</v>
      </c>
      <c r="P103" s="287">
        <v>0</v>
      </c>
      <c r="Q103" s="287">
        <v>0</v>
      </c>
      <c r="R103" s="287">
        <v>0</v>
      </c>
      <c r="S103" s="287">
        <v>0</v>
      </c>
      <c r="T103" s="287">
        <v>0</v>
      </c>
      <c r="U103" s="287">
        <v>0</v>
      </c>
      <c r="V103" s="287">
        <v>0</v>
      </c>
      <c r="W103" s="287">
        <v>0</v>
      </c>
      <c r="X103" s="287">
        <v>0</v>
      </c>
      <c r="Y103" s="287">
        <v>0</v>
      </c>
      <c r="Z103" s="287">
        <v>0</v>
      </c>
      <c r="AA103" s="287">
        <v>0</v>
      </c>
      <c r="AB103" s="287">
        <v>0</v>
      </c>
      <c r="AC103" s="287">
        <v>0</v>
      </c>
      <c r="AD103" s="287">
        <v>0</v>
      </c>
      <c r="AE103" s="287">
        <v>0</v>
      </c>
      <c r="AF103" s="683"/>
      <c r="AG103" s="762">
        <f t="shared" si="1"/>
        <v>0</v>
      </c>
    </row>
    <row r="104" spans="1:33" s="519" customFormat="1" ht="31.5" x14ac:dyDescent="0.25">
      <c r="A104" s="399" t="s">
        <v>100</v>
      </c>
      <c r="B104" s="400">
        <v>226191.16800000001</v>
      </c>
      <c r="C104" s="400">
        <v>66432.608000000007</v>
      </c>
      <c r="D104" s="400">
        <v>60271.313000000002</v>
      </c>
      <c r="E104" s="400">
        <v>60271.313000000002</v>
      </c>
      <c r="F104" s="400">
        <v>26.646183196684319</v>
      </c>
      <c r="G104" s="400">
        <v>90.725495828795403</v>
      </c>
      <c r="H104" s="400">
        <v>11190.23</v>
      </c>
      <c r="I104" s="400">
        <v>6245.2199999999993</v>
      </c>
      <c r="J104" s="400">
        <v>27891.267999999996</v>
      </c>
      <c r="K104" s="400">
        <v>30913.993000000002</v>
      </c>
      <c r="L104" s="400">
        <v>27351.11</v>
      </c>
      <c r="M104" s="400">
        <v>23112.100000000002</v>
      </c>
      <c r="N104" s="400">
        <v>17722.969999999998</v>
      </c>
      <c r="O104" s="400">
        <v>0</v>
      </c>
      <c r="P104" s="400">
        <v>17516.859999999997</v>
      </c>
      <c r="Q104" s="400">
        <v>0</v>
      </c>
      <c r="R104" s="400">
        <v>16325.809999999998</v>
      </c>
      <c r="S104" s="400">
        <v>0</v>
      </c>
      <c r="T104" s="400">
        <v>10357.5</v>
      </c>
      <c r="U104" s="400">
        <v>0</v>
      </c>
      <c r="V104" s="400">
        <v>11530.059999999998</v>
      </c>
      <c r="W104" s="400">
        <v>0</v>
      </c>
      <c r="X104" s="400">
        <v>10108.02</v>
      </c>
      <c r="Y104" s="400">
        <v>0</v>
      </c>
      <c r="Z104" s="400">
        <v>34975.74</v>
      </c>
      <c r="AA104" s="400">
        <v>0</v>
      </c>
      <c r="AB104" s="400">
        <v>23354.240000000002</v>
      </c>
      <c r="AC104" s="400">
        <v>0</v>
      </c>
      <c r="AD104" s="400">
        <v>17867.359999999997</v>
      </c>
      <c r="AE104" s="400">
        <v>0</v>
      </c>
      <c r="AF104" s="681"/>
      <c r="AG104" s="762">
        <f t="shared" si="1"/>
        <v>6161.2950000000055</v>
      </c>
    </row>
    <row r="105" spans="1:33" s="519" customFormat="1" ht="15.75" x14ac:dyDescent="0.25">
      <c r="A105" s="390" t="s">
        <v>169</v>
      </c>
      <c r="B105" s="628">
        <v>0</v>
      </c>
      <c r="C105" s="630">
        <v>0</v>
      </c>
      <c r="D105" s="287">
        <v>0</v>
      </c>
      <c r="E105" s="287">
        <v>0</v>
      </c>
      <c r="F105" s="398">
        <v>0</v>
      </c>
      <c r="G105" s="287">
        <v>0</v>
      </c>
      <c r="H105" s="287">
        <v>0</v>
      </c>
      <c r="I105" s="287">
        <v>0</v>
      </c>
      <c r="J105" s="287">
        <v>0</v>
      </c>
      <c r="K105" s="287">
        <v>0</v>
      </c>
      <c r="L105" s="287">
        <v>0</v>
      </c>
      <c r="M105" s="287">
        <v>0</v>
      </c>
      <c r="N105" s="287">
        <v>0</v>
      </c>
      <c r="O105" s="287">
        <v>0</v>
      </c>
      <c r="P105" s="287">
        <v>0</v>
      </c>
      <c r="Q105" s="287">
        <v>0</v>
      </c>
      <c r="R105" s="287">
        <v>0</v>
      </c>
      <c r="S105" s="287">
        <v>0</v>
      </c>
      <c r="T105" s="287">
        <v>0</v>
      </c>
      <c r="U105" s="287">
        <v>0</v>
      </c>
      <c r="V105" s="287">
        <v>0</v>
      </c>
      <c r="W105" s="287">
        <v>0</v>
      </c>
      <c r="X105" s="287">
        <v>0</v>
      </c>
      <c r="Y105" s="287">
        <v>0</v>
      </c>
      <c r="Z105" s="287">
        <v>0</v>
      </c>
      <c r="AA105" s="287">
        <v>0</v>
      </c>
      <c r="AB105" s="287">
        <v>0</v>
      </c>
      <c r="AC105" s="287">
        <v>0</v>
      </c>
      <c r="AD105" s="287">
        <v>0</v>
      </c>
      <c r="AE105" s="287">
        <v>0</v>
      </c>
      <c r="AF105" s="682"/>
      <c r="AG105" s="762">
        <f t="shared" si="1"/>
        <v>0</v>
      </c>
    </row>
    <row r="106" spans="1:33" s="519" customFormat="1" ht="15.75" x14ac:dyDescent="0.25">
      <c r="A106" s="305" t="s">
        <v>32</v>
      </c>
      <c r="B106" s="628">
        <v>1587.5</v>
      </c>
      <c r="C106" s="630">
        <v>595.29999999999995</v>
      </c>
      <c r="D106" s="287">
        <v>378.12</v>
      </c>
      <c r="E106" s="287">
        <v>378.12</v>
      </c>
      <c r="F106" s="398">
        <v>23.818582677165352</v>
      </c>
      <c r="G106" s="287">
        <v>63.517554174365877</v>
      </c>
      <c r="H106" s="287">
        <v>526.79999999999995</v>
      </c>
      <c r="I106" s="287">
        <v>248.69</v>
      </c>
      <c r="J106" s="287">
        <v>68.5</v>
      </c>
      <c r="K106" s="287">
        <v>129.43</v>
      </c>
      <c r="L106" s="287">
        <v>0</v>
      </c>
      <c r="M106" s="287">
        <v>0</v>
      </c>
      <c r="N106" s="287">
        <v>0</v>
      </c>
      <c r="O106" s="287">
        <v>0</v>
      </c>
      <c r="P106" s="287">
        <v>0</v>
      </c>
      <c r="Q106" s="287">
        <v>0</v>
      </c>
      <c r="R106" s="287">
        <v>0</v>
      </c>
      <c r="S106" s="287">
        <v>0</v>
      </c>
      <c r="T106" s="287">
        <v>0</v>
      </c>
      <c r="U106" s="287">
        <v>0</v>
      </c>
      <c r="V106" s="287">
        <v>0</v>
      </c>
      <c r="W106" s="287">
        <v>0</v>
      </c>
      <c r="X106" s="287">
        <v>0</v>
      </c>
      <c r="Y106" s="287">
        <v>0</v>
      </c>
      <c r="Z106" s="287">
        <v>992.2</v>
      </c>
      <c r="AA106" s="287">
        <v>0</v>
      </c>
      <c r="AB106" s="287">
        <v>0</v>
      </c>
      <c r="AC106" s="287">
        <v>0</v>
      </c>
      <c r="AD106" s="287">
        <v>0</v>
      </c>
      <c r="AE106" s="287">
        <v>0</v>
      </c>
      <c r="AF106" s="682"/>
      <c r="AG106" s="762">
        <f t="shared" si="1"/>
        <v>217.17999999999995</v>
      </c>
    </row>
    <row r="107" spans="1:33" s="519" customFormat="1" ht="15.75" x14ac:dyDescent="0.25">
      <c r="A107" s="305" t="s">
        <v>33</v>
      </c>
      <c r="B107" s="628">
        <v>224603.66800000001</v>
      </c>
      <c r="C107" s="630">
        <v>65837.308000000005</v>
      </c>
      <c r="D107" s="287">
        <v>59893.192999999999</v>
      </c>
      <c r="E107" s="287">
        <v>59893.192999999999</v>
      </c>
      <c r="F107" s="398">
        <v>26.666168693202287</v>
      </c>
      <c r="G107" s="287">
        <v>90.971509649209821</v>
      </c>
      <c r="H107" s="287">
        <v>10663.43</v>
      </c>
      <c r="I107" s="287">
        <v>5996.53</v>
      </c>
      <c r="J107" s="287">
        <v>27822.767999999996</v>
      </c>
      <c r="K107" s="287">
        <v>30784.563000000002</v>
      </c>
      <c r="L107" s="287">
        <v>27351.11</v>
      </c>
      <c r="M107" s="287">
        <v>23112.100000000002</v>
      </c>
      <c r="N107" s="287">
        <v>17722.969999999998</v>
      </c>
      <c r="O107" s="287">
        <v>0</v>
      </c>
      <c r="P107" s="287">
        <v>17516.859999999997</v>
      </c>
      <c r="Q107" s="287">
        <v>0</v>
      </c>
      <c r="R107" s="287">
        <v>16325.809999999998</v>
      </c>
      <c r="S107" s="287">
        <v>0</v>
      </c>
      <c r="T107" s="287">
        <v>10357.5</v>
      </c>
      <c r="U107" s="287">
        <v>0</v>
      </c>
      <c r="V107" s="287">
        <v>11530.059999999998</v>
      </c>
      <c r="W107" s="287">
        <v>0</v>
      </c>
      <c r="X107" s="287">
        <v>10108.02</v>
      </c>
      <c r="Y107" s="287">
        <v>0</v>
      </c>
      <c r="Z107" s="287">
        <v>33983.54</v>
      </c>
      <c r="AA107" s="287">
        <v>0</v>
      </c>
      <c r="AB107" s="287">
        <v>23354.240000000002</v>
      </c>
      <c r="AC107" s="287">
        <v>0</v>
      </c>
      <c r="AD107" s="287">
        <v>17867.359999999997</v>
      </c>
      <c r="AE107" s="287">
        <v>0</v>
      </c>
      <c r="AF107" s="682"/>
      <c r="AG107" s="762">
        <f t="shared" si="1"/>
        <v>5944.1150000000052</v>
      </c>
    </row>
    <row r="108" spans="1:33" s="519" customFormat="1" ht="31.5" x14ac:dyDescent="0.25">
      <c r="A108" s="298" t="s">
        <v>174</v>
      </c>
      <c r="B108" s="628">
        <v>0</v>
      </c>
      <c r="C108" s="630">
        <v>0</v>
      </c>
      <c r="D108" s="287">
        <v>0</v>
      </c>
      <c r="E108" s="287">
        <v>0</v>
      </c>
      <c r="F108" s="398">
        <v>0</v>
      </c>
      <c r="G108" s="287">
        <v>0</v>
      </c>
      <c r="H108" s="287">
        <v>0</v>
      </c>
      <c r="I108" s="287">
        <v>0</v>
      </c>
      <c r="J108" s="287">
        <v>0</v>
      </c>
      <c r="K108" s="287">
        <v>0</v>
      </c>
      <c r="L108" s="287">
        <v>0</v>
      </c>
      <c r="M108" s="287">
        <v>0</v>
      </c>
      <c r="N108" s="287">
        <v>0</v>
      </c>
      <c r="O108" s="287">
        <v>0</v>
      </c>
      <c r="P108" s="287">
        <v>0</v>
      </c>
      <c r="Q108" s="287">
        <v>0</v>
      </c>
      <c r="R108" s="287">
        <v>0</v>
      </c>
      <c r="S108" s="287">
        <v>0</v>
      </c>
      <c r="T108" s="287">
        <v>0</v>
      </c>
      <c r="U108" s="287">
        <v>0</v>
      </c>
      <c r="V108" s="287">
        <v>0</v>
      </c>
      <c r="W108" s="287">
        <v>0</v>
      </c>
      <c r="X108" s="287">
        <v>0</v>
      </c>
      <c r="Y108" s="287">
        <v>0</v>
      </c>
      <c r="Z108" s="287">
        <v>0</v>
      </c>
      <c r="AA108" s="287">
        <v>0</v>
      </c>
      <c r="AB108" s="287">
        <v>0</v>
      </c>
      <c r="AC108" s="287">
        <v>0</v>
      </c>
      <c r="AD108" s="287">
        <v>0</v>
      </c>
      <c r="AE108" s="287">
        <v>0</v>
      </c>
      <c r="AF108" s="682"/>
      <c r="AG108" s="762">
        <f t="shared" si="1"/>
        <v>0</v>
      </c>
    </row>
    <row r="109" spans="1:33" s="519" customFormat="1" ht="15.75" x14ac:dyDescent="0.25">
      <c r="A109" s="286" t="s">
        <v>221</v>
      </c>
      <c r="B109" s="628">
        <v>0</v>
      </c>
      <c r="C109" s="630">
        <v>0</v>
      </c>
      <c r="D109" s="287">
        <v>0</v>
      </c>
      <c r="E109" s="287">
        <v>0</v>
      </c>
      <c r="F109" s="398">
        <v>0</v>
      </c>
      <c r="G109" s="287">
        <v>0</v>
      </c>
      <c r="H109" s="287">
        <v>0</v>
      </c>
      <c r="I109" s="287">
        <v>0</v>
      </c>
      <c r="J109" s="287">
        <v>0</v>
      </c>
      <c r="K109" s="287">
        <v>0</v>
      </c>
      <c r="L109" s="287">
        <v>0</v>
      </c>
      <c r="M109" s="287">
        <v>0</v>
      </c>
      <c r="N109" s="287">
        <v>0</v>
      </c>
      <c r="O109" s="287">
        <v>0</v>
      </c>
      <c r="P109" s="287">
        <v>0</v>
      </c>
      <c r="Q109" s="287">
        <v>0</v>
      </c>
      <c r="R109" s="287">
        <v>0</v>
      </c>
      <c r="S109" s="287">
        <v>0</v>
      </c>
      <c r="T109" s="287">
        <v>0</v>
      </c>
      <c r="U109" s="287">
        <v>0</v>
      </c>
      <c r="V109" s="287">
        <v>0</v>
      </c>
      <c r="W109" s="287">
        <v>0</v>
      </c>
      <c r="X109" s="287">
        <v>0</v>
      </c>
      <c r="Y109" s="287">
        <v>0</v>
      </c>
      <c r="Z109" s="287">
        <v>0</v>
      </c>
      <c r="AA109" s="287">
        <v>0</v>
      </c>
      <c r="AB109" s="287">
        <v>0</v>
      </c>
      <c r="AC109" s="287">
        <v>0</v>
      </c>
      <c r="AD109" s="287">
        <v>0</v>
      </c>
      <c r="AE109" s="287">
        <v>0</v>
      </c>
      <c r="AF109" s="683"/>
      <c r="AG109" s="762">
        <f t="shared" si="1"/>
        <v>0</v>
      </c>
    </row>
    <row r="110" spans="1:33" s="519" customFormat="1" ht="15.75" x14ac:dyDescent="0.25"/>
  </sheetData>
  <customSheetViews>
    <customSheetView guid="{533DC55B-6AD4-4674-9488-685EF2039F3E}" scale="80">
      <pane xSplit="7" ySplit="7" topLeftCell="AF74" activePane="bottomRight" state="frozen"/>
      <selection pane="bottomRight" activeCell="AF78" sqref="AF78"/>
      <pageMargins left="0.7" right="0.7" top="0.75" bottom="0.75" header="0.3" footer="0.3"/>
    </customSheetView>
    <customSheetView guid="{85F4575B-DBC5-482A-9916-255D8F0BC94E}" scale="80">
      <pane xSplit="7" ySplit="7" topLeftCell="AF74" activePane="bottomRight" state="frozen"/>
      <selection pane="bottomRight" activeCell="AF78" sqref="AF78"/>
      <pageMargins left="0.7" right="0.7" top="0.75" bottom="0.75" header="0.3" footer="0.3"/>
    </customSheetView>
    <customSheetView guid="{B1BF08D1-D416-4B47-ADD0-4F59132DC9E8}" scale="80">
      <pane xSplit="7" ySplit="7" topLeftCell="AF74" activePane="bottomRight" state="frozen"/>
      <selection pane="bottomRight" activeCell="AF78" sqref="AF78"/>
      <pageMargins left="0.7" right="0.7" top="0.75" bottom="0.75" header="0.3" footer="0.3"/>
    </customSheetView>
    <customSheetView guid="{4F41B9CC-959D-442C-80B0-1F0DB2C76D27}" scale="80">
      <pane xSplit="7" ySplit="7" topLeftCell="S92" activePane="bottomRight" state="frozen"/>
      <selection pane="bottomRight" activeCell="B101" sqref="B101"/>
      <pageMargins left="0.7" right="0.7" top="0.75" bottom="0.75" header="0.3" footer="0.3"/>
    </customSheetView>
    <customSheetView guid="{602C8EDB-B9EF-4C85-B0D5-0558C3A0ABAB}" scale="80">
      <pane xSplit="7" ySplit="7" topLeftCell="S90" activePane="bottomRight" state="frozen"/>
      <selection pane="bottomRight" activeCell="D90" sqref="D90"/>
      <pageMargins left="0.7" right="0.7" top="0.75" bottom="0.75" header="0.3" footer="0.3"/>
    </customSheetView>
    <customSheetView guid="{D01FA037-9AEC-4167-ADB8-2F327C01ECE6}" scale="80">
      <pane xSplit="1" ySplit="4" topLeftCell="B11" activePane="bottomRight" state="frozen"/>
      <selection pane="bottomRight" activeCell="H24" sqref="H24"/>
      <pageMargins left="0.7" right="0.7" top="0.75" bottom="0.75" header="0.3" footer="0.3"/>
    </customSheetView>
    <customSheetView guid="{84867370-1F3E-4368-AF79-FBCE46FFFE92}" scale="80">
      <pane xSplit="1" ySplit="4" topLeftCell="B11" activePane="bottomRight" state="frozen"/>
      <selection pane="bottomRight" activeCell="H24" sqref="H24"/>
      <pageMargins left="0.7" right="0.7" top="0.75" bottom="0.75" header="0.3" footer="0.3"/>
    </customSheetView>
    <customSheetView guid="{0C2B9C2A-7B94-41EF-A2E6-F8AC9A67DE25}" scale="80">
      <pane xSplit="1" ySplit="4" topLeftCell="B11" activePane="bottomRight" state="frozen"/>
      <selection pane="bottomRight" activeCell="H24" sqref="H24"/>
      <pageMargins left="0.7" right="0.7" top="0.75" bottom="0.75" header="0.3" footer="0.3"/>
    </customSheetView>
    <customSheetView guid="{47B983AB-FE5F-4725-860C-A2F29420596D}" scale="80">
      <pane xSplit="1" ySplit="4" topLeftCell="C74" activePane="bottomRight" state="frozen"/>
      <selection pane="bottomRight" activeCell="H115" sqref="H115"/>
      <pageMargins left="0.7" right="0.7" top="0.75" bottom="0.75" header="0.3" footer="0.3"/>
    </customSheetView>
    <customSheetView guid="{DAA8A688-7558-4B5B-8DBD-E2629BD9E9A8}" scale="70">
      <pane xSplit="1" ySplit="4" topLeftCell="B17" activePane="bottomRight" state="frozen"/>
      <selection pane="bottomRight" activeCell="B39" sqref="B39"/>
      <pageMargins left="0.7" right="0.7" top="0.75" bottom="0.75" header="0.3" footer="0.3"/>
    </customSheetView>
    <customSheetView guid="{BCD82A82-B724-4763-8580-D765356E09BA}" scale="70">
      <pane ySplit="5" topLeftCell="A6" activePane="bottomLeft" state="frozen"/>
      <selection pane="bottomLeft" sqref="A1:W1"/>
      <pageMargins left="0.7" right="0.7" top="0.75" bottom="0.75" header="0.3" footer="0.3"/>
    </customSheetView>
    <customSheetView guid="{C236B307-BD63-48C4-A75F-B3F3717BF55C}" scale="70">
      <pane xSplit="1" ySplit="4" topLeftCell="B17" activePane="bottomRight" state="frozen"/>
      <selection pane="bottomRight" activeCell="B39" sqref="B39"/>
      <pageMargins left="0.7" right="0.7" top="0.75" bottom="0.75" header="0.3" footer="0.3"/>
    </customSheetView>
    <customSheetView guid="{87218168-6C8E-4D5B-A5E5-DCCC26803AA3}" scale="70">
      <pane xSplit="1" ySplit="4" topLeftCell="B17" activePane="bottomRight" state="frozen"/>
      <selection pane="bottomRight" activeCell="B39" sqref="B39"/>
      <pageMargins left="0.7" right="0.7" top="0.75" bottom="0.75" header="0.3" footer="0.3"/>
    </customSheetView>
    <customSheetView guid="{874882D1-E741-4CCA-BF0D-E72FA60B771D}" scale="70">
      <pane xSplit="1" ySplit="4" topLeftCell="B17" activePane="bottomRight" state="frozen"/>
      <selection pane="bottomRight" activeCell="B39" sqref="B39"/>
      <pageMargins left="0.7" right="0.7" top="0.75" bottom="0.75" header="0.3" footer="0.3"/>
    </customSheetView>
    <customSheetView guid="{B82BA08A-1A30-4F4D-A478-74A6BD09EA97}" scale="70">
      <pane xSplit="1" ySplit="4" topLeftCell="B17" activePane="bottomRight" state="frozen"/>
      <selection pane="bottomRight" activeCell="B39" sqref="B39"/>
      <pageMargins left="0.7" right="0.7" top="0.75" bottom="0.75" header="0.3" footer="0.3"/>
    </customSheetView>
    <customSheetView guid="{4D0DFB57-2CBA-42F2-9A97-C453A6851FBA}" scale="80">
      <pane xSplit="1" ySplit="4" topLeftCell="C74" activePane="bottomRight" state="frozen"/>
      <selection pane="bottomRight" activeCell="H115" sqref="H115"/>
      <pageMargins left="0.7" right="0.7" top="0.75" bottom="0.75" header="0.3" footer="0.3"/>
    </customSheetView>
    <customSheetView guid="{770624BF-07F3-44B6-94C3-4CC447CDD45C}" scale="80">
      <pane xSplit="1" ySplit="4" topLeftCell="C74" activePane="bottomRight" state="frozen"/>
      <selection pane="bottomRight" activeCell="H115" sqref="H115"/>
      <pageMargins left="0.7" right="0.7" top="0.75" bottom="0.75" header="0.3" footer="0.3"/>
    </customSheetView>
    <customSheetView guid="{E508E171-4ED9-4B07-84DF-DA28C60E1969}" scale="80">
      <pane xSplit="1" ySplit="4" topLeftCell="B11" activePane="bottomRight" state="frozen"/>
      <selection pane="bottomRight" activeCell="H24" sqref="H24"/>
      <pageMargins left="0.7" right="0.7" top="0.75" bottom="0.75" header="0.3" footer="0.3"/>
    </customSheetView>
    <customSheetView guid="{74870EE6-26B9-40F7-9DC9-260EF16D8959}" scale="80">
      <pane xSplit="1" ySplit="4" topLeftCell="B11" activePane="bottomRight" state="frozen"/>
      <selection pane="bottomRight" activeCell="H24" sqref="H24"/>
      <pageMargins left="0.7" right="0.7" top="0.75" bottom="0.75" header="0.3" footer="0.3"/>
    </customSheetView>
    <customSheetView guid="{009B3074-D8EC-4952-BF50-43CD64449612}" scale="80">
      <pane xSplit="1" ySplit="4" topLeftCell="B11" activePane="bottomRight" state="frozen"/>
      <selection pane="bottomRight" activeCell="H24" sqref="H24"/>
      <pageMargins left="0.7" right="0.7" top="0.75" bottom="0.75" header="0.3" footer="0.3"/>
    </customSheetView>
    <customSheetView guid="{F679EF4A-C5FD-4B86-B87B-D85968E0F2CA}" scale="80">
      <pane xSplit="7" ySplit="7" topLeftCell="S92" activePane="bottomRight" state="frozen"/>
      <selection pane="bottomRight" activeCell="B101" sqref="B101"/>
      <pageMargins left="0.7" right="0.7" top="0.75" bottom="0.75" header="0.3" footer="0.3"/>
    </customSheetView>
    <customSheetView guid="{959E901C-5DDE-42EE-AE94-AB8976B5E00B}" scale="80">
      <pane xSplit="7" ySplit="7" topLeftCell="AF74" activePane="bottomRight" state="frozen"/>
      <selection pane="bottomRight" activeCell="AF78" sqref="AF78"/>
      <pageMargins left="0.7" right="0.7" top="0.75" bottom="0.75" header="0.3" footer="0.3"/>
    </customSheetView>
    <customSheetView guid="{69DABE6F-6182-4403-A4A2-969F10F1C13A}" scale="80">
      <pane xSplit="7" ySplit="7" topLeftCell="AF74" activePane="bottomRight" state="frozen"/>
      <selection pane="bottomRight" activeCell="AF78" sqref="AF78"/>
      <pageMargins left="0.7" right="0.7" top="0.75" bottom="0.75" header="0.3" footer="0.3"/>
    </customSheetView>
    <customSheetView guid="{09C3E205-981E-4A4E-BE89-8B7044192060}" scale="80">
      <pane xSplit="7" ySplit="7" topLeftCell="AF74" activePane="bottomRight" state="frozen"/>
      <selection pane="bottomRight" activeCell="AF78" sqref="AF78"/>
      <pageMargins left="0.7" right="0.7" top="0.75" bottom="0.75" header="0.3" footer="0.3"/>
    </customSheetView>
    <customSheetView guid="{6A602CB8-B24C-4ED4-B378-B27354BE0A1A}" scale="80">
      <pane xSplit="7" ySplit="7" topLeftCell="AF74" activePane="bottomRight" state="frozen"/>
      <selection pane="bottomRight" activeCell="AF78" sqref="AF78"/>
      <pageMargins left="0.7" right="0.7" top="0.75" bottom="0.75" header="0.3" footer="0.3"/>
    </customSheetView>
    <customSheetView guid="{7C130984-112A-4861-AA43-E2940708E3DC}" scale="80" state="hidden">
      <pane xSplit="7" ySplit="7" topLeftCell="AF74" activePane="bottomRight" state="frozen"/>
      <selection pane="bottomRight" activeCell="A54" activeCellId="2" sqref="A17 A48 A54"/>
      <pageMargins left="0.7" right="0.7" top="0.75" bottom="0.75" header="0.3" footer="0.3"/>
    </customSheetView>
  </customSheetViews>
  <mergeCells count="21">
    <mergeCell ref="A1:W1"/>
    <mergeCell ref="A3:A4"/>
    <mergeCell ref="B3:B4"/>
    <mergeCell ref="C3:C4"/>
    <mergeCell ref="D3:D4"/>
    <mergeCell ref="E3:E4"/>
    <mergeCell ref="F3:G3"/>
    <mergeCell ref="H3:I3"/>
    <mergeCell ref="J3:K3"/>
    <mergeCell ref="L3:M3"/>
    <mergeCell ref="N3:O3"/>
    <mergeCell ref="P3:Q3"/>
    <mergeCell ref="AB3:AC3"/>
    <mergeCell ref="AD3:AE3"/>
    <mergeCell ref="AF3:AF4"/>
    <mergeCell ref="A6:AE6"/>
    <mergeCell ref="R3:S3"/>
    <mergeCell ref="T3:U3"/>
    <mergeCell ref="V3:W3"/>
    <mergeCell ref="X3:Y3"/>
    <mergeCell ref="Z3:AA3"/>
  </mergeCells>
  <hyperlinks>
    <hyperlink ref="A1:W1" location="Оглавление!A1" display="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
  </hyperlink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60" zoomScaleNormal="60" workbookViewId="0">
      <pane xSplit="1" ySplit="6" topLeftCell="B7" activePane="bottomRight" state="frozen"/>
      <selection activeCell="AF39" sqref="AF39"/>
      <selection pane="topRight" activeCell="AF39" sqref="AF39"/>
      <selection pane="bottomLeft" activeCell="AF39" sqref="AF39"/>
      <selection pane="bottomRight" activeCell="AF39" sqref="AF39"/>
    </sheetView>
  </sheetViews>
  <sheetFormatPr defaultRowHeight="15" x14ac:dyDescent="0.25"/>
  <cols>
    <col min="1" max="1" width="51.140625" customWidth="1"/>
    <col min="2" max="2" width="17.42578125" customWidth="1"/>
    <col min="3" max="3" width="15.42578125" bestFit="1" customWidth="1"/>
    <col min="4" max="4" width="17" customWidth="1"/>
    <col min="5" max="5" width="15.42578125" bestFit="1" customWidth="1"/>
    <col min="6" max="6" width="16.5703125" bestFit="1" customWidth="1"/>
    <col min="7" max="8" width="13.42578125" bestFit="1" customWidth="1"/>
    <col min="9" max="9" width="13.5703125" bestFit="1" customWidth="1"/>
    <col min="10" max="10" width="17.28515625" bestFit="1" customWidth="1"/>
    <col min="11" max="11" width="13.5703125" bestFit="1" customWidth="1"/>
    <col min="12" max="12" width="14.8554687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3.28515625"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3.42578125" bestFit="1" customWidth="1"/>
    <col min="31" max="31" width="13.5703125" bestFit="1" customWidth="1"/>
    <col min="32" max="32" width="32.140625" customWidth="1"/>
  </cols>
  <sheetData>
    <row r="1" spans="1:32" ht="18.75" x14ac:dyDescent="0.25">
      <c r="A1" s="900" t="s">
        <v>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row>
    <row r="2" spans="1:32" ht="18.75" x14ac:dyDescent="0.25">
      <c r="A2" s="901" t="s">
        <v>47</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1" t="s">
        <v>1</v>
      </c>
    </row>
    <row r="3" spans="1:32" ht="75" customHeight="1" x14ac:dyDescent="0.25">
      <c r="A3" s="893" t="s">
        <v>2</v>
      </c>
      <c r="B3" s="902" t="s">
        <v>3</v>
      </c>
      <c r="C3" s="902" t="s">
        <v>3</v>
      </c>
      <c r="D3" s="902" t="s">
        <v>4</v>
      </c>
      <c r="E3" s="904" t="s">
        <v>5</v>
      </c>
      <c r="F3" s="896" t="s">
        <v>6</v>
      </c>
      <c r="G3" s="897"/>
      <c r="H3" s="896" t="s">
        <v>7</v>
      </c>
      <c r="I3" s="897"/>
      <c r="J3" s="896" t="s">
        <v>8</v>
      </c>
      <c r="K3" s="897"/>
      <c r="L3" s="896" t="s">
        <v>9</v>
      </c>
      <c r="M3" s="897"/>
      <c r="N3" s="896" t="s">
        <v>10</v>
      </c>
      <c r="O3" s="897"/>
      <c r="P3" s="896" t="s">
        <v>11</v>
      </c>
      <c r="Q3" s="897"/>
      <c r="R3" s="896" t="s">
        <v>12</v>
      </c>
      <c r="S3" s="897"/>
      <c r="T3" s="896" t="s">
        <v>13</v>
      </c>
      <c r="U3" s="897"/>
      <c r="V3" s="896" t="s">
        <v>14</v>
      </c>
      <c r="W3" s="897"/>
      <c r="X3" s="896" t="s">
        <v>15</v>
      </c>
      <c r="Y3" s="897"/>
      <c r="Z3" s="896" t="s">
        <v>16</v>
      </c>
      <c r="AA3" s="897"/>
      <c r="AB3" s="896" t="s">
        <v>17</v>
      </c>
      <c r="AC3" s="897"/>
      <c r="AD3" s="896" t="s">
        <v>18</v>
      </c>
      <c r="AE3" s="897"/>
      <c r="AF3" s="893" t="s">
        <v>19</v>
      </c>
    </row>
    <row r="4" spans="1:32" ht="18.75" customHeight="1" x14ac:dyDescent="0.25">
      <c r="A4" s="894"/>
      <c r="B4" s="903"/>
      <c r="C4" s="903"/>
      <c r="D4" s="903"/>
      <c r="E4" s="905"/>
      <c r="F4" s="898"/>
      <c r="G4" s="899"/>
      <c r="H4" s="898"/>
      <c r="I4" s="899"/>
      <c r="J4" s="898"/>
      <c r="K4" s="899"/>
      <c r="L4" s="898"/>
      <c r="M4" s="899"/>
      <c r="N4" s="898"/>
      <c r="O4" s="899"/>
      <c r="P4" s="898"/>
      <c r="Q4" s="899"/>
      <c r="R4" s="898"/>
      <c r="S4" s="899"/>
      <c r="T4" s="898"/>
      <c r="U4" s="899"/>
      <c r="V4" s="898"/>
      <c r="W4" s="899"/>
      <c r="X4" s="898"/>
      <c r="Y4" s="899"/>
      <c r="Z4" s="898"/>
      <c r="AA4" s="899"/>
      <c r="AB4" s="898"/>
      <c r="AC4" s="899"/>
      <c r="AD4" s="898"/>
      <c r="AE4" s="899"/>
      <c r="AF4" s="894"/>
    </row>
    <row r="5" spans="1:32" ht="56.25" x14ac:dyDescent="0.25">
      <c r="A5" s="24"/>
      <c r="B5" s="3">
        <v>2024</v>
      </c>
      <c r="C5" s="4">
        <v>45383</v>
      </c>
      <c r="D5" s="4">
        <v>45383</v>
      </c>
      <c r="E5" s="4">
        <v>45383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895"/>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56.25" customHeight="1" x14ac:dyDescent="0.25">
      <c r="A8" s="34" t="s">
        <v>41</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21"/>
    </row>
    <row r="9" spans="1:32" ht="18.75" x14ac:dyDescent="0.25">
      <c r="A9" s="36" t="s">
        <v>54</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75" x14ac:dyDescent="0.3">
      <c r="A10" s="28" t="s">
        <v>42</v>
      </c>
      <c r="B10" s="32"/>
      <c r="C10" s="32"/>
      <c r="D10" s="32"/>
      <c r="E10" s="32"/>
      <c r="F10" s="32"/>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27"/>
    </row>
    <row r="11" spans="1:32" ht="18.75" x14ac:dyDescent="0.3">
      <c r="A11" s="28" t="s">
        <v>65</v>
      </c>
      <c r="B11" s="32">
        <f>B12</f>
        <v>476.5</v>
      </c>
      <c r="C11" s="32">
        <f>C12</f>
        <v>0</v>
      </c>
      <c r="D11" s="32">
        <f>D12</f>
        <v>0</v>
      </c>
      <c r="E11" s="32">
        <f>E12</f>
        <v>0</v>
      </c>
      <c r="F11" s="32">
        <f>IFERROR(E11/B11*100,0)</f>
        <v>0</v>
      </c>
      <c r="G11" s="31">
        <f>IFERROR(E11/C11*100,0)</f>
        <v>0</v>
      </c>
      <c r="H11" s="32">
        <f>H12</f>
        <v>0</v>
      </c>
      <c r="I11" s="32">
        <f t="shared" ref="I11:AE11" si="0">I12</f>
        <v>0</v>
      </c>
      <c r="J11" s="32">
        <f t="shared" si="0"/>
        <v>0</v>
      </c>
      <c r="K11" s="32">
        <f t="shared" si="0"/>
        <v>0</v>
      </c>
      <c r="L11" s="32">
        <f t="shared" si="0"/>
        <v>0</v>
      </c>
      <c r="M11" s="32">
        <f t="shared" si="0"/>
        <v>0</v>
      </c>
      <c r="N11" s="32">
        <f t="shared" si="0"/>
        <v>0</v>
      </c>
      <c r="O11" s="32">
        <f t="shared" si="0"/>
        <v>0</v>
      </c>
      <c r="P11" s="32">
        <f t="shared" si="0"/>
        <v>0</v>
      </c>
      <c r="Q11" s="32">
        <f t="shared" si="0"/>
        <v>0</v>
      </c>
      <c r="R11" s="32">
        <f t="shared" si="0"/>
        <v>0</v>
      </c>
      <c r="S11" s="32">
        <f t="shared" si="0"/>
        <v>0</v>
      </c>
      <c r="T11" s="32">
        <f t="shared" si="0"/>
        <v>0</v>
      </c>
      <c r="U11" s="32">
        <f t="shared" si="0"/>
        <v>0</v>
      </c>
      <c r="V11" s="32">
        <f t="shared" si="0"/>
        <v>0</v>
      </c>
      <c r="W11" s="32">
        <f t="shared" si="0"/>
        <v>0</v>
      </c>
      <c r="X11" s="32">
        <f t="shared" si="0"/>
        <v>0</v>
      </c>
      <c r="Y11" s="32">
        <f t="shared" si="0"/>
        <v>0</v>
      </c>
      <c r="Z11" s="32">
        <f t="shared" si="0"/>
        <v>0</v>
      </c>
      <c r="AA11" s="32">
        <f t="shared" si="0"/>
        <v>0</v>
      </c>
      <c r="AB11" s="32">
        <f t="shared" si="0"/>
        <v>0</v>
      </c>
      <c r="AC11" s="32">
        <f t="shared" si="0"/>
        <v>0</v>
      </c>
      <c r="AD11" s="32">
        <f t="shared" si="0"/>
        <v>0</v>
      </c>
      <c r="AE11" s="32">
        <f t="shared" si="0"/>
        <v>0</v>
      </c>
      <c r="AF11" s="27"/>
    </row>
    <row r="12" spans="1:32" ht="18.75" x14ac:dyDescent="0.3">
      <c r="A12" s="7" t="s">
        <v>32</v>
      </c>
      <c r="B12" s="32">
        <f>B15+B18+B21</f>
        <v>476.5</v>
      </c>
      <c r="C12" s="32">
        <f>C15+C18+C21</f>
        <v>0</v>
      </c>
      <c r="D12" s="32">
        <f>E12</f>
        <v>0</v>
      </c>
      <c r="E12" s="32">
        <f>I12+K12+M12+O12+Q12+S12+U12+W12+Y12+AA12+AC12+AE12</f>
        <v>0</v>
      </c>
      <c r="F12" s="32">
        <f>E12/B12*100</f>
        <v>0</v>
      </c>
      <c r="G12" s="31" t="e">
        <f>E12/C12*100</f>
        <v>#DIV/0!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7"/>
    </row>
    <row r="13" spans="1:32" ht="56.25" x14ac:dyDescent="0.3">
      <c r="A13" s="7" t="s">
        <v>43</v>
      </c>
      <c r="B13" s="32"/>
      <c r="C13" s="32"/>
      <c r="D13" s="32"/>
      <c r="E13" s="32"/>
      <c r="F13" s="32"/>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27"/>
    </row>
    <row r="14" spans="1:32" ht="18.75" x14ac:dyDescent="0.3">
      <c r="A14" s="7" t="s">
        <v>65</v>
      </c>
      <c r="B14" s="32">
        <f>B15</f>
        <v>476.5</v>
      </c>
      <c r="C14" s="32">
        <f>C15</f>
        <v>0</v>
      </c>
      <c r="D14" s="32">
        <f>D15</f>
        <v>0</v>
      </c>
      <c r="E14" s="32">
        <f>E15</f>
        <v>0</v>
      </c>
      <c r="F14" s="32">
        <f>E14/B14*100</f>
        <v>0</v>
      </c>
      <c r="G14" s="31" t="e">
        <f t="shared" ref="G14" si="1">E14/C14*100</f>
        <v>#DIV/0!</v>
      </c>
      <c r="H14" s="32">
        <f>H15</f>
        <v>0</v>
      </c>
      <c r="I14" s="32">
        <f t="shared" ref="I14:AE14" si="2">I15</f>
        <v>0</v>
      </c>
      <c r="J14" s="32">
        <f t="shared" si="2"/>
        <v>0</v>
      </c>
      <c r="K14" s="32">
        <f t="shared" si="2"/>
        <v>0</v>
      </c>
      <c r="L14" s="32">
        <f t="shared" si="2"/>
        <v>0</v>
      </c>
      <c r="M14" s="32">
        <f t="shared" si="2"/>
        <v>0</v>
      </c>
      <c r="N14" s="32">
        <f>N15</f>
        <v>476.5</v>
      </c>
      <c r="O14" s="32">
        <f t="shared" si="2"/>
        <v>0</v>
      </c>
      <c r="P14" s="32">
        <f t="shared" si="2"/>
        <v>0</v>
      </c>
      <c r="Q14" s="32">
        <f t="shared" si="2"/>
        <v>0</v>
      </c>
      <c r="R14" s="32">
        <f t="shared" si="2"/>
        <v>0</v>
      </c>
      <c r="S14" s="32">
        <f t="shared" si="2"/>
        <v>0</v>
      </c>
      <c r="T14" s="32">
        <f t="shared" si="2"/>
        <v>0</v>
      </c>
      <c r="U14" s="32">
        <f t="shared" si="2"/>
        <v>0</v>
      </c>
      <c r="V14" s="32">
        <f t="shared" si="2"/>
        <v>0</v>
      </c>
      <c r="W14" s="32">
        <f t="shared" si="2"/>
        <v>0</v>
      </c>
      <c r="X14" s="32">
        <f t="shared" si="2"/>
        <v>0</v>
      </c>
      <c r="Y14" s="32">
        <f t="shared" si="2"/>
        <v>0</v>
      </c>
      <c r="Z14" s="32">
        <f t="shared" si="2"/>
        <v>0</v>
      </c>
      <c r="AA14" s="32">
        <f t="shared" si="2"/>
        <v>0</v>
      </c>
      <c r="AB14" s="32">
        <f t="shared" si="2"/>
        <v>0</v>
      </c>
      <c r="AC14" s="32">
        <f t="shared" si="2"/>
        <v>0</v>
      </c>
      <c r="AD14" s="32">
        <f t="shared" si="2"/>
        <v>0</v>
      </c>
      <c r="AE14" s="32">
        <f t="shared" si="2"/>
        <v>0</v>
      </c>
      <c r="AF14" s="27"/>
    </row>
    <row r="15" spans="1:32" ht="18.75" x14ac:dyDescent="0.3">
      <c r="A15" s="7" t="s">
        <v>32</v>
      </c>
      <c r="B15" s="32">
        <f>H15+J15+L15+N15+P15+R15+T15+V15+X15+Z15+AB15+AD15</f>
        <v>476.5</v>
      </c>
      <c r="C15" s="32">
        <f>H15+J15+L15</f>
        <v>0</v>
      </c>
      <c r="D15" s="32">
        <f>E15</f>
        <v>0</v>
      </c>
      <c r="E15" s="32">
        <f>I15+K15+M15+O15+Q15+S15+U15+W15+Y15+AA15+AC15+AE15</f>
        <v>0</v>
      </c>
      <c r="F15" s="32">
        <f t="shared" ref="F15:F36" si="3">E15/B15*100</f>
        <v>0</v>
      </c>
      <c r="G15" s="31" t="e">
        <f t="shared" ref="G15:G36" si="4">E15/C15*100</f>
        <v>#DIV/0!</v>
      </c>
      <c r="H15" s="31"/>
      <c r="I15" s="31"/>
      <c r="J15" s="31"/>
      <c r="K15" s="31"/>
      <c r="L15" s="31"/>
      <c r="M15" s="31"/>
      <c r="N15" s="32">
        <v>476.5</v>
      </c>
      <c r="O15" s="31"/>
      <c r="P15" s="31"/>
      <c r="Q15" s="31"/>
      <c r="R15" s="31"/>
      <c r="S15" s="31"/>
      <c r="T15" s="31"/>
      <c r="U15" s="31"/>
      <c r="V15" s="31"/>
      <c r="W15" s="31"/>
      <c r="X15" s="31"/>
      <c r="Y15" s="31"/>
      <c r="Z15" s="31"/>
      <c r="AA15" s="31"/>
      <c r="AB15" s="31"/>
      <c r="AC15" s="31"/>
      <c r="AD15" s="31"/>
      <c r="AE15" s="31"/>
      <c r="AF15" s="27"/>
    </row>
    <row r="16" spans="1:32" ht="56.25" x14ac:dyDescent="0.3">
      <c r="A16" s="7" t="s">
        <v>44</v>
      </c>
      <c r="B16" s="32"/>
      <c r="C16" s="32"/>
      <c r="D16" s="32"/>
      <c r="E16" s="32"/>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27"/>
    </row>
    <row r="17" spans="1:32" ht="18.75" x14ac:dyDescent="0.3">
      <c r="A17" s="7" t="s">
        <v>65</v>
      </c>
      <c r="B17" s="32">
        <f>B18</f>
        <v>0</v>
      </c>
      <c r="C17" s="32">
        <f>C18</f>
        <v>0</v>
      </c>
      <c r="D17" s="32">
        <f>D18</f>
        <v>0</v>
      </c>
      <c r="E17" s="32">
        <f>E18</f>
        <v>0</v>
      </c>
      <c r="F17" s="32" t="e">
        <f>E17/B17*100</f>
        <v>#DIV/0!</v>
      </c>
      <c r="G17" s="31" t="e">
        <f>E17/C17*100</f>
        <v>#DIV/0!</v>
      </c>
      <c r="H17" s="32">
        <f>H18</f>
        <v>0</v>
      </c>
      <c r="I17" s="32">
        <f t="shared" ref="I17:AE17" si="5">I18</f>
        <v>0</v>
      </c>
      <c r="J17" s="32">
        <f t="shared" si="5"/>
        <v>0</v>
      </c>
      <c r="K17" s="32">
        <f t="shared" si="5"/>
        <v>0</v>
      </c>
      <c r="L17" s="32">
        <f t="shared" si="5"/>
        <v>0</v>
      </c>
      <c r="M17" s="32">
        <f t="shared" si="5"/>
        <v>0</v>
      </c>
      <c r="N17" s="32">
        <f t="shared" si="5"/>
        <v>0</v>
      </c>
      <c r="O17" s="32">
        <f t="shared" si="5"/>
        <v>0</v>
      </c>
      <c r="P17" s="32">
        <f t="shared" si="5"/>
        <v>0</v>
      </c>
      <c r="Q17" s="32">
        <f t="shared" si="5"/>
        <v>0</v>
      </c>
      <c r="R17" s="32">
        <f t="shared" si="5"/>
        <v>0</v>
      </c>
      <c r="S17" s="32">
        <f t="shared" si="5"/>
        <v>0</v>
      </c>
      <c r="T17" s="32">
        <f t="shared" si="5"/>
        <v>0</v>
      </c>
      <c r="U17" s="32">
        <f t="shared" si="5"/>
        <v>0</v>
      </c>
      <c r="V17" s="32">
        <f t="shared" si="5"/>
        <v>0</v>
      </c>
      <c r="W17" s="32">
        <f t="shared" si="5"/>
        <v>0</v>
      </c>
      <c r="X17" s="32">
        <f t="shared" si="5"/>
        <v>0</v>
      </c>
      <c r="Y17" s="32">
        <f t="shared" si="5"/>
        <v>0</v>
      </c>
      <c r="Z17" s="32">
        <f t="shared" si="5"/>
        <v>0</v>
      </c>
      <c r="AA17" s="32">
        <f t="shared" si="5"/>
        <v>0</v>
      </c>
      <c r="AB17" s="32">
        <f t="shared" si="5"/>
        <v>0</v>
      </c>
      <c r="AC17" s="32">
        <f t="shared" si="5"/>
        <v>0</v>
      </c>
      <c r="AD17" s="32">
        <f t="shared" si="5"/>
        <v>0</v>
      </c>
      <c r="AE17" s="32">
        <f t="shared" si="5"/>
        <v>0</v>
      </c>
      <c r="AF17" s="27"/>
    </row>
    <row r="18" spans="1:32" ht="18.75" x14ac:dyDescent="0.3">
      <c r="A18" s="7" t="s">
        <v>32</v>
      </c>
      <c r="B18" s="32">
        <f>H18+J18+L18+N18+P18+R18+T18+V18+X18+Z18+AB18+AD18</f>
        <v>0</v>
      </c>
      <c r="C18" s="32">
        <f>H18+J18+L18</f>
        <v>0</v>
      </c>
      <c r="D18" s="32">
        <f>E18</f>
        <v>0</v>
      </c>
      <c r="E18" s="32">
        <f>I18+K18+M18+O18+Q18+S18+U18+W18+Y18+AA18+AC18+AE18</f>
        <v>0</v>
      </c>
      <c r="F18" s="32" t="e">
        <f t="shared" si="3"/>
        <v>#DIV/0!</v>
      </c>
      <c r="G18" s="31" t="e">
        <f t="shared" si="4"/>
        <v>#DIV/0!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27"/>
    </row>
    <row r="19" spans="1:32" ht="37.5" x14ac:dyDescent="0.3">
      <c r="A19" s="7" t="s">
        <v>45</v>
      </c>
      <c r="B19" s="32"/>
      <c r="C19" s="32"/>
      <c r="D19" s="32"/>
      <c r="E19" s="32"/>
      <c r="F19" s="32"/>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27"/>
    </row>
    <row r="20" spans="1:32" ht="18.75" x14ac:dyDescent="0.3">
      <c r="A20" s="7" t="s">
        <v>65</v>
      </c>
      <c r="B20" s="32">
        <f>B21</f>
        <v>0</v>
      </c>
      <c r="C20" s="32">
        <f t="shared" ref="C20:D20" si="6">C21</f>
        <v>0</v>
      </c>
      <c r="D20" s="32">
        <f t="shared" si="6"/>
        <v>0</v>
      </c>
      <c r="E20" s="32">
        <f>E21</f>
        <v>0</v>
      </c>
      <c r="F20" s="32" t="e">
        <f t="shared" ref="F20" si="7">E20/B20*100</f>
        <v>#DIV/0!</v>
      </c>
      <c r="G20" s="31" t="e">
        <f t="shared" ref="G20" si="8">E20/C20*100</f>
        <v>#DIV/0!</v>
      </c>
      <c r="H20" s="32">
        <f>H21</f>
        <v>0</v>
      </c>
      <c r="I20" s="32">
        <f t="shared" ref="I20:AE20" si="9">I21</f>
        <v>0</v>
      </c>
      <c r="J20" s="32">
        <f t="shared" si="9"/>
        <v>0</v>
      </c>
      <c r="K20" s="32">
        <f t="shared" si="9"/>
        <v>0</v>
      </c>
      <c r="L20" s="32">
        <f t="shared" si="9"/>
        <v>0</v>
      </c>
      <c r="M20" s="32">
        <f t="shared" si="9"/>
        <v>0</v>
      </c>
      <c r="N20" s="32">
        <f t="shared" si="9"/>
        <v>0</v>
      </c>
      <c r="O20" s="32">
        <f t="shared" si="9"/>
        <v>0</v>
      </c>
      <c r="P20" s="32">
        <f t="shared" si="9"/>
        <v>0</v>
      </c>
      <c r="Q20" s="32">
        <f t="shared" si="9"/>
        <v>0</v>
      </c>
      <c r="R20" s="32">
        <f t="shared" si="9"/>
        <v>0</v>
      </c>
      <c r="S20" s="32">
        <f t="shared" si="9"/>
        <v>0</v>
      </c>
      <c r="T20" s="32">
        <f t="shared" si="9"/>
        <v>0</v>
      </c>
      <c r="U20" s="32">
        <f t="shared" si="9"/>
        <v>0</v>
      </c>
      <c r="V20" s="32">
        <f t="shared" si="9"/>
        <v>0</v>
      </c>
      <c r="W20" s="32">
        <f t="shared" si="9"/>
        <v>0</v>
      </c>
      <c r="X20" s="32">
        <f t="shared" si="9"/>
        <v>0</v>
      </c>
      <c r="Y20" s="32">
        <f t="shared" si="9"/>
        <v>0</v>
      </c>
      <c r="Z20" s="32">
        <f t="shared" si="9"/>
        <v>0</v>
      </c>
      <c r="AA20" s="32">
        <f t="shared" si="9"/>
        <v>0</v>
      </c>
      <c r="AB20" s="32">
        <f t="shared" si="9"/>
        <v>0</v>
      </c>
      <c r="AC20" s="32">
        <f t="shared" si="9"/>
        <v>0</v>
      </c>
      <c r="AD20" s="32">
        <f t="shared" si="9"/>
        <v>0</v>
      </c>
      <c r="AE20" s="32">
        <f t="shared" si="9"/>
        <v>0</v>
      </c>
      <c r="AF20" s="27"/>
    </row>
    <row r="21" spans="1:32" ht="18.75" x14ac:dyDescent="0.3">
      <c r="A21" s="7" t="s">
        <v>32</v>
      </c>
      <c r="B21" s="32">
        <f>H21+J21+L21+N21+P21+R21+T21+V21+X21+Z21+AB21+AD21</f>
        <v>0</v>
      </c>
      <c r="C21" s="32">
        <f>H21+J21+L21</f>
        <v>0</v>
      </c>
      <c r="D21" s="32">
        <f>E21</f>
        <v>0</v>
      </c>
      <c r="E21" s="32">
        <f>I21+K21+M21+O21+Q21+S21+U21+W21+Y21+AA21+AC21+AE21</f>
        <v>0</v>
      </c>
      <c r="F21" s="32" t="e">
        <f t="shared" si="3"/>
        <v>#DIV/0!</v>
      </c>
      <c r="G21" s="31" t="e">
        <f t="shared" si="4"/>
        <v>#DIV/0!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27"/>
    </row>
    <row r="22" spans="1:32" ht="150" x14ac:dyDescent="0.3">
      <c r="A22" s="28" t="s">
        <v>46</v>
      </c>
      <c r="B22" s="32"/>
      <c r="C22" s="32"/>
      <c r="D22" s="32"/>
      <c r="E22" s="32"/>
      <c r="F22" s="32"/>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27"/>
    </row>
    <row r="23" spans="1:32" ht="18.75" x14ac:dyDescent="0.3">
      <c r="A23" s="7" t="s">
        <v>65</v>
      </c>
      <c r="B23" s="32">
        <f>B24</f>
        <v>950</v>
      </c>
      <c r="C23" s="32">
        <f>C24</f>
        <v>0</v>
      </c>
      <c r="D23" s="32">
        <f>D24</f>
        <v>0</v>
      </c>
      <c r="E23" s="32">
        <f>E24</f>
        <v>0</v>
      </c>
      <c r="F23" s="32">
        <f t="shared" ref="F23" si="10">E23/B23*100</f>
        <v>0</v>
      </c>
      <c r="G23" s="31" t="e">
        <f t="shared" ref="G23" si="11">E23/C23*100</f>
        <v>#DIV/0!</v>
      </c>
      <c r="H23" s="32">
        <f>H24</f>
        <v>0</v>
      </c>
      <c r="I23" s="32">
        <f t="shared" ref="I23:AE23" si="12">I24</f>
        <v>0</v>
      </c>
      <c r="J23" s="32">
        <f t="shared" si="12"/>
        <v>0</v>
      </c>
      <c r="K23" s="32">
        <f t="shared" si="12"/>
        <v>0</v>
      </c>
      <c r="L23" s="32">
        <f t="shared" si="12"/>
        <v>0</v>
      </c>
      <c r="M23" s="32">
        <f t="shared" si="12"/>
        <v>0</v>
      </c>
      <c r="N23" s="32">
        <f t="shared" si="12"/>
        <v>0</v>
      </c>
      <c r="O23" s="32">
        <f t="shared" si="12"/>
        <v>0</v>
      </c>
      <c r="P23" s="32">
        <f t="shared" si="12"/>
        <v>360</v>
      </c>
      <c r="Q23" s="32">
        <f t="shared" si="12"/>
        <v>0</v>
      </c>
      <c r="R23" s="32">
        <f t="shared" si="12"/>
        <v>0</v>
      </c>
      <c r="S23" s="32">
        <f t="shared" si="12"/>
        <v>0</v>
      </c>
      <c r="T23" s="32">
        <f t="shared" si="12"/>
        <v>270</v>
      </c>
      <c r="U23" s="32">
        <f t="shared" si="12"/>
        <v>0</v>
      </c>
      <c r="V23" s="32">
        <f t="shared" si="12"/>
        <v>0</v>
      </c>
      <c r="W23" s="32">
        <f t="shared" si="12"/>
        <v>0</v>
      </c>
      <c r="X23" s="32">
        <f t="shared" si="12"/>
        <v>0</v>
      </c>
      <c r="Y23" s="32">
        <f t="shared" si="12"/>
        <v>0</v>
      </c>
      <c r="Z23" s="32">
        <f t="shared" si="12"/>
        <v>270</v>
      </c>
      <c r="AA23" s="32">
        <f t="shared" si="12"/>
        <v>0</v>
      </c>
      <c r="AB23" s="32">
        <f t="shared" si="12"/>
        <v>0</v>
      </c>
      <c r="AC23" s="32">
        <f t="shared" si="12"/>
        <v>0</v>
      </c>
      <c r="AD23" s="32">
        <f t="shared" si="12"/>
        <v>50</v>
      </c>
      <c r="AE23" s="32">
        <f t="shared" si="12"/>
        <v>0</v>
      </c>
      <c r="AF23" s="27"/>
    </row>
    <row r="24" spans="1:32" ht="18.75" x14ac:dyDescent="0.3">
      <c r="A24" s="7" t="s">
        <v>33</v>
      </c>
      <c r="B24" s="32">
        <f>H24+J24+L24+N24+P24+R24+T24+V24+X24+Z24+AB24+AD24</f>
        <v>950</v>
      </c>
      <c r="C24" s="32">
        <f>H24+J24+L24</f>
        <v>0</v>
      </c>
      <c r="D24" s="32">
        <f>E24</f>
        <v>0</v>
      </c>
      <c r="E24" s="32">
        <f>I24+K24+M24+O24+Q24+S24+U24+W24+Y24+AA24+AC24+AE24</f>
        <v>0</v>
      </c>
      <c r="F24" s="32">
        <f>E24/B24*100</f>
        <v>0</v>
      </c>
      <c r="G24" s="31" t="e">
        <f t="shared" si="4"/>
        <v>#DIV/0!</v>
      </c>
      <c r="H24" s="31"/>
      <c r="I24" s="31"/>
      <c r="J24" s="31"/>
      <c r="K24" s="31"/>
      <c r="L24" s="31"/>
      <c r="M24" s="31"/>
      <c r="N24" s="31"/>
      <c r="O24" s="31"/>
      <c r="P24" s="31">
        <v>360</v>
      </c>
      <c r="Q24" s="31"/>
      <c r="R24" s="31">
        <v>0</v>
      </c>
      <c r="S24" s="31"/>
      <c r="T24" s="31">
        <v>270</v>
      </c>
      <c r="U24" s="31"/>
      <c r="V24" s="31">
        <v>0</v>
      </c>
      <c r="W24" s="31"/>
      <c r="X24" s="31">
        <v>0</v>
      </c>
      <c r="Y24" s="31"/>
      <c r="Z24" s="31">
        <v>270</v>
      </c>
      <c r="AA24" s="31"/>
      <c r="AB24" s="31">
        <v>0</v>
      </c>
      <c r="AC24" s="31"/>
      <c r="AD24" s="31">
        <v>50</v>
      </c>
      <c r="AE24" s="31"/>
      <c r="AF24" s="27"/>
    </row>
    <row r="25" spans="1:32" ht="18.75" x14ac:dyDescent="0.3">
      <c r="A25" s="42" t="s">
        <v>53</v>
      </c>
      <c r="B25" s="38"/>
      <c r="C25" s="38"/>
      <c r="D25" s="38"/>
      <c r="E25" s="38"/>
      <c r="F25" s="38"/>
      <c r="G25" s="38"/>
      <c r="H25" s="38"/>
      <c r="I25" s="38"/>
      <c r="J25" s="38"/>
      <c r="K25" s="38"/>
      <c r="L25" s="38"/>
      <c r="M25" s="38"/>
      <c r="N25" s="39"/>
      <c r="O25" s="39"/>
      <c r="P25" s="39"/>
      <c r="Q25" s="39"/>
      <c r="R25" s="39"/>
      <c r="S25" s="39"/>
      <c r="T25" s="39"/>
      <c r="U25" s="39"/>
      <c r="V25" s="39"/>
      <c r="W25" s="39"/>
      <c r="X25" s="39"/>
      <c r="Y25" s="39"/>
      <c r="Z25" s="39"/>
      <c r="AA25" s="39"/>
      <c r="AB25" s="39"/>
      <c r="AC25" s="39"/>
      <c r="AD25" s="39"/>
      <c r="AE25" s="40"/>
      <c r="AF25" s="27"/>
    </row>
    <row r="26" spans="1:32" ht="18.75" x14ac:dyDescent="0.3">
      <c r="A26" s="37" t="s">
        <v>65</v>
      </c>
      <c r="B26" s="32">
        <f>B27+B28</f>
        <v>1426.5</v>
      </c>
      <c r="C26" s="31">
        <f>C27+C28</f>
        <v>0</v>
      </c>
      <c r="D26" s="31">
        <f t="shared" ref="D26:E26" si="13">D27+D28</f>
        <v>0</v>
      </c>
      <c r="E26" s="31">
        <f t="shared" si="13"/>
        <v>0</v>
      </c>
      <c r="F26" s="31">
        <f>E26/B26*100</f>
        <v>0</v>
      </c>
      <c r="G26" s="31" t="e">
        <f t="shared" si="4"/>
        <v>#DIV/0!</v>
      </c>
      <c r="H26" s="32">
        <f>H27+H28</f>
        <v>0</v>
      </c>
      <c r="I26" s="32">
        <f t="shared" ref="I26:Q26" si="14">I27+I28</f>
        <v>0</v>
      </c>
      <c r="J26" s="32">
        <f t="shared" si="14"/>
        <v>0</v>
      </c>
      <c r="K26" s="32">
        <f t="shared" si="14"/>
        <v>0</v>
      </c>
      <c r="L26" s="32">
        <f t="shared" si="14"/>
        <v>0</v>
      </c>
      <c r="M26" s="32">
        <f t="shared" si="14"/>
        <v>0</v>
      </c>
      <c r="N26" s="32">
        <f t="shared" si="14"/>
        <v>0</v>
      </c>
      <c r="O26" s="32">
        <f t="shared" si="14"/>
        <v>0</v>
      </c>
      <c r="P26" s="32">
        <f t="shared" si="14"/>
        <v>360</v>
      </c>
      <c r="Q26" s="32">
        <f t="shared" si="14"/>
        <v>0</v>
      </c>
      <c r="R26" s="32">
        <f t="shared" ref="R26" si="15">R27+R28</f>
        <v>0</v>
      </c>
      <c r="S26" s="32">
        <f t="shared" ref="S26" si="16">S27+S28</f>
        <v>0</v>
      </c>
      <c r="T26" s="32">
        <f t="shared" ref="T26" si="17">T27+T28</f>
        <v>270</v>
      </c>
      <c r="U26" s="32">
        <f t="shared" ref="U26" si="18">U27+U28</f>
        <v>0</v>
      </c>
      <c r="V26" s="32">
        <f t="shared" ref="V26" si="19">V27+V28</f>
        <v>0</v>
      </c>
      <c r="W26" s="32">
        <f t="shared" ref="W26" si="20">W27+W28</f>
        <v>0</v>
      </c>
      <c r="X26" s="32">
        <f t="shared" ref="X26" si="21">X27+X28</f>
        <v>0</v>
      </c>
      <c r="Y26" s="32">
        <f t="shared" ref="Y26:Z26" si="22">Y27+Y28</f>
        <v>0</v>
      </c>
      <c r="Z26" s="32">
        <f t="shared" si="22"/>
        <v>270</v>
      </c>
      <c r="AA26" s="32">
        <f t="shared" ref="AA26" si="23">AA27+AA28</f>
        <v>0</v>
      </c>
      <c r="AB26" s="32">
        <f t="shared" ref="AB26" si="24">AB27+AB28</f>
        <v>0</v>
      </c>
      <c r="AC26" s="32">
        <f t="shared" ref="AC26" si="25">AC27+AC28</f>
        <v>0</v>
      </c>
      <c r="AD26" s="32">
        <f t="shared" ref="AD26" si="26">AD27+AD28</f>
        <v>50</v>
      </c>
      <c r="AE26" s="32">
        <f t="shared" ref="AE26" si="27">AE27+AE28</f>
        <v>0</v>
      </c>
      <c r="AF26" s="27"/>
    </row>
    <row r="27" spans="1:32" ht="18.75" x14ac:dyDescent="0.3">
      <c r="A27" s="7" t="s">
        <v>32</v>
      </c>
      <c r="B27" s="32">
        <f>B12</f>
        <v>476.5</v>
      </c>
      <c r="C27" s="32">
        <f>C12</f>
        <v>0</v>
      </c>
      <c r="D27" s="32">
        <f>D12</f>
        <v>0</v>
      </c>
      <c r="E27" s="32">
        <f>E12</f>
        <v>0</v>
      </c>
      <c r="F27" s="31">
        <f t="shared" si="3"/>
        <v>0</v>
      </c>
      <c r="G27" s="31" t="e">
        <f t="shared" si="4"/>
        <v>#DIV/0!</v>
      </c>
      <c r="H27" s="32">
        <f>H12</f>
        <v>0</v>
      </c>
      <c r="I27" s="32">
        <f t="shared" ref="I27:Q27" si="28">I12</f>
        <v>0</v>
      </c>
      <c r="J27" s="32">
        <f t="shared" si="28"/>
        <v>0</v>
      </c>
      <c r="K27" s="32">
        <f t="shared" si="28"/>
        <v>0</v>
      </c>
      <c r="L27" s="32">
        <f t="shared" si="28"/>
        <v>0</v>
      </c>
      <c r="M27" s="32">
        <f t="shared" si="28"/>
        <v>0</v>
      </c>
      <c r="N27" s="32">
        <f t="shared" si="28"/>
        <v>0</v>
      </c>
      <c r="O27" s="32">
        <f t="shared" si="28"/>
        <v>0</v>
      </c>
      <c r="P27" s="32">
        <f t="shared" si="28"/>
        <v>0</v>
      </c>
      <c r="Q27" s="32">
        <f t="shared" si="28"/>
        <v>0</v>
      </c>
      <c r="R27" s="32">
        <f t="shared" ref="R27:AE27" si="29">R12</f>
        <v>0</v>
      </c>
      <c r="S27" s="32">
        <f t="shared" si="29"/>
        <v>0</v>
      </c>
      <c r="T27" s="32">
        <f t="shared" si="29"/>
        <v>0</v>
      </c>
      <c r="U27" s="32">
        <f t="shared" si="29"/>
        <v>0</v>
      </c>
      <c r="V27" s="32">
        <f t="shared" si="29"/>
        <v>0</v>
      </c>
      <c r="W27" s="32">
        <f t="shared" si="29"/>
        <v>0</v>
      </c>
      <c r="X27" s="32">
        <f t="shared" si="29"/>
        <v>0</v>
      </c>
      <c r="Y27" s="32">
        <f t="shared" si="29"/>
        <v>0</v>
      </c>
      <c r="Z27" s="32">
        <f t="shared" si="29"/>
        <v>0</v>
      </c>
      <c r="AA27" s="32">
        <f t="shared" si="29"/>
        <v>0</v>
      </c>
      <c r="AB27" s="32">
        <f t="shared" si="29"/>
        <v>0</v>
      </c>
      <c r="AC27" s="32">
        <f t="shared" si="29"/>
        <v>0</v>
      </c>
      <c r="AD27" s="32">
        <f t="shared" si="29"/>
        <v>0</v>
      </c>
      <c r="AE27" s="32">
        <f t="shared" si="29"/>
        <v>0</v>
      </c>
      <c r="AF27" s="27"/>
    </row>
    <row r="28" spans="1:32" ht="18.75" x14ac:dyDescent="0.3">
      <c r="A28" s="7" t="s">
        <v>33</v>
      </c>
      <c r="B28" s="32">
        <f>B24</f>
        <v>950</v>
      </c>
      <c r="C28" s="32">
        <f>C24</f>
        <v>0</v>
      </c>
      <c r="D28" s="32">
        <f>D24</f>
        <v>0</v>
      </c>
      <c r="E28" s="32">
        <f>E24</f>
        <v>0</v>
      </c>
      <c r="F28" s="31">
        <f t="shared" si="3"/>
        <v>0</v>
      </c>
      <c r="G28" s="31" t="e">
        <f t="shared" si="4"/>
        <v>#DIV/0!</v>
      </c>
      <c r="H28" s="32">
        <f>H24</f>
        <v>0</v>
      </c>
      <c r="I28" s="32">
        <f t="shared" ref="I28:Q28" si="30">I24</f>
        <v>0</v>
      </c>
      <c r="J28" s="32">
        <f t="shared" si="30"/>
        <v>0</v>
      </c>
      <c r="K28" s="32">
        <f t="shared" si="30"/>
        <v>0</v>
      </c>
      <c r="L28" s="32">
        <f t="shared" si="30"/>
        <v>0</v>
      </c>
      <c r="M28" s="32">
        <f t="shared" si="30"/>
        <v>0</v>
      </c>
      <c r="N28" s="32">
        <f t="shared" si="30"/>
        <v>0</v>
      </c>
      <c r="O28" s="32">
        <f t="shared" si="30"/>
        <v>0</v>
      </c>
      <c r="P28" s="32">
        <f t="shared" si="30"/>
        <v>360</v>
      </c>
      <c r="Q28" s="32">
        <f t="shared" si="30"/>
        <v>0</v>
      </c>
      <c r="R28" s="32">
        <f t="shared" ref="R28:AE28" si="31">R24</f>
        <v>0</v>
      </c>
      <c r="S28" s="32">
        <f t="shared" si="31"/>
        <v>0</v>
      </c>
      <c r="T28" s="32">
        <f t="shared" si="31"/>
        <v>270</v>
      </c>
      <c r="U28" s="32">
        <f t="shared" si="31"/>
        <v>0</v>
      </c>
      <c r="V28" s="32">
        <f t="shared" si="31"/>
        <v>0</v>
      </c>
      <c r="W28" s="32">
        <f t="shared" si="31"/>
        <v>0</v>
      </c>
      <c r="X28" s="32">
        <f t="shared" si="31"/>
        <v>0</v>
      </c>
      <c r="Y28" s="32">
        <f t="shared" si="31"/>
        <v>0</v>
      </c>
      <c r="Z28" s="32">
        <f t="shared" si="31"/>
        <v>270</v>
      </c>
      <c r="AA28" s="32">
        <f t="shared" si="31"/>
        <v>0</v>
      </c>
      <c r="AB28" s="32">
        <f t="shared" si="31"/>
        <v>0</v>
      </c>
      <c r="AC28" s="32">
        <f t="shared" si="31"/>
        <v>0</v>
      </c>
      <c r="AD28" s="32">
        <f t="shared" si="31"/>
        <v>50</v>
      </c>
      <c r="AE28" s="32">
        <f t="shared" si="31"/>
        <v>0</v>
      </c>
      <c r="AF28" s="27"/>
    </row>
    <row r="29" spans="1:32" ht="18.75" x14ac:dyDescent="0.3">
      <c r="A29" s="28" t="s">
        <v>72</v>
      </c>
      <c r="B29" s="32"/>
      <c r="C29" s="32"/>
      <c r="D29" s="32"/>
      <c r="E29" s="32"/>
      <c r="F29" s="31" t="e">
        <f t="shared" ref="F29:F33" si="32">E29/B29*100</f>
        <v>#DIV/0!</v>
      </c>
      <c r="G29" s="31" t="e">
        <f t="shared" ref="G29:G33" si="33">E29/C29*100</f>
        <v>#DIV/0!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27"/>
    </row>
    <row r="30" spans="1:32" ht="18.75" x14ac:dyDescent="0.3">
      <c r="A30" s="8" t="s">
        <v>31</v>
      </c>
      <c r="B30" s="32">
        <f>B31+B32</f>
        <v>1426.5</v>
      </c>
      <c r="C30" s="32">
        <f>C31+C32</f>
        <v>0</v>
      </c>
      <c r="D30" s="32">
        <f t="shared" ref="D30:E30" si="34">D31+D32</f>
        <v>0</v>
      </c>
      <c r="E30" s="32">
        <f t="shared" si="34"/>
        <v>0</v>
      </c>
      <c r="F30" s="31">
        <f t="shared" si="32"/>
        <v>0</v>
      </c>
      <c r="G30" s="31" t="e">
        <f t="shared" si="33"/>
        <v>#DIV/0!</v>
      </c>
      <c r="H30" s="32">
        <f>H31+H32</f>
        <v>0</v>
      </c>
      <c r="I30" s="32">
        <f t="shared" ref="I30:AE30" si="35">I31+I32</f>
        <v>0</v>
      </c>
      <c r="J30" s="32">
        <f t="shared" si="35"/>
        <v>0</v>
      </c>
      <c r="K30" s="32">
        <f t="shared" si="35"/>
        <v>0</v>
      </c>
      <c r="L30" s="32">
        <f t="shared" si="35"/>
        <v>0</v>
      </c>
      <c r="M30" s="32">
        <f t="shared" si="35"/>
        <v>0</v>
      </c>
      <c r="N30" s="32">
        <f t="shared" si="35"/>
        <v>0</v>
      </c>
      <c r="O30" s="32">
        <f t="shared" si="35"/>
        <v>0</v>
      </c>
      <c r="P30" s="32">
        <f t="shared" si="35"/>
        <v>360</v>
      </c>
      <c r="Q30" s="32">
        <f t="shared" si="35"/>
        <v>0</v>
      </c>
      <c r="R30" s="32">
        <f t="shared" si="35"/>
        <v>0</v>
      </c>
      <c r="S30" s="32">
        <f t="shared" si="35"/>
        <v>0</v>
      </c>
      <c r="T30" s="32">
        <f t="shared" si="35"/>
        <v>270</v>
      </c>
      <c r="U30" s="32">
        <f t="shared" si="35"/>
        <v>0</v>
      </c>
      <c r="V30" s="32">
        <f t="shared" si="35"/>
        <v>0</v>
      </c>
      <c r="W30" s="32">
        <f t="shared" si="35"/>
        <v>0</v>
      </c>
      <c r="X30" s="32">
        <f t="shared" si="35"/>
        <v>0</v>
      </c>
      <c r="Y30" s="32">
        <f t="shared" si="35"/>
        <v>0</v>
      </c>
      <c r="Z30" s="32">
        <f t="shared" si="35"/>
        <v>270</v>
      </c>
      <c r="AA30" s="32">
        <f t="shared" si="35"/>
        <v>0</v>
      </c>
      <c r="AB30" s="32">
        <f t="shared" si="35"/>
        <v>0</v>
      </c>
      <c r="AC30" s="32">
        <f t="shared" si="35"/>
        <v>0</v>
      </c>
      <c r="AD30" s="32">
        <f t="shared" si="35"/>
        <v>50</v>
      </c>
      <c r="AE30" s="32">
        <f t="shared" si="35"/>
        <v>0</v>
      </c>
      <c r="AF30" s="27"/>
    </row>
    <row r="31" spans="1:32" ht="18.75" x14ac:dyDescent="0.3">
      <c r="A31" s="7" t="s">
        <v>32</v>
      </c>
      <c r="B31" s="32">
        <f>B27</f>
        <v>476.5</v>
      </c>
      <c r="C31" s="32">
        <f>C27</f>
        <v>0</v>
      </c>
      <c r="D31" s="32">
        <f t="shared" ref="D31:E31" si="36">D27</f>
        <v>0</v>
      </c>
      <c r="E31" s="32">
        <f t="shared" si="36"/>
        <v>0</v>
      </c>
      <c r="F31" s="31">
        <f t="shared" si="32"/>
        <v>0</v>
      </c>
      <c r="G31" s="31" t="e">
        <f t="shared" si="33"/>
        <v>#DIV/0!</v>
      </c>
      <c r="H31" s="32">
        <f>H27</f>
        <v>0</v>
      </c>
      <c r="I31" s="32">
        <f t="shared" ref="I31:AE31" si="37">I27</f>
        <v>0</v>
      </c>
      <c r="J31" s="32">
        <f t="shared" si="37"/>
        <v>0</v>
      </c>
      <c r="K31" s="32">
        <f t="shared" si="37"/>
        <v>0</v>
      </c>
      <c r="L31" s="32">
        <f t="shared" si="37"/>
        <v>0</v>
      </c>
      <c r="M31" s="32">
        <f t="shared" si="37"/>
        <v>0</v>
      </c>
      <c r="N31" s="32">
        <f t="shared" si="37"/>
        <v>0</v>
      </c>
      <c r="O31" s="32">
        <f t="shared" si="37"/>
        <v>0</v>
      </c>
      <c r="P31" s="32">
        <f t="shared" si="37"/>
        <v>0</v>
      </c>
      <c r="Q31" s="32">
        <f t="shared" si="37"/>
        <v>0</v>
      </c>
      <c r="R31" s="32">
        <f t="shared" si="37"/>
        <v>0</v>
      </c>
      <c r="S31" s="32">
        <f t="shared" si="37"/>
        <v>0</v>
      </c>
      <c r="T31" s="32">
        <f t="shared" si="37"/>
        <v>0</v>
      </c>
      <c r="U31" s="32">
        <f t="shared" si="37"/>
        <v>0</v>
      </c>
      <c r="V31" s="32">
        <f t="shared" si="37"/>
        <v>0</v>
      </c>
      <c r="W31" s="32">
        <f t="shared" si="37"/>
        <v>0</v>
      </c>
      <c r="X31" s="32">
        <f t="shared" si="37"/>
        <v>0</v>
      </c>
      <c r="Y31" s="32">
        <f t="shared" si="37"/>
        <v>0</v>
      </c>
      <c r="Z31" s="32">
        <f t="shared" si="37"/>
        <v>0</v>
      </c>
      <c r="AA31" s="32">
        <f t="shared" si="37"/>
        <v>0</v>
      </c>
      <c r="AB31" s="32">
        <f t="shared" si="37"/>
        <v>0</v>
      </c>
      <c r="AC31" s="32">
        <f t="shared" si="37"/>
        <v>0</v>
      </c>
      <c r="AD31" s="32">
        <f t="shared" si="37"/>
        <v>0</v>
      </c>
      <c r="AE31" s="32">
        <f t="shared" si="37"/>
        <v>0</v>
      </c>
      <c r="AF31" s="27"/>
    </row>
    <row r="32" spans="1:32" ht="18.75" x14ac:dyDescent="0.3">
      <c r="A32" s="7" t="s">
        <v>33</v>
      </c>
      <c r="B32" s="32">
        <f>B28</f>
        <v>950</v>
      </c>
      <c r="C32" s="32">
        <f>C28</f>
        <v>0</v>
      </c>
      <c r="D32" s="32">
        <f t="shared" ref="D32:E32" si="38">D28</f>
        <v>0</v>
      </c>
      <c r="E32" s="32">
        <f t="shared" si="38"/>
        <v>0</v>
      </c>
      <c r="F32" s="31">
        <f t="shared" si="32"/>
        <v>0</v>
      </c>
      <c r="G32" s="31" t="e">
        <f t="shared" si="33"/>
        <v>#DIV/0!</v>
      </c>
      <c r="H32" s="32">
        <f>H28</f>
        <v>0</v>
      </c>
      <c r="I32" s="32">
        <f t="shared" ref="I32:AE32" si="39">I28</f>
        <v>0</v>
      </c>
      <c r="J32" s="32">
        <f t="shared" si="39"/>
        <v>0</v>
      </c>
      <c r="K32" s="32">
        <f t="shared" si="39"/>
        <v>0</v>
      </c>
      <c r="L32" s="32">
        <f t="shared" si="39"/>
        <v>0</v>
      </c>
      <c r="M32" s="32">
        <f t="shared" si="39"/>
        <v>0</v>
      </c>
      <c r="N32" s="32">
        <f t="shared" si="39"/>
        <v>0</v>
      </c>
      <c r="O32" s="32">
        <f t="shared" si="39"/>
        <v>0</v>
      </c>
      <c r="P32" s="32">
        <f t="shared" si="39"/>
        <v>360</v>
      </c>
      <c r="Q32" s="32">
        <f t="shared" si="39"/>
        <v>0</v>
      </c>
      <c r="R32" s="32">
        <f t="shared" si="39"/>
        <v>0</v>
      </c>
      <c r="S32" s="32">
        <f t="shared" si="39"/>
        <v>0</v>
      </c>
      <c r="T32" s="32">
        <f t="shared" si="39"/>
        <v>270</v>
      </c>
      <c r="U32" s="32">
        <f t="shared" si="39"/>
        <v>0</v>
      </c>
      <c r="V32" s="32">
        <f t="shared" si="39"/>
        <v>0</v>
      </c>
      <c r="W32" s="32">
        <f t="shared" si="39"/>
        <v>0</v>
      </c>
      <c r="X32" s="32">
        <f t="shared" si="39"/>
        <v>0</v>
      </c>
      <c r="Y32" s="32">
        <f t="shared" si="39"/>
        <v>0</v>
      </c>
      <c r="Z32" s="32">
        <f t="shared" si="39"/>
        <v>270</v>
      </c>
      <c r="AA32" s="32">
        <f t="shared" si="39"/>
        <v>0</v>
      </c>
      <c r="AB32" s="32">
        <f t="shared" si="39"/>
        <v>0</v>
      </c>
      <c r="AC32" s="32">
        <f t="shared" si="39"/>
        <v>0</v>
      </c>
      <c r="AD32" s="32">
        <f t="shared" si="39"/>
        <v>50</v>
      </c>
      <c r="AE32" s="32">
        <f t="shared" si="39"/>
        <v>0</v>
      </c>
      <c r="AF32" s="27"/>
    </row>
    <row r="33" spans="1:32" ht="18.75" x14ac:dyDescent="0.3">
      <c r="A33" s="43" t="s">
        <v>66</v>
      </c>
      <c r="B33" s="45"/>
      <c r="C33" s="45"/>
      <c r="D33" s="45"/>
      <c r="E33" s="45"/>
      <c r="F33" s="31" t="e">
        <f t="shared" si="32"/>
        <v>#DIV/0!</v>
      </c>
      <c r="G33" s="31" t="e">
        <f t="shared" si="33"/>
        <v>#DIV/0!</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27"/>
    </row>
    <row r="34" spans="1:32" ht="18.75" x14ac:dyDescent="0.3">
      <c r="A34" s="8" t="s">
        <v>31</v>
      </c>
      <c r="B34" s="32">
        <f>B35+B36</f>
        <v>1426.5</v>
      </c>
      <c r="C34" s="32">
        <f>C35+C36</f>
        <v>0</v>
      </c>
      <c r="D34" s="32">
        <f t="shared" ref="D34:E34" si="40">D35+D36</f>
        <v>0</v>
      </c>
      <c r="E34" s="32">
        <f t="shared" si="40"/>
        <v>0</v>
      </c>
      <c r="F34" s="31">
        <f t="shared" si="3"/>
        <v>0</v>
      </c>
      <c r="G34" s="31" t="e">
        <f t="shared" si="4"/>
        <v>#DIV/0!</v>
      </c>
      <c r="H34" s="32">
        <f t="shared" ref="H34:W34" si="41">H26</f>
        <v>0</v>
      </c>
      <c r="I34" s="32">
        <f t="shared" si="41"/>
        <v>0</v>
      </c>
      <c r="J34" s="32">
        <f t="shared" si="41"/>
        <v>0</v>
      </c>
      <c r="K34" s="32">
        <f t="shared" si="41"/>
        <v>0</v>
      </c>
      <c r="L34" s="32">
        <f t="shared" si="41"/>
        <v>0</v>
      </c>
      <c r="M34" s="32">
        <f t="shared" si="41"/>
        <v>0</v>
      </c>
      <c r="N34" s="32">
        <f t="shared" si="41"/>
        <v>0</v>
      </c>
      <c r="O34" s="32">
        <f t="shared" si="41"/>
        <v>0</v>
      </c>
      <c r="P34" s="32">
        <f t="shared" si="41"/>
        <v>360</v>
      </c>
      <c r="Q34" s="32">
        <f t="shared" si="41"/>
        <v>0</v>
      </c>
      <c r="R34" s="32">
        <f t="shared" si="41"/>
        <v>0</v>
      </c>
      <c r="S34" s="32">
        <f t="shared" si="41"/>
        <v>0</v>
      </c>
      <c r="T34" s="32">
        <f t="shared" si="41"/>
        <v>270</v>
      </c>
      <c r="U34" s="32">
        <f t="shared" si="41"/>
        <v>0</v>
      </c>
      <c r="V34" s="32">
        <f t="shared" si="41"/>
        <v>0</v>
      </c>
      <c r="W34" s="32">
        <f t="shared" si="41"/>
        <v>0</v>
      </c>
      <c r="X34" s="32">
        <f t="shared" ref="I34:X36" si="42">X26</f>
        <v>0</v>
      </c>
      <c r="Y34" s="32">
        <f t="shared" ref="Y34:AE34" si="43">Y26</f>
        <v>0</v>
      </c>
      <c r="Z34" s="32">
        <f t="shared" si="43"/>
        <v>270</v>
      </c>
      <c r="AA34" s="32">
        <f t="shared" si="43"/>
        <v>0</v>
      </c>
      <c r="AB34" s="32">
        <f t="shared" si="43"/>
        <v>0</v>
      </c>
      <c r="AC34" s="32">
        <f t="shared" si="43"/>
        <v>0</v>
      </c>
      <c r="AD34" s="32">
        <f t="shared" si="43"/>
        <v>50</v>
      </c>
      <c r="AE34" s="32">
        <f t="shared" si="43"/>
        <v>0</v>
      </c>
      <c r="AF34" s="27"/>
    </row>
    <row r="35" spans="1:32" ht="18.75" x14ac:dyDescent="0.3">
      <c r="A35" s="7" t="s">
        <v>32</v>
      </c>
      <c r="B35" s="32">
        <f>B27</f>
        <v>476.5</v>
      </c>
      <c r="C35" s="32">
        <f>C27</f>
        <v>0</v>
      </c>
      <c r="D35" s="32">
        <f t="shared" ref="D35:E35" si="44">D27</f>
        <v>0</v>
      </c>
      <c r="E35" s="32">
        <f t="shared" si="44"/>
        <v>0</v>
      </c>
      <c r="F35" s="31">
        <f t="shared" si="3"/>
        <v>0</v>
      </c>
      <c r="G35" s="31" t="e">
        <f t="shared" si="4"/>
        <v>#DIV/0!</v>
      </c>
      <c r="H35" s="32">
        <f>H27</f>
        <v>0</v>
      </c>
      <c r="I35" s="32">
        <f t="shared" si="42"/>
        <v>0</v>
      </c>
      <c r="J35" s="32">
        <f t="shared" si="42"/>
        <v>0</v>
      </c>
      <c r="K35" s="32">
        <f t="shared" si="42"/>
        <v>0</v>
      </c>
      <c r="L35" s="32">
        <f t="shared" si="42"/>
        <v>0</v>
      </c>
      <c r="M35" s="32">
        <f t="shared" si="42"/>
        <v>0</v>
      </c>
      <c r="N35" s="32">
        <f t="shared" si="42"/>
        <v>0</v>
      </c>
      <c r="O35" s="32">
        <f t="shared" si="42"/>
        <v>0</v>
      </c>
      <c r="P35" s="32">
        <f t="shared" si="42"/>
        <v>0</v>
      </c>
      <c r="Q35" s="32">
        <f t="shared" si="42"/>
        <v>0</v>
      </c>
      <c r="R35" s="32">
        <f t="shared" si="42"/>
        <v>0</v>
      </c>
      <c r="S35" s="32">
        <f t="shared" si="42"/>
        <v>0</v>
      </c>
      <c r="T35" s="32">
        <f t="shared" si="42"/>
        <v>0</v>
      </c>
      <c r="U35" s="32">
        <f t="shared" si="42"/>
        <v>0</v>
      </c>
      <c r="V35" s="32">
        <f t="shared" si="42"/>
        <v>0</v>
      </c>
      <c r="W35" s="32">
        <f t="shared" si="42"/>
        <v>0</v>
      </c>
      <c r="X35" s="32">
        <f t="shared" si="42"/>
        <v>0</v>
      </c>
      <c r="Y35" s="32">
        <f t="shared" ref="Y35:AE35" si="45">Y27</f>
        <v>0</v>
      </c>
      <c r="Z35" s="32">
        <f t="shared" si="45"/>
        <v>0</v>
      </c>
      <c r="AA35" s="32">
        <f t="shared" si="45"/>
        <v>0</v>
      </c>
      <c r="AB35" s="32">
        <f t="shared" si="45"/>
        <v>0</v>
      </c>
      <c r="AC35" s="32">
        <f t="shared" si="45"/>
        <v>0</v>
      </c>
      <c r="AD35" s="32">
        <f t="shared" si="45"/>
        <v>0</v>
      </c>
      <c r="AE35" s="32">
        <f t="shared" si="45"/>
        <v>0</v>
      </c>
      <c r="AF35" s="27"/>
    </row>
    <row r="36" spans="1:32" ht="18.75" x14ac:dyDescent="0.3">
      <c r="A36" s="7" t="s">
        <v>33</v>
      </c>
      <c r="B36" s="32">
        <f>B28</f>
        <v>950</v>
      </c>
      <c r="C36" s="32">
        <f>C28</f>
        <v>0</v>
      </c>
      <c r="D36" s="32">
        <f t="shared" ref="D36:E36" si="46">D28</f>
        <v>0</v>
      </c>
      <c r="E36" s="32">
        <f t="shared" si="46"/>
        <v>0</v>
      </c>
      <c r="F36" s="31">
        <f t="shared" si="3"/>
        <v>0</v>
      </c>
      <c r="G36" s="31" t="e">
        <f t="shared" si="4"/>
        <v>#DIV/0!</v>
      </c>
      <c r="H36" s="32">
        <f>H28</f>
        <v>0</v>
      </c>
      <c r="I36" s="32">
        <f t="shared" si="42"/>
        <v>0</v>
      </c>
      <c r="J36" s="32">
        <f t="shared" si="42"/>
        <v>0</v>
      </c>
      <c r="K36" s="32">
        <f t="shared" si="42"/>
        <v>0</v>
      </c>
      <c r="L36" s="32">
        <f t="shared" si="42"/>
        <v>0</v>
      </c>
      <c r="M36" s="32">
        <f t="shared" si="42"/>
        <v>0</v>
      </c>
      <c r="N36" s="32">
        <f t="shared" si="42"/>
        <v>0</v>
      </c>
      <c r="O36" s="32">
        <f t="shared" si="42"/>
        <v>0</v>
      </c>
      <c r="P36" s="32">
        <f t="shared" si="42"/>
        <v>360</v>
      </c>
      <c r="Q36" s="32">
        <f t="shared" si="42"/>
        <v>0</v>
      </c>
      <c r="R36" s="32">
        <f t="shared" si="42"/>
        <v>0</v>
      </c>
      <c r="S36" s="32">
        <f t="shared" si="42"/>
        <v>0</v>
      </c>
      <c r="T36" s="32">
        <f t="shared" si="42"/>
        <v>270</v>
      </c>
      <c r="U36" s="32">
        <f t="shared" si="42"/>
        <v>0</v>
      </c>
      <c r="V36" s="32">
        <f t="shared" si="42"/>
        <v>0</v>
      </c>
      <c r="W36" s="32">
        <f t="shared" si="42"/>
        <v>0</v>
      </c>
      <c r="X36" s="32">
        <f t="shared" si="42"/>
        <v>0</v>
      </c>
      <c r="Y36" s="32">
        <f t="shared" ref="Y36:AE36" si="47">Y28</f>
        <v>0</v>
      </c>
      <c r="Z36" s="32">
        <f t="shared" si="47"/>
        <v>270</v>
      </c>
      <c r="AA36" s="32">
        <f t="shared" si="47"/>
        <v>0</v>
      </c>
      <c r="AB36" s="32">
        <f t="shared" si="47"/>
        <v>0</v>
      </c>
      <c r="AC36" s="32">
        <f t="shared" si="47"/>
        <v>0</v>
      </c>
      <c r="AD36" s="32">
        <f t="shared" si="47"/>
        <v>50</v>
      </c>
      <c r="AE36" s="32">
        <f t="shared" si="47"/>
        <v>0</v>
      </c>
      <c r="AF36" s="27"/>
    </row>
    <row r="37" spans="1:32" ht="37.5" x14ac:dyDescent="0.3">
      <c r="A37" s="67" t="s">
        <v>67</v>
      </c>
      <c r="B37" s="635"/>
      <c r="C37" s="29"/>
      <c r="D37" s="29"/>
      <c r="E37" s="29"/>
      <c r="F37" s="31" t="e">
        <f t="shared" ref="F37:F40" si="48">E37/B37*100</f>
        <v>#DIV/0!</v>
      </c>
      <c r="G37" s="31" t="e">
        <f t="shared" ref="G37:G40" si="49">E37/C37*100</f>
        <v>#DIV/0!</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7"/>
    </row>
    <row r="38" spans="1:32" ht="18.75" x14ac:dyDescent="0.3">
      <c r="A38" s="8" t="s">
        <v>31</v>
      </c>
      <c r="B38" s="667">
        <f>B39+B40</f>
        <v>1426.5</v>
      </c>
      <c r="C38" s="41">
        <f t="shared" ref="C38:E40" si="50">C34</f>
        <v>0</v>
      </c>
      <c r="D38" s="41">
        <f t="shared" si="50"/>
        <v>0</v>
      </c>
      <c r="E38" s="41">
        <f t="shared" si="50"/>
        <v>0</v>
      </c>
      <c r="F38" s="31">
        <f t="shared" si="48"/>
        <v>0</v>
      </c>
      <c r="G38" s="31" t="e">
        <f t="shared" si="49"/>
        <v>#DIV/0!</v>
      </c>
      <c r="H38" s="41">
        <f t="shared" ref="H38:AE38" si="51">H34</f>
        <v>0</v>
      </c>
      <c r="I38" s="41">
        <f t="shared" si="51"/>
        <v>0</v>
      </c>
      <c r="J38" s="41">
        <f t="shared" si="51"/>
        <v>0</v>
      </c>
      <c r="K38" s="41">
        <f t="shared" si="51"/>
        <v>0</v>
      </c>
      <c r="L38" s="41">
        <f t="shared" si="51"/>
        <v>0</v>
      </c>
      <c r="M38" s="41">
        <f t="shared" si="51"/>
        <v>0</v>
      </c>
      <c r="N38" s="41">
        <f t="shared" si="51"/>
        <v>0</v>
      </c>
      <c r="O38" s="41">
        <f t="shared" si="51"/>
        <v>0</v>
      </c>
      <c r="P38" s="41">
        <f t="shared" si="51"/>
        <v>360</v>
      </c>
      <c r="Q38" s="41">
        <f t="shared" si="51"/>
        <v>0</v>
      </c>
      <c r="R38" s="41">
        <f t="shared" si="51"/>
        <v>0</v>
      </c>
      <c r="S38" s="41">
        <f t="shared" si="51"/>
        <v>0</v>
      </c>
      <c r="T38" s="41">
        <f t="shared" si="51"/>
        <v>270</v>
      </c>
      <c r="U38" s="41">
        <f t="shared" si="51"/>
        <v>0</v>
      </c>
      <c r="V38" s="41">
        <f t="shared" si="51"/>
        <v>0</v>
      </c>
      <c r="W38" s="41">
        <f t="shared" si="51"/>
        <v>0</v>
      </c>
      <c r="X38" s="41">
        <f t="shared" si="51"/>
        <v>0</v>
      </c>
      <c r="Y38" s="41">
        <f t="shared" si="51"/>
        <v>0</v>
      </c>
      <c r="Z38" s="41">
        <f t="shared" si="51"/>
        <v>270</v>
      </c>
      <c r="AA38" s="41">
        <f t="shared" si="51"/>
        <v>0</v>
      </c>
      <c r="AB38" s="41">
        <f t="shared" si="51"/>
        <v>0</v>
      </c>
      <c r="AC38" s="41">
        <f t="shared" si="51"/>
        <v>0</v>
      </c>
      <c r="AD38" s="41">
        <f t="shared" si="51"/>
        <v>50</v>
      </c>
      <c r="AE38" s="41">
        <f t="shared" si="51"/>
        <v>0</v>
      </c>
      <c r="AF38" s="27"/>
    </row>
    <row r="39" spans="1:32" ht="18.75" x14ac:dyDescent="0.3">
      <c r="A39" s="7" t="s">
        <v>32</v>
      </c>
      <c r="B39" s="667">
        <f>B35</f>
        <v>476.5</v>
      </c>
      <c r="C39" s="41">
        <f>C35</f>
        <v>0</v>
      </c>
      <c r="D39" s="41">
        <f t="shared" si="50"/>
        <v>0</v>
      </c>
      <c r="E39" s="41">
        <f t="shared" si="50"/>
        <v>0</v>
      </c>
      <c r="F39" s="31">
        <f t="shared" si="48"/>
        <v>0</v>
      </c>
      <c r="G39" s="31" t="e">
        <f t="shared" si="49"/>
        <v>#DIV/0!</v>
      </c>
      <c r="H39" s="41">
        <f t="shared" ref="H39:AE39" si="52">H35</f>
        <v>0</v>
      </c>
      <c r="I39" s="41">
        <f t="shared" si="52"/>
        <v>0</v>
      </c>
      <c r="J39" s="41">
        <f t="shared" si="52"/>
        <v>0</v>
      </c>
      <c r="K39" s="41">
        <f t="shared" si="52"/>
        <v>0</v>
      </c>
      <c r="L39" s="41">
        <f t="shared" si="52"/>
        <v>0</v>
      </c>
      <c r="M39" s="41">
        <f t="shared" si="52"/>
        <v>0</v>
      </c>
      <c r="N39" s="41">
        <f t="shared" si="52"/>
        <v>0</v>
      </c>
      <c r="O39" s="41">
        <f t="shared" si="52"/>
        <v>0</v>
      </c>
      <c r="P39" s="41">
        <f t="shared" si="52"/>
        <v>0</v>
      </c>
      <c r="Q39" s="41">
        <f t="shared" si="52"/>
        <v>0</v>
      </c>
      <c r="R39" s="41">
        <f t="shared" si="52"/>
        <v>0</v>
      </c>
      <c r="S39" s="41">
        <f t="shared" si="52"/>
        <v>0</v>
      </c>
      <c r="T39" s="41">
        <f t="shared" si="52"/>
        <v>0</v>
      </c>
      <c r="U39" s="41">
        <f t="shared" si="52"/>
        <v>0</v>
      </c>
      <c r="V39" s="41">
        <f t="shared" si="52"/>
        <v>0</v>
      </c>
      <c r="W39" s="41">
        <f t="shared" si="52"/>
        <v>0</v>
      </c>
      <c r="X39" s="41">
        <f t="shared" si="52"/>
        <v>0</v>
      </c>
      <c r="Y39" s="41">
        <f t="shared" si="52"/>
        <v>0</v>
      </c>
      <c r="Z39" s="41">
        <f t="shared" si="52"/>
        <v>0</v>
      </c>
      <c r="AA39" s="41">
        <f t="shared" si="52"/>
        <v>0</v>
      </c>
      <c r="AB39" s="41">
        <f t="shared" si="52"/>
        <v>0</v>
      </c>
      <c r="AC39" s="41">
        <f t="shared" si="52"/>
        <v>0</v>
      </c>
      <c r="AD39" s="41">
        <f t="shared" si="52"/>
        <v>0</v>
      </c>
      <c r="AE39" s="41">
        <f t="shared" si="52"/>
        <v>0</v>
      </c>
      <c r="AF39" s="27"/>
    </row>
    <row r="40" spans="1:32" ht="18.75" x14ac:dyDescent="0.3">
      <c r="A40" s="7" t="s">
        <v>33</v>
      </c>
      <c r="B40" s="667">
        <f>B36</f>
        <v>950</v>
      </c>
      <c r="C40" s="41">
        <f>C36</f>
        <v>0</v>
      </c>
      <c r="D40" s="41">
        <f t="shared" si="50"/>
        <v>0</v>
      </c>
      <c r="E40" s="41">
        <f t="shared" si="50"/>
        <v>0</v>
      </c>
      <c r="F40" s="31">
        <f t="shared" si="48"/>
        <v>0</v>
      </c>
      <c r="G40" s="31" t="e">
        <f t="shared" si="49"/>
        <v>#DIV/0!</v>
      </c>
      <c r="H40" s="41">
        <f t="shared" ref="H40:AE40" si="53">H36</f>
        <v>0</v>
      </c>
      <c r="I40" s="41">
        <f t="shared" si="53"/>
        <v>0</v>
      </c>
      <c r="J40" s="41">
        <f t="shared" si="53"/>
        <v>0</v>
      </c>
      <c r="K40" s="41">
        <f t="shared" si="53"/>
        <v>0</v>
      </c>
      <c r="L40" s="41">
        <f t="shared" si="53"/>
        <v>0</v>
      </c>
      <c r="M40" s="41">
        <f t="shared" si="53"/>
        <v>0</v>
      </c>
      <c r="N40" s="41">
        <f t="shared" si="53"/>
        <v>0</v>
      </c>
      <c r="O40" s="41">
        <f t="shared" si="53"/>
        <v>0</v>
      </c>
      <c r="P40" s="41">
        <f t="shared" si="53"/>
        <v>360</v>
      </c>
      <c r="Q40" s="41">
        <f t="shared" si="53"/>
        <v>0</v>
      </c>
      <c r="R40" s="41">
        <f t="shared" si="53"/>
        <v>0</v>
      </c>
      <c r="S40" s="41">
        <f t="shared" si="53"/>
        <v>0</v>
      </c>
      <c r="T40" s="41">
        <f t="shared" si="53"/>
        <v>270</v>
      </c>
      <c r="U40" s="41">
        <f t="shared" si="53"/>
        <v>0</v>
      </c>
      <c r="V40" s="41">
        <f t="shared" si="53"/>
        <v>0</v>
      </c>
      <c r="W40" s="41">
        <f t="shared" si="53"/>
        <v>0</v>
      </c>
      <c r="X40" s="41">
        <f t="shared" si="53"/>
        <v>0</v>
      </c>
      <c r="Y40" s="41">
        <f t="shared" si="53"/>
        <v>0</v>
      </c>
      <c r="Z40" s="41">
        <f t="shared" si="53"/>
        <v>270</v>
      </c>
      <c r="AA40" s="41">
        <f t="shared" si="53"/>
        <v>0</v>
      </c>
      <c r="AB40" s="41">
        <f t="shared" si="53"/>
        <v>0</v>
      </c>
      <c r="AC40" s="41">
        <f t="shared" si="53"/>
        <v>0</v>
      </c>
      <c r="AD40" s="41">
        <f t="shared" si="53"/>
        <v>50</v>
      </c>
      <c r="AE40" s="41">
        <f t="shared" si="53"/>
        <v>0</v>
      </c>
      <c r="AF40" s="27"/>
    </row>
    <row r="42" spans="1:32" ht="37.5" x14ac:dyDescent="0.3">
      <c r="A42" s="9" t="s">
        <v>512</v>
      </c>
      <c r="B42" s="26"/>
      <c r="C42" s="26"/>
      <c r="D42" s="23" t="s">
        <v>511</v>
      </c>
      <c r="G42" s="16"/>
    </row>
    <row r="43" spans="1:32" ht="18.75" x14ac:dyDescent="0.3">
      <c r="A43" s="9"/>
      <c r="B43" s="20" t="s">
        <v>68</v>
      </c>
      <c r="C43" s="20"/>
      <c r="D43" s="22"/>
      <c r="G43" s="44"/>
    </row>
    <row r="44" spans="1:32" ht="56.25" x14ac:dyDescent="0.3">
      <c r="A44" s="668" t="s">
        <v>513</v>
      </c>
      <c r="B44" s="668"/>
      <c r="C44" s="668"/>
      <c r="D44" s="669"/>
      <c r="G44" s="16"/>
    </row>
    <row r="45" spans="1:32" ht="18.75" x14ac:dyDescent="0.3">
      <c r="A45" s="668"/>
      <c r="B45" s="668"/>
      <c r="C45" s="668"/>
      <c r="D45" s="670"/>
      <c r="G45" s="16"/>
    </row>
    <row r="46" spans="1:32" x14ac:dyDescent="0.25">
      <c r="A46" s="671"/>
      <c r="B46" s="671"/>
      <c r="C46" s="671"/>
      <c r="D46" s="671"/>
    </row>
    <row r="47" spans="1:32" x14ac:dyDescent="0.25">
      <c r="A47" s="671"/>
      <c r="B47" s="671"/>
      <c r="C47" s="671"/>
      <c r="D47" s="671"/>
    </row>
  </sheetData>
  <customSheetViews>
    <customSheetView guid="{533DC55B-6AD4-4674-9488-685EF2039F3E}" scale="60">
      <pane xSplit="1" ySplit="6" topLeftCell="B7" activePane="bottomRight" state="frozen"/>
      <selection pane="bottomRight" activeCell="C41" sqref="C41"/>
      <pageMargins left="0.7" right="0.7" top="0.75" bottom="0.75" header="0.3" footer="0.3"/>
      <pageSetup paperSize="9" orientation="portrait" r:id="rId1"/>
    </customSheetView>
    <customSheetView guid="{85F4575B-DBC5-482A-9916-255D8F0BC94E}" scale="60">
      <pane xSplit="1" ySplit="6" topLeftCell="B7" activePane="bottomRight" state="frozen"/>
      <selection pane="bottomRight" activeCell="C41" sqref="C41"/>
      <pageMargins left="0.7" right="0.7" top="0.75" bottom="0.75" header="0.3" footer="0.3"/>
      <pageSetup paperSize="9" orientation="portrait" r:id="rId2"/>
    </customSheetView>
    <customSheetView guid="{B1BF08D1-D416-4B47-ADD0-4F59132DC9E8}" scale="60">
      <pane xSplit="1" ySplit="6" topLeftCell="B7" activePane="bottomRight" state="frozen"/>
      <selection pane="bottomRight" activeCell="C41" sqref="C41"/>
      <pageMargins left="0.7" right="0.7" top="0.75" bottom="0.75" header="0.3" footer="0.3"/>
      <pageSetup paperSize="9" orientation="portrait" r:id="rId3"/>
    </customSheetView>
    <customSheetView guid="{4F41B9CC-959D-442C-80B0-1F0DB2C76D27}" scale="60">
      <pane xSplit="1" ySplit="6" topLeftCell="B7" activePane="bottomRight" state="frozen"/>
      <selection pane="bottomRight" activeCell="C41" sqref="C41"/>
      <pageMargins left="0.7" right="0.7" top="0.75" bottom="0.75" header="0.3" footer="0.3"/>
      <pageSetup paperSize="9" orientation="portrait" r:id="rId4"/>
    </customSheetView>
    <customSheetView guid="{602C8EDB-B9EF-4C85-B0D5-0558C3A0ABAB}" scale="60">
      <pane xSplit="1" ySplit="6" topLeftCell="B7" activePane="bottomRight" state="frozen"/>
      <selection pane="bottomRight" activeCell="C41" sqref="C41"/>
      <pageMargins left="0.7" right="0.7" top="0.75" bottom="0.75" header="0.3" footer="0.3"/>
      <pageSetup paperSize="9" orientation="portrait" r:id="rId5"/>
    </customSheetView>
    <customSheetView guid="{D01FA037-9AEC-4167-ADB8-2F327C01ECE6}" scale="60">
      <pane xSplit="1" ySplit="6" topLeftCell="B7" activePane="bottomRight" state="frozen"/>
      <selection pane="bottomRight" activeCell="C41" sqref="C41"/>
      <pageMargins left="0.7" right="0.7" top="0.75" bottom="0.75" header="0.3" footer="0.3"/>
      <pageSetup paperSize="9" orientation="portrait" r:id="rId6"/>
    </customSheetView>
    <customSheetView guid="{84867370-1F3E-4368-AF79-FBCE46FFFE92}" scale="60">
      <pane xSplit="1" ySplit="6" topLeftCell="B7" activePane="bottomRight" state="frozen"/>
      <selection pane="bottomRight" activeCell="C41" sqref="C41"/>
      <pageMargins left="0.7" right="0.7" top="0.75" bottom="0.75" header="0.3" footer="0.3"/>
      <pageSetup paperSize="9" orientation="portrait" r:id="rId7"/>
    </customSheetView>
    <customSheetView guid="{0C2B9C2A-7B94-41EF-A2E6-F8AC9A67DE25}" scale="60">
      <pane xSplit="1" ySplit="6" topLeftCell="B28" activePane="bottomRight" state="frozen"/>
      <selection pane="bottomRight" activeCell="C41" sqref="C41"/>
      <pageMargins left="0.7" right="0.7" top="0.75" bottom="0.75" header="0.3" footer="0.3"/>
      <pageSetup paperSize="9" orientation="portrait" r:id="rId8"/>
    </customSheetView>
    <customSheetView guid="{47B983AB-FE5F-4725-860C-A2F29420596D}" scale="60">
      <pane xSplit="1" ySplit="6" topLeftCell="B28" activePane="bottomRight" state="frozen"/>
      <selection pane="bottomRight" activeCell="C41" sqref="C41"/>
      <pageMargins left="0.7" right="0.7" top="0.75" bottom="0.75" header="0.3" footer="0.3"/>
      <pageSetup paperSize="9" orientation="portrait" r:id="rId9"/>
    </customSheetView>
    <customSheetView guid="{DAA8A688-7558-4B5B-8DBD-E2629BD9E9A8}" scale="60">
      <pane xSplit="1" ySplit="6" topLeftCell="B7" activePane="bottomRight" state="frozen"/>
      <selection pane="bottomRight" activeCell="H23" sqref="H23"/>
      <pageMargins left="0.7" right="0.7" top="0.75" bottom="0.75" header="0.3" footer="0.3"/>
      <pageSetup paperSize="9" orientation="portrait" r:id="rId10"/>
    </customSheetView>
    <customSheetView guid="{BCD82A82-B724-4763-8580-D765356E09BA}" scale="60">
      <pane xSplit="1" ySplit="6" topLeftCell="B7" activePane="bottomRight" state="frozen"/>
      <selection pane="bottomRight" activeCell="E14" sqref="E14"/>
      <pageMargins left="0.7" right="0.7" top="0.75" bottom="0.75" header="0.3" footer="0.3"/>
      <pageSetup paperSize="9" orientation="portrait" r:id="rId11"/>
    </customSheetView>
    <customSheetView guid="{C236B307-BD63-48C4-A75F-B3F3717BF55C}" scale="60">
      <pane xSplit="1" ySplit="6" topLeftCell="B7" activePane="bottomRight" state="frozen"/>
      <selection pane="bottomRight" activeCell="H23" sqref="H23"/>
      <pageMargins left="0.7" right="0.7" top="0.75" bottom="0.75" header="0.3" footer="0.3"/>
      <pageSetup paperSize="9" orientation="portrait" r:id="rId12"/>
    </customSheetView>
    <customSheetView guid="{87218168-6C8E-4D5B-A5E5-DCCC26803AA3}" scale="60">
      <pane xSplit="1" ySplit="6" topLeftCell="B7" activePane="bottomRight" state="frozen"/>
      <selection pane="bottomRight" activeCell="H23" sqref="H23"/>
      <pageMargins left="0.7" right="0.7" top="0.75" bottom="0.75" header="0.3" footer="0.3"/>
      <pageSetup paperSize="9" orientation="portrait" r:id="rId13"/>
    </customSheetView>
    <customSheetView guid="{874882D1-E741-4CCA-BF0D-E72FA60B771D}" scale="60">
      <pane xSplit="1" ySplit="6" topLeftCell="B7" activePane="bottomRight" state="frozen"/>
      <selection pane="bottomRight" activeCell="H23" sqref="H23"/>
      <pageMargins left="0.7" right="0.7" top="0.75" bottom="0.75" header="0.3" footer="0.3"/>
      <pageSetup paperSize="9" orientation="portrait" r:id="rId14"/>
    </customSheetView>
    <customSheetView guid="{B82BA08A-1A30-4F4D-A478-74A6BD09EA97}" scale="60">
      <pane xSplit="1" ySplit="6" topLeftCell="B7" activePane="bottomRight" state="frozen"/>
      <selection pane="bottomRight" activeCell="H23" sqref="H23"/>
      <pageMargins left="0.7" right="0.7" top="0.75" bottom="0.75" header="0.3" footer="0.3"/>
      <pageSetup paperSize="9" orientation="portrait" r:id="rId15"/>
    </customSheetView>
    <customSheetView guid="{4D0DFB57-2CBA-42F2-9A97-C453A6851FBA}" scale="60">
      <pane xSplit="1" ySplit="6" topLeftCell="B7" activePane="bottomRight" state="frozen"/>
      <selection pane="bottomRight" activeCell="F38" sqref="F38"/>
      <pageMargins left="0.7" right="0.7" top="0.75" bottom="0.75" header="0.3" footer="0.3"/>
      <pageSetup paperSize="9" orientation="portrait" r:id="rId16"/>
    </customSheetView>
    <customSheetView guid="{770624BF-07F3-44B6-94C3-4CC447CDD45C}" scale="60">
      <pane xSplit="1" ySplit="6" topLeftCell="B7" activePane="bottomRight" state="frozen"/>
      <selection pane="bottomRight" activeCell="F38" sqref="F38"/>
      <pageMargins left="0.7" right="0.7" top="0.75" bottom="0.75" header="0.3" footer="0.3"/>
      <pageSetup paperSize="9" orientation="portrait" r:id="rId17"/>
    </customSheetView>
    <customSheetView guid="{E508E171-4ED9-4B07-84DF-DA28C60E1969}" scale="60">
      <pane xSplit="1" ySplit="6" topLeftCell="B28" activePane="bottomRight" state="frozen"/>
      <selection pane="bottomRight" activeCell="C41" sqref="C41"/>
      <pageMargins left="0.7" right="0.7" top="0.75" bottom="0.75" header="0.3" footer="0.3"/>
      <pageSetup paperSize="9" orientation="portrait" r:id="rId18"/>
    </customSheetView>
    <customSheetView guid="{74870EE6-26B9-40F7-9DC9-260EF16D8959}" scale="60">
      <pane xSplit="1" ySplit="6" topLeftCell="B7" activePane="bottomRight" state="frozen"/>
      <selection pane="bottomRight" activeCell="C41" sqref="C41"/>
      <pageMargins left="0.7" right="0.7" top="0.75" bottom="0.75" header="0.3" footer="0.3"/>
      <pageSetup paperSize="9" orientation="portrait" r:id="rId19"/>
    </customSheetView>
    <customSheetView guid="{009B3074-D8EC-4952-BF50-43CD64449612}" scale="60">
      <pane xSplit="1" ySplit="6" topLeftCell="B7" activePane="bottomRight" state="frozen"/>
      <selection pane="bottomRight" activeCell="C41" sqref="C41"/>
      <pageMargins left="0.7" right="0.7" top="0.75" bottom="0.75" header="0.3" footer="0.3"/>
      <pageSetup paperSize="9" orientation="portrait" r:id="rId20"/>
    </customSheetView>
    <customSheetView guid="{F679EF4A-C5FD-4B86-B87B-D85968E0F2CA}" scale="60">
      <pane xSplit="1" ySplit="6" topLeftCell="B7" activePane="bottomRight" state="frozen"/>
      <selection pane="bottomRight" activeCell="C41" sqref="C41"/>
      <pageMargins left="0.7" right="0.7" top="0.75" bottom="0.75" header="0.3" footer="0.3"/>
      <pageSetup paperSize="9" orientation="portrait" r:id="rId21"/>
    </customSheetView>
    <customSheetView guid="{959E901C-5DDE-42EE-AE94-AB8976B5E00B}" scale="60">
      <pane xSplit="1" ySplit="6" topLeftCell="B7" activePane="bottomRight" state="frozen"/>
      <selection pane="bottomRight" activeCell="C41" sqref="C41"/>
      <pageMargins left="0.7" right="0.7" top="0.75" bottom="0.75" header="0.3" footer="0.3"/>
      <pageSetup paperSize="9" orientation="portrait" r:id="rId22"/>
    </customSheetView>
    <customSheetView guid="{69DABE6F-6182-4403-A4A2-969F10F1C13A}" scale="60">
      <pane xSplit="1" ySplit="6" topLeftCell="B7" activePane="bottomRight" state="frozen"/>
      <selection pane="bottomRight" activeCell="C41" sqref="C41"/>
      <pageMargins left="0.7" right="0.7" top="0.75" bottom="0.75" header="0.3" footer="0.3"/>
      <pageSetup paperSize="9" orientation="portrait" r:id="rId23"/>
    </customSheetView>
    <customSheetView guid="{09C3E205-981E-4A4E-BE89-8B7044192060}" scale="60">
      <pane xSplit="1" ySplit="6" topLeftCell="B7" activePane="bottomRight" state="frozen"/>
      <selection pane="bottomRight" activeCell="C41" sqref="C41"/>
      <pageMargins left="0.7" right="0.7" top="0.75" bottom="0.75" header="0.3" footer="0.3"/>
      <pageSetup paperSize="9" orientation="portrait" r:id="rId24"/>
    </customSheetView>
    <customSheetView guid="{6A602CB8-B24C-4ED4-B378-B27354BE0A1A}" scale="60">
      <pane xSplit="1" ySplit="6" topLeftCell="B7" activePane="bottomRight" state="frozen"/>
      <selection pane="bottomRight" activeCell="C41" sqref="C41"/>
      <pageMargins left="0.7" right="0.7" top="0.75" bottom="0.75" header="0.3" footer="0.3"/>
      <pageSetup paperSize="9" orientation="portrait" r:id="rId25"/>
    </customSheetView>
    <customSheetView guid="{7C130984-112A-4861-AA43-E2940708E3DC}" scale="60" state="hidden">
      <pane xSplit="1" ySplit="6" topLeftCell="B7" activePane="bottomRight" state="frozen"/>
      <selection pane="bottomRight" activeCell="AF39" sqref="AF39"/>
      <pageMargins left="0.7" right="0.7" top="0.75" bottom="0.75" header="0.3" footer="0.3"/>
      <pageSetup paperSize="9" orientation="portrait" r:id="rId26"/>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AF3:AF5"/>
    <mergeCell ref="X3:Y4"/>
    <mergeCell ref="Z3:AA4"/>
    <mergeCell ref="AB3:AC4"/>
    <mergeCell ref="AD3:AE4"/>
  </mergeCells>
  <hyperlinks>
    <hyperlink ref="A2:AE2" location="Оглавление!A1" display=" &quot;Развитие агропромышленного комплекса в городе Когалыме&quot;"/>
  </hyperlinks>
  <pageMargins left="0.7" right="0.7" top="0.75" bottom="0.75" header="0.3" footer="0.3"/>
  <pageSetup paperSize="9" orientation="portrait" r:id="rId27"/>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0"/>
  <sheetViews>
    <sheetView zoomScale="60" zoomScaleNormal="60" workbookViewId="0">
      <pane xSplit="1" ySplit="6" topLeftCell="B49" activePane="bottomRight" state="frozen"/>
      <selection activeCell="AF39" sqref="AF39"/>
      <selection pane="topRight" activeCell="AF39" sqref="AF39"/>
      <selection pane="bottomLeft" activeCell="AF39" sqref="AF39"/>
      <selection pane="bottomRight" activeCell="AF39" sqref="AF39"/>
    </sheetView>
  </sheetViews>
  <sheetFormatPr defaultRowHeight="15" x14ac:dyDescent="0.25"/>
  <cols>
    <col min="1" max="1" width="46.140625" customWidth="1"/>
    <col min="2" max="2" width="18.7109375" bestFit="1" customWidth="1"/>
    <col min="3" max="3" width="19.7109375" customWidth="1"/>
    <col min="4" max="4" width="17" customWidth="1"/>
    <col min="5" max="5" width="16.85546875" customWidth="1"/>
    <col min="6" max="6" width="16.5703125" bestFit="1" customWidth="1"/>
    <col min="7" max="7" width="13.42578125" bestFit="1" customWidth="1"/>
    <col min="8" max="9" width="15.5703125" bestFit="1" customWidth="1"/>
    <col min="10" max="10" width="17.28515625" bestFit="1" customWidth="1"/>
    <col min="11" max="13" width="15.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 min="33" max="33" width="15.5703125" customWidth="1"/>
  </cols>
  <sheetData>
    <row r="1" spans="1:33" ht="18.75" x14ac:dyDescent="0.25">
      <c r="A1" s="900" t="s">
        <v>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row>
    <row r="2" spans="1:33" ht="18.75" x14ac:dyDescent="0.25">
      <c r="A2" s="901" t="s">
        <v>48</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1" t="s">
        <v>1</v>
      </c>
    </row>
    <row r="3" spans="1:33" x14ac:dyDescent="0.25">
      <c r="A3" s="893" t="s">
        <v>2</v>
      </c>
      <c r="B3" s="902" t="s">
        <v>3</v>
      </c>
      <c r="C3" s="902" t="s">
        <v>3</v>
      </c>
      <c r="D3" s="902" t="s">
        <v>4</v>
      </c>
      <c r="E3" s="904" t="s">
        <v>5</v>
      </c>
      <c r="F3" s="896" t="s">
        <v>6</v>
      </c>
      <c r="G3" s="897"/>
      <c r="H3" s="896" t="s">
        <v>7</v>
      </c>
      <c r="I3" s="897"/>
      <c r="J3" s="896" t="s">
        <v>8</v>
      </c>
      <c r="K3" s="897"/>
      <c r="L3" s="896" t="s">
        <v>9</v>
      </c>
      <c r="M3" s="897"/>
      <c r="N3" s="896" t="s">
        <v>10</v>
      </c>
      <c r="O3" s="897"/>
      <c r="P3" s="896" t="s">
        <v>11</v>
      </c>
      <c r="Q3" s="897"/>
      <c r="R3" s="896" t="s">
        <v>12</v>
      </c>
      <c r="S3" s="897"/>
      <c r="T3" s="896" t="s">
        <v>13</v>
      </c>
      <c r="U3" s="897"/>
      <c r="V3" s="896" t="s">
        <v>14</v>
      </c>
      <c r="W3" s="897"/>
      <c r="X3" s="896" t="s">
        <v>15</v>
      </c>
      <c r="Y3" s="897"/>
      <c r="Z3" s="896" t="s">
        <v>16</v>
      </c>
      <c r="AA3" s="897"/>
      <c r="AB3" s="896" t="s">
        <v>17</v>
      </c>
      <c r="AC3" s="897"/>
      <c r="AD3" s="896" t="s">
        <v>18</v>
      </c>
      <c r="AE3" s="897"/>
      <c r="AF3" s="893" t="s">
        <v>19</v>
      </c>
    </row>
    <row r="4" spans="1:33" ht="42.75" customHeight="1" x14ac:dyDescent="0.25">
      <c r="A4" s="894"/>
      <c r="B4" s="903"/>
      <c r="C4" s="903"/>
      <c r="D4" s="903"/>
      <c r="E4" s="905"/>
      <c r="F4" s="898"/>
      <c r="G4" s="899"/>
      <c r="H4" s="898"/>
      <c r="I4" s="899"/>
      <c r="J4" s="898"/>
      <c r="K4" s="899"/>
      <c r="L4" s="898"/>
      <c r="M4" s="899"/>
      <c r="N4" s="898"/>
      <c r="O4" s="899"/>
      <c r="P4" s="898"/>
      <c r="Q4" s="899"/>
      <c r="R4" s="898"/>
      <c r="S4" s="899"/>
      <c r="T4" s="898"/>
      <c r="U4" s="899"/>
      <c r="V4" s="898"/>
      <c r="W4" s="899"/>
      <c r="X4" s="898"/>
      <c r="Y4" s="899"/>
      <c r="Z4" s="898"/>
      <c r="AA4" s="899"/>
      <c r="AB4" s="898"/>
      <c r="AC4" s="899"/>
      <c r="AD4" s="898"/>
      <c r="AE4" s="899"/>
      <c r="AF4" s="894"/>
    </row>
    <row r="5" spans="1:33" ht="56.25" x14ac:dyDescent="0.25">
      <c r="A5" s="24"/>
      <c r="B5" s="3">
        <v>2024</v>
      </c>
      <c r="C5" s="4">
        <v>45382</v>
      </c>
      <c r="D5" s="4">
        <v>45382</v>
      </c>
      <c r="E5" s="4">
        <v>45382</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895"/>
    </row>
    <row r="6" spans="1:33"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3" ht="112.5" x14ac:dyDescent="0.25">
      <c r="A7" s="49" t="s">
        <v>75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3" ht="18.75" x14ac:dyDescent="0.25">
      <c r="A8" s="6"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3" ht="56.25" customHeight="1" x14ac:dyDescent="0.25">
      <c r="A9" s="50" t="s">
        <v>49</v>
      </c>
      <c r="B9" s="30">
        <f>B10</f>
        <v>760.6</v>
      </c>
      <c r="C9" s="30">
        <f t="shared" ref="C9:E9" si="0">C10</f>
        <v>0</v>
      </c>
      <c r="D9" s="30">
        <f t="shared" si="0"/>
        <v>0</v>
      </c>
      <c r="E9" s="30">
        <f t="shared" si="0"/>
        <v>0</v>
      </c>
      <c r="F9" s="30"/>
      <c r="G9" s="30"/>
      <c r="H9" s="30">
        <f t="shared" ref="H9" si="1">H10</f>
        <v>0</v>
      </c>
      <c r="I9" s="30">
        <f t="shared" ref="I9:I10" si="2">I10</f>
        <v>0</v>
      </c>
      <c r="J9" s="30">
        <f t="shared" ref="J9:J10" si="3">J10</f>
        <v>0</v>
      </c>
      <c r="K9" s="30">
        <f t="shared" ref="K9:K10" si="4">K10</f>
        <v>0</v>
      </c>
      <c r="L9" s="30">
        <f t="shared" ref="L9:L10" si="5">L10</f>
        <v>0</v>
      </c>
      <c r="M9" s="30">
        <f t="shared" ref="M9:M10" si="6">M10</f>
        <v>0</v>
      </c>
      <c r="N9" s="30">
        <f t="shared" ref="N9:N10" si="7">N10</f>
        <v>2.7</v>
      </c>
      <c r="O9" s="30">
        <f t="shared" ref="O9:O10" si="8">O10</f>
        <v>0</v>
      </c>
      <c r="P9" s="30">
        <f t="shared" ref="P9:P10" si="9">P10</f>
        <v>4.4000000000000004</v>
      </c>
      <c r="Q9" s="30">
        <f t="shared" ref="Q9:Q10" si="10">Q10</f>
        <v>0</v>
      </c>
      <c r="R9" s="30">
        <f t="shared" ref="R9:R10" si="11">R10</f>
        <v>68.3</v>
      </c>
      <c r="S9" s="30">
        <f t="shared" ref="S9:S10" si="12">S10</f>
        <v>0</v>
      </c>
      <c r="T9" s="30">
        <f t="shared" ref="T9:T10" si="13">T10</f>
        <v>242.3</v>
      </c>
      <c r="U9" s="30">
        <f t="shared" ref="U9:U10" si="14">U10</f>
        <v>0</v>
      </c>
      <c r="V9" s="30">
        <f t="shared" ref="V9:V10" si="15">V10</f>
        <v>248.9</v>
      </c>
      <c r="W9" s="30">
        <f t="shared" ref="W9:W10" si="16">W10</f>
        <v>0</v>
      </c>
      <c r="X9" s="30">
        <f t="shared" ref="X9:X10" si="17">X10</f>
        <v>189.6</v>
      </c>
      <c r="Y9" s="30">
        <f t="shared" ref="Y9:Y10" si="18">Y10</f>
        <v>0</v>
      </c>
      <c r="Z9" s="30">
        <f t="shared" ref="Z9:Z10" si="19">Z10</f>
        <v>4.4000000000000004</v>
      </c>
      <c r="AA9" s="30">
        <f t="shared" ref="AA9:AA10" si="20">AA10</f>
        <v>0</v>
      </c>
      <c r="AB9" s="30">
        <f t="shared" ref="AB9" si="21">AB10</f>
        <v>0</v>
      </c>
      <c r="AC9" s="30">
        <f t="shared" ref="AC9:AC10" si="22">AC10</f>
        <v>0</v>
      </c>
      <c r="AD9" s="30">
        <f t="shared" ref="AD9:AD10" si="23">AD10</f>
        <v>0</v>
      </c>
      <c r="AE9" s="30">
        <f t="shared" ref="AE9:AE10" si="24">AE10</f>
        <v>0</v>
      </c>
      <c r="AF9" s="21"/>
    </row>
    <row r="10" spans="1:33" ht="18.75" x14ac:dyDescent="0.3">
      <c r="A10" s="13" t="s">
        <v>31</v>
      </c>
      <c r="B10" s="47">
        <f>B11</f>
        <v>760.6</v>
      </c>
      <c r="C10" s="47">
        <f t="shared" ref="C10:E10" si="25">C11</f>
        <v>0</v>
      </c>
      <c r="D10" s="47">
        <f>D11</f>
        <v>0</v>
      </c>
      <c r="E10" s="35">
        <f t="shared" si="25"/>
        <v>0</v>
      </c>
      <c r="F10" s="32">
        <f>E10/B10*100</f>
        <v>0</v>
      </c>
      <c r="G10" s="32" t="e">
        <f>E10/C10*100</f>
        <v>#DIV/0!</v>
      </c>
      <c r="H10" s="47">
        <f>H11</f>
        <v>0</v>
      </c>
      <c r="I10" s="47">
        <f t="shared" si="2"/>
        <v>0</v>
      </c>
      <c r="J10" s="47">
        <f t="shared" si="3"/>
        <v>0</v>
      </c>
      <c r="K10" s="47">
        <f t="shared" si="4"/>
        <v>0</v>
      </c>
      <c r="L10" s="47">
        <f t="shared" si="5"/>
        <v>0</v>
      </c>
      <c r="M10" s="47">
        <f t="shared" si="6"/>
        <v>0</v>
      </c>
      <c r="N10" s="47">
        <f t="shared" si="7"/>
        <v>2.7</v>
      </c>
      <c r="O10" s="47">
        <f t="shared" si="8"/>
        <v>0</v>
      </c>
      <c r="P10" s="47">
        <f t="shared" si="9"/>
        <v>4.4000000000000004</v>
      </c>
      <c r="Q10" s="47">
        <f t="shared" si="10"/>
        <v>0</v>
      </c>
      <c r="R10" s="47">
        <f t="shared" si="11"/>
        <v>68.3</v>
      </c>
      <c r="S10" s="47">
        <f t="shared" si="12"/>
        <v>0</v>
      </c>
      <c r="T10" s="47">
        <f t="shared" si="13"/>
        <v>242.3</v>
      </c>
      <c r="U10" s="47">
        <f t="shared" si="14"/>
        <v>0</v>
      </c>
      <c r="V10" s="47">
        <f t="shared" si="15"/>
        <v>248.9</v>
      </c>
      <c r="W10" s="47">
        <f t="shared" si="16"/>
        <v>0</v>
      </c>
      <c r="X10" s="47">
        <f t="shared" si="17"/>
        <v>189.6</v>
      </c>
      <c r="Y10" s="47">
        <f t="shared" si="18"/>
        <v>0</v>
      </c>
      <c r="Z10" s="47">
        <f t="shared" si="19"/>
        <v>4.4000000000000004</v>
      </c>
      <c r="AA10" s="47">
        <f t="shared" si="20"/>
        <v>0</v>
      </c>
      <c r="AB10" s="47">
        <f>AB11</f>
        <v>0</v>
      </c>
      <c r="AC10" s="47">
        <f t="shared" si="22"/>
        <v>0</v>
      </c>
      <c r="AD10" s="47">
        <f t="shared" si="23"/>
        <v>0</v>
      </c>
      <c r="AE10" s="47">
        <f t="shared" si="24"/>
        <v>0</v>
      </c>
      <c r="AF10" s="29"/>
    </row>
    <row r="11" spans="1:33" ht="18.75" x14ac:dyDescent="0.3">
      <c r="A11" s="17" t="s">
        <v>33</v>
      </c>
      <c r="B11" s="47">
        <f>H11+J11+L11+N11+P11+R11+T11+V11+X11+Z11+AB11+AD11</f>
        <v>760.6</v>
      </c>
      <c r="C11" s="47">
        <f t="shared" ref="C11" si="26">I11+K11+M11+O11+Q11+S11+U11+W11+Y11+AA11+AC11+AE11</f>
        <v>0</v>
      </c>
      <c r="D11" s="47">
        <f>I11</f>
        <v>0</v>
      </c>
      <c r="E11" s="32">
        <f>I11</f>
        <v>0</v>
      </c>
      <c r="F11" s="32">
        <f t="shared" ref="F11:F17" si="27">E11/B11*100</f>
        <v>0</v>
      </c>
      <c r="G11" s="32" t="e">
        <f t="shared" ref="G11:G17" si="28">E11/C11*100</f>
        <v>#DIV/0!</v>
      </c>
      <c r="H11" s="32">
        <v>0</v>
      </c>
      <c r="I11" s="32"/>
      <c r="J11" s="32">
        <v>0</v>
      </c>
      <c r="K11" s="32"/>
      <c r="L11" s="32">
        <v>0</v>
      </c>
      <c r="M11" s="32"/>
      <c r="N11" s="32">
        <v>2.7</v>
      </c>
      <c r="O11" s="32"/>
      <c r="P11" s="32">
        <v>4.4000000000000004</v>
      </c>
      <c r="Q11" s="32"/>
      <c r="R11" s="32">
        <v>68.3</v>
      </c>
      <c r="S11" s="32"/>
      <c r="T11" s="32">
        <v>242.3</v>
      </c>
      <c r="U11" s="32"/>
      <c r="V11" s="32">
        <v>248.9</v>
      </c>
      <c r="W11" s="32"/>
      <c r="X11" s="32">
        <v>189.6</v>
      </c>
      <c r="Y11" s="32"/>
      <c r="Z11" s="32">
        <v>4.4000000000000004</v>
      </c>
      <c r="AA11" s="32"/>
      <c r="AB11" s="32">
        <v>0</v>
      </c>
      <c r="AC11" s="32"/>
      <c r="AD11" s="32">
        <v>0</v>
      </c>
      <c r="AE11" s="32"/>
      <c r="AF11" s="29"/>
      <c r="AG11" s="71">
        <f>C11-E11</f>
        <v>0</v>
      </c>
    </row>
    <row r="12" spans="1:33" ht="112.5" x14ac:dyDescent="0.3">
      <c r="A12" s="51" t="s">
        <v>50</v>
      </c>
      <c r="B12" s="47">
        <f>B13</f>
        <v>5317.1</v>
      </c>
      <c r="C12" s="47">
        <f t="shared" ref="C12:E12" si="29">C13</f>
        <v>906.25</v>
      </c>
      <c r="D12" s="47">
        <f t="shared" si="29"/>
        <v>906.25</v>
      </c>
      <c r="E12" s="47">
        <f t="shared" si="29"/>
        <v>906.25</v>
      </c>
      <c r="F12" s="32">
        <f t="shared" si="27"/>
        <v>17.044065373982058</v>
      </c>
      <c r="G12" s="32">
        <f t="shared" si="28"/>
        <v>100</v>
      </c>
      <c r="H12" s="47">
        <f>H13</f>
        <v>441.3</v>
      </c>
      <c r="I12" s="47">
        <f t="shared" ref="I12:AE13" si="30">I13</f>
        <v>441.3</v>
      </c>
      <c r="J12" s="47">
        <f t="shared" si="30"/>
        <v>232.47</v>
      </c>
      <c r="K12" s="47">
        <f t="shared" si="30"/>
        <v>232.47</v>
      </c>
      <c r="L12" s="47">
        <f t="shared" si="30"/>
        <v>232.48</v>
      </c>
      <c r="M12" s="47">
        <f t="shared" si="30"/>
        <v>232.48</v>
      </c>
      <c r="N12" s="47">
        <f t="shared" si="30"/>
        <v>232.48</v>
      </c>
      <c r="O12" s="47">
        <f t="shared" si="30"/>
        <v>0</v>
      </c>
      <c r="P12" s="47">
        <f t="shared" si="30"/>
        <v>232.47</v>
      </c>
      <c r="Q12" s="47">
        <f t="shared" si="30"/>
        <v>0</v>
      </c>
      <c r="R12" s="47">
        <f t="shared" si="30"/>
        <v>232.48</v>
      </c>
      <c r="S12" s="47">
        <f t="shared" si="30"/>
        <v>0</v>
      </c>
      <c r="T12" s="47">
        <f t="shared" si="30"/>
        <v>232.48</v>
      </c>
      <c r="U12" s="47">
        <f t="shared" si="30"/>
        <v>0</v>
      </c>
      <c r="V12" s="47">
        <f t="shared" si="30"/>
        <v>232.48</v>
      </c>
      <c r="W12" s="47">
        <f t="shared" si="30"/>
        <v>0</v>
      </c>
      <c r="X12" s="47">
        <f t="shared" si="30"/>
        <v>232.48</v>
      </c>
      <c r="Y12" s="47">
        <f t="shared" si="30"/>
        <v>0</v>
      </c>
      <c r="Z12" s="47">
        <f t="shared" si="30"/>
        <v>232.48</v>
      </c>
      <c r="AA12" s="47">
        <f t="shared" si="30"/>
        <v>0</v>
      </c>
      <c r="AB12" s="47">
        <f t="shared" si="30"/>
        <v>232.47</v>
      </c>
      <c r="AC12" s="47">
        <f t="shared" si="30"/>
        <v>0</v>
      </c>
      <c r="AD12" s="47">
        <f t="shared" si="30"/>
        <v>2551.0300000000002</v>
      </c>
      <c r="AE12" s="47">
        <f t="shared" si="30"/>
        <v>0</v>
      </c>
      <c r="AF12" s="29"/>
      <c r="AG12" s="71">
        <f t="shared" ref="AG12:AG65" si="31">C12-E12</f>
        <v>0</v>
      </c>
    </row>
    <row r="13" spans="1:33" ht="18.75" x14ac:dyDescent="0.3">
      <c r="A13" s="13" t="s">
        <v>31</v>
      </c>
      <c r="B13" s="47">
        <f>B14</f>
        <v>5317.1</v>
      </c>
      <c r="C13" s="47">
        <f t="shared" ref="C13" si="32">C14</f>
        <v>906.25</v>
      </c>
      <c r="D13" s="47">
        <f>D14</f>
        <v>906.25</v>
      </c>
      <c r="E13" s="47">
        <f t="shared" ref="E13" si="33">E14</f>
        <v>906.25</v>
      </c>
      <c r="F13" s="32">
        <f>E13/B13*100</f>
        <v>17.044065373982058</v>
      </c>
      <c r="G13" s="32">
        <f t="shared" si="28"/>
        <v>100</v>
      </c>
      <c r="H13" s="32">
        <f>H14</f>
        <v>441.3</v>
      </c>
      <c r="I13" s="32">
        <f t="shared" si="30"/>
        <v>441.3</v>
      </c>
      <c r="J13" s="32">
        <f t="shared" si="30"/>
        <v>232.47</v>
      </c>
      <c r="K13" s="32">
        <f t="shared" si="30"/>
        <v>232.47</v>
      </c>
      <c r="L13" s="32">
        <f t="shared" si="30"/>
        <v>232.48</v>
      </c>
      <c r="M13" s="32">
        <f t="shared" si="30"/>
        <v>232.48</v>
      </c>
      <c r="N13" s="32">
        <f t="shared" si="30"/>
        <v>232.48</v>
      </c>
      <c r="O13" s="32">
        <f t="shared" si="30"/>
        <v>0</v>
      </c>
      <c r="P13" s="32">
        <f t="shared" si="30"/>
        <v>232.47</v>
      </c>
      <c r="Q13" s="32">
        <f t="shared" si="30"/>
        <v>0</v>
      </c>
      <c r="R13" s="32">
        <f t="shared" si="30"/>
        <v>232.48</v>
      </c>
      <c r="S13" s="32">
        <f t="shared" si="30"/>
        <v>0</v>
      </c>
      <c r="T13" s="32">
        <f t="shared" si="30"/>
        <v>232.48</v>
      </c>
      <c r="U13" s="32">
        <f t="shared" si="30"/>
        <v>0</v>
      </c>
      <c r="V13" s="32">
        <f t="shared" si="30"/>
        <v>232.48</v>
      </c>
      <c r="W13" s="32">
        <f t="shared" si="30"/>
        <v>0</v>
      </c>
      <c r="X13" s="32">
        <f t="shared" si="30"/>
        <v>232.48</v>
      </c>
      <c r="Y13" s="32">
        <f t="shared" si="30"/>
        <v>0</v>
      </c>
      <c r="Z13" s="32">
        <f t="shared" si="30"/>
        <v>232.48</v>
      </c>
      <c r="AA13" s="32">
        <f t="shared" si="30"/>
        <v>0</v>
      </c>
      <c r="AB13" s="32">
        <f t="shared" si="30"/>
        <v>232.47</v>
      </c>
      <c r="AC13" s="32">
        <f t="shared" si="30"/>
        <v>0</v>
      </c>
      <c r="AD13" s="32">
        <f t="shared" si="30"/>
        <v>2551.0300000000002</v>
      </c>
      <c r="AE13" s="32">
        <f t="shared" si="30"/>
        <v>0</v>
      </c>
      <c r="AF13" s="29"/>
      <c r="AG13" s="71">
        <f t="shared" si="31"/>
        <v>0</v>
      </c>
    </row>
    <row r="14" spans="1:33" ht="93.75" x14ac:dyDescent="0.3">
      <c r="A14" s="13" t="s">
        <v>33</v>
      </c>
      <c r="B14" s="47">
        <f>H14+J14+L14+N14+P14+R14+T14+V14+X14+Z14+AB14+AD14</f>
        <v>5317.1</v>
      </c>
      <c r="C14" s="47">
        <f>H14+J14+L14</f>
        <v>906.25</v>
      </c>
      <c r="D14" s="47">
        <f>H14+J14+L14</f>
        <v>906.25</v>
      </c>
      <c r="E14" s="32">
        <f>I14+K14+M14</f>
        <v>906.25</v>
      </c>
      <c r="F14" s="32">
        <f t="shared" ref="F14" si="34">E14/B14*100</f>
        <v>17.044065373982058</v>
      </c>
      <c r="G14" s="32">
        <f t="shared" si="28"/>
        <v>100</v>
      </c>
      <c r="H14" s="32">
        <v>441.3</v>
      </c>
      <c r="I14" s="32">
        <v>441.3</v>
      </c>
      <c r="J14" s="32">
        <v>232.47</v>
      </c>
      <c r="K14" s="32">
        <v>232.47</v>
      </c>
      <c r="L14" s="32">
        <v>232.48</v>
      </c>
      <c r="M14" s="32">
        <v>232.48</v>
      </c>
      <c r="N14" s="32">
        <v>232.48</v>
      </c>
      <c r="O14" s="32"/>
      <c r="P14" s="32">
        <v>232.47</v>
      </c>
      <c r="Q14" s="32"/>
      <c r="R14" s="32">
        <v>232.48</v>
      </c>
      <c r="S14" s="32"/>
      <c r="T14" s="32">
        <v>232.48</v>
      </c>
      <c r="U14" s="32"/>
      <c r="V14" s="32">
        <v>232.48</v>
      </c>
      <c r="W14" s="32"/>
      <c r="X14" s="32">
        <v>232.48</v>
      </c>
      <c r="Y14" s="32"/>
      <c r="Z14" s="32">
        <v>232.48</v>
      </c>
      <c r="AA14" s="32"/>
      <c r="AB14" s="32">
        <v>232.47</v>
      </c>
      <c r="AC14" s="32"/>
      <c r="AD14" s="32">
        <v>2551.0300000000002</v>
      </c>
      <c r="AE14" s="32"/>
      <c r="AF14" s="767" t="s">
        <v>565</v>
      </c>
      <c r="AG14" s="71">
        <f t="shared" si="31"/>
        <v>0</v>
      </c>
    </row>
    <row r="15" spans="1:33" ht="75" x14ac:dyDescent="0.3">
      <c r="A15" s="50" t="s">
        <v>51</v>
      </c>
      <c r="B15" s="47">
        <f>B16</f>
        <v>10.15</v>
      </c>
      <c r="C15" s="47">
        <f t="shared" ref="C15:E15" si="35">C16</f>
        <v>0</v>
      </c>
      <c r="D15" s="47">
        <f t="shared" si="35"/>
        <v>0</v>
      </c>
      <c r="E15" s="47">
        <f t="shared" si="35"/>
        <v>0</v>
      </c>
      <c r="F15" s="32">
        <f t="shared" si="27"/>
        <v>0</v>
      </c>
      <c r="G15" s="32" t="e">
        <f t="shared" si="28"/>
        <v>#DIV/0!</v>
      </c>
      <c r="H15" s="47">
        <f>H16</f>
        <v>0</v>
      </c>
      <c r="I15" s="47">
        <f t="shared" ref="I15:AE16" si="36">I16</f>
        <v>0</v>
      </c>
      <c r="J15" s="47">
        <f t="shared" si="36"/>
        <v>0</v>
      </c>
      <c r="K15" s="47">
        <f t="shared" si="36"/>
        <v>0</v>
      </c>
      <c r="L15" s="47">
        <f t="shared" si="36"/>
        <v>0</v>
      </c>
      <c r="M15" s="47">
        <f t="shared" si="36"/>
        <v>0</v>
      </c>
      <c r="N15" s="47">
        <f t="shared" si="36"/>
        <v>0</v>
      </c>
      <c r="O15" s="47">
        <f t="shared" si="36"/>
        <v>0</v>
      </c>
      <c r="P15" s="47">
        <f t="shared" si="36"/>
        <v>0</v>
      </c>
      <c r="Q15" s="47">
        <f t="shared" si="36"/>
        <v>0</v>
      </c>
      <c r="R15" s="47">
        <f t="shared" si="36"/>
        <v>0</v>
      </c>
      <c r="S15" s="47">
        <f t="shared" si="36"/>
        <v>0</v>
      </c>
      <c r="T15" s="47">
        <f t="shared" si="36"/>
        <v>0</v>
      </c>
      <c r="U15" s="47">
        <f t="shared" si="36"/>
        <v>0</v>
      </c>
      <c r="V15" s="47">
        <f t="shared" si="36"/>
        <v>0</v>
      </c>
      <c r="W15" s="47">
        <f t="shared" si="36"/>
        <v>0</v>
      </c>
      <c r="X15" s="47">
        <f t="shared" si="36"/>
        <v>0</v>
      </c>
      <c r="Y15" s="47">
        <f t="shared" si="36"/>
        <v>0</v>
      </c>
      <c r="Z15" s="47">
        <f t="shared" si="36"/>
        <v>0</v>
      </c>
      <c r="AA15" s="47">
        <f t="shared" si="36"/>
        <v>0</v>
      </c>
      <c r="AB15" s="47">
        <f t="shared" si="36"/>
        <v>0</v>
      </c>
      <c r="AC15" s="47">
        <f t="shared" si="36"/>
        <v>0</v>
      </c>
      <c r="AD15" s="47">
        <f t="shared" si="36"/>
        <v>10.15</v>
      </c>
      <c r="AE15" s="47">
        <f t="shared" si="36"/>
        <v>0</v>
      </c>
      <c r="AF15" s="29"/>
      <c r="AG15" s="71">
        <f t="shared" si="31"/>
        <v>0</v>
      </c>
    </row>
    <row r="16" spans="1:33" ht="18.75" x14ac:dyDescent="0.3">
      <c r="A16" s="12" t="s">
        <v>31</v>
      </c>
      <c r="B16" s="47">
        <f>B17</f>
        <v>10.15</v>
      </c>
      <c r="C16" s="35">
        <f t="shared" ref="C16" si="37">C17</f>
        <v>0</v>
      </c>
      <c r="D16" s="35">
        <f>D17</f>
        <v>0</v>
      </c>
      <c r="E16" s="35">
        <f t="shared" ref="E16" si="38">E17</f>
        <v>0</v>
      </c>
      <c r="F16" s="32">
        <f t="shared" si="27"/>
        <v>0</v>
      </c>
      <c r="G16" s="32" t="e">
        <f t="shared" si="28"/>
        <v>#DIV/0!</v>
      </c>
      <c r="H16" s="32">
        <f>H17</f>
        <v>0</v>
      </c>
      <c r="I16" s="32">
        <f t="shared" si="36"/>
        <v>0</v>
      </c>
      <c r="J16" s="32">
        <f t="shared" si="36"/>
        <v>0</v>
      </c>
      <c r="K16" s="32">
        <f t="shared" si="36"/>
        <v>0</v>
      </c>
      <c r="L16" s="32">
        <f t="shared" si="36"/>
        <v>0</v>
      </c>
      <c r="M16" s="32">
        <f t="shared" si="36"/>
        <v>0</v>
      </c>
      <c r="N16" s="32">
        <f t="shared" si="36"/>
        <v>0</v>
      </c>
      <c r="O16" s="32">
        <f t="shared" si="36"/>
        <v>0</v>
      </c>
      <c r="P16" s="32">
        <f t="shared" si="36"/>
        <v>0</v>
      </c>
      <c r="Q16" s="32">
        <f t="shared" si="36"/>
        <v>0</v>
      </c>
      <c r="R16" s="32">
        <f t="shared" si="36"/>
        <v>0</v>
      </c>
      <c r="S16" s="32">
        <f t="shared" si="36"/>
        <v>0</v>
      </c>
      <c r="T16" s="32">
        <f t="shared" si="36"/>
        <v>0</v>
      </c>
      <c r="U16" s="32">
        <f t="shared" si="36"/>
        <v>0</v>
      </c>
      <c r="V16" s="32">
        <f t="shared" si="36"/>
        <v>0</v>
      </c>
      <c r="W16" s="32">
        <f t="shared" si="36"/>
        <v>0</v>
      </c>
      <c r="X16" s="32">
        <f t="shared" si="36"/>
        <v>0</v>
      </c>
      <c r="Y16" s="32">
        <f t="shared" si="36"/>
        <v>0</v>
      </c>
      <c r="Z16" s="32">
        <f t="shared" si="36"/>
        <v>0</v>
      </c>
      <c r="AA16" s="32">
        <f t="shared" si="36"/>
        <v>0</v>
      </c>
      <c r="AB16" s="32">
        <f t="shared" si="36"/>
        <v>0</v>
      </c>
      <c r="AC16" s="32">
        <f t="shared" si="36"/>
        <v>0</v>
      </c>
      <c r="AD16" s="32">
        <f t="shared" si="36"/>
        <v>10.15</v>
      </c>
      <c r="AE16" s="32">
        <f t="shared" si="36"/>
        <v>0</v>
      </c>
      <c r="AF16" s="29"/>
      <c r="AG16" s="71">
        <f t="shared" si="31"/>
        <v>0</v>
      </c>
    </row>
    <row r="17" spans="1:33" ht="18.75" x14ac:dyDescent="0.3">
      <c r="A17" s="13" t="s">
        <v>33</v>
      </c>
      <c r="B17" s="47">
        <f>H17+J17+L17+N17+P17+R17+T17+V17+X17+Z17+AB17+AD17</f>
        <v>10.15</v>
      </c>
      <c r="C17" s="32">
        <f t="shared" ref="C17" si="39">I17+K17+M17+O17+Q17+S17+U17+W17+Y17+AA17+AC17+AE17</f>
        <v>0</v>
      </c>
      <c r="D17" s="32">
        <f>I17</f>
        <v>0</v>
      </c>
      <c r="E17" s="32">
        <f>I17</f>
        <v>0</v>
      </c>
      <c r="F17" s="32">
        <f t="shared" si="27"/>
        <v>0</v>
      </c>
      <c r="G17" s="32" t="e">
        <f t="shared" si="28"/>
        <v>#DIV/0!</v>
      </c>
      <c r="H17" s="32"/>
      <c r="I17" s="32"/>
      <c r="J17" s="32"/>
      <c r="K17" s="32"/>
      <c r="L17" s="32"/>
      <c r="M17" s="32"/>
      <c r="N17" s="32"/>
      <c r="O17" s="32"/>
      <c r="P17" s="32"/>
      <c r="Q17" s="32"/>
      <c r="R17" s="32"/>
      <c r="S17" s="32"/>
      <c r="T17" s="32"/>
      <c r="U17" s="32"/>
      <c r="V17" s="32"/>
      <c r="W17" s="32"/>
      <c r="X17" s="32"/>
      <c r="Y17" s="32"/>
      <c r="Z17" s="32"/>
      <c r="AA17" s="32"/>
      <c r="AB17" s="32"/>
      <c r="AC17" s="32"/>
      <c r="AD17" s="32">
        <v>10.15</v>
      </c>
      <c r="AE17" s="32"/>
      <c r="AF17" s="29"/>
      <c r="AG17" s="71">
        <f t="shared" si="31"/>
        <v>0</v>
      </c>
    </row>
    <row r="18" spans="1:33" ht="75" x14ac:dyDescent="0.3">
      <c r="A18" s="48" t="s">
        <v>52</v>
      </c>
      <c r="B18" s="58">
        <f>B19</f>
        <v>100</v>
      </c>
      <c r="C18" s="58">
        <f t="shared" ref="C18:E18" si="40">C19</f>
        <v>0</v>
      </c>
      <c r="D18" s="58">
        <f t="shared" si="40"/>
        <v>0</v>
      </c>
      <c r="E18" s="58">
        <f t="shared" si="40"/>
        <v>0</v>
      </c>
      <c r="F18" s="29"/>
      <c r="G18" s="29"/>
      <c r="H18" s="58">
        <f>H19</f>
        <v>0</v>
      </c>
      <c r="I18" s="58">
        <f t="shared" ref="I18:AE19" si="41">I19</f>
        <v>0</v>
      </c>
      <c r="J18" s="58">
        <f t="shared" si="41"/>
        <v>0</v>
      </c>
      <c r="K18" s="58">
        <f t="shared" si="41"/>
        <v>0</v>
      </c>
      <c r="L18" s="58">
        <f t="shared" si="41"/>
        <v>0</v>
      </c>
      <c r="M18" s="58">
        <f t="shared" si="41"/>
        <v>0</v>
      </c>
      <c r="N18" s="58">
        <f t="shared" si="41"/>
        <v>0</v>
      </c>
      <c r="O18" s="58">
        <f t="shared" si="41"/>
        <v>0</v>
      </c>
      <c r="P18" s="58">
        <f t="shared" si="41"/>
        <v>0</v>
      </c>
      <c r="Q18" s="58">
        <f t="shared" si="41"/>
        <v>0</v>
      </c>
      <c r="R18" s="58">
        <f t="shared" si="41"/>
        <v>0</v>
      </c>
      <c r="S18" s="58">
        <f t="shared" si="41"/>
        <v>0</v>
      </c>
      <c r="T18" s="58">
        <f t="shared" si="41"/>
        <v>0</v>
      </c>
      <c r="U18" s="58">
        <f t="shared" si="41"/>
        <v>0</v>
      </c>
      <c r="V18" s="58">
        <f t="shared" si="41"/>
        <v>0</v>
      </c>
      <c r="W18" s="58">
        <f t="shared" si="41"/>
        <v>0</v>
      </c>
      <c r="X18" s="58">
        <f t="shared" si="41"/>
        <v>0</v>
      </c>
      <c r="Y18" s="58">
        <f t="shared" si="41"/>
        <v>0</v>
      </c>
      <c r="Z18" s="58">
        <f t="shared" si="41"/>
        <v>0</v>
      </c>
      <c r="AA18" s="58">
        <f t="shared" si="41"/>
        <v>0</v>
      </c>
      <c r="AB18" s="58">
        <f t="shared" si="41"/>
        <v>0</v>
      </c>
      <c r="AC18" s="58">
        <f t="shared" si="41"/>
        <v>0</v>
      </c>
      <c r="AD18" s="58">
        <f t="shared" si="41"/>
        <v>100</v>
      </c>
      <c r="AE18" s="58">
        <f t="shared" si="41"/>
        <v>0</v>
      </c>
      <c r="AF18" s="29"/>
      <c r="AG18" s="71">
        <f t="shared" si="31"/>
        <v>0</v>
      </c>
    </row>
    <row r="19" spans="1:33" ht="18.75" x14ac:dyDescent="0.3">
      <c r="A19" s="13" t="s">
        <v>31</v>
      </c>
      <c r="B19" s="47">
        <f>B20</f>
        <v>100</v>
      </c>
      <c r="C19" s="35">
        <f t="shared" ref="C19" si="42">C20</f>
        <v>0</v>
      </c>
      <c r="D19" s="35">
        <f>D20</f>
        <v>0</v>
      </c>
      <c r="E19" s="35">
        <f t="shared" ref="E19" si="43">E20</f>
        <v>0</v>
      </c>
      <c r="F19" s="32">
        <f t="shared" ref="F19:F20" si="44">E19/B19*100</f>
        <v>0</v>
      </c>
      <c r="G19" s="32" t="e">
        <f t="shared" ref="G19" si="45">E19/C19*100</f>
        <v>#DIV/0!</v>
      </c>
      <c r="H19" s="47">
        <f>H20</f>
        <v>0</v>
      </c>
      <c r="I19" s="47">
        <f t="shared" si="41"/>
        <v>0</v>
      </c>
      <c r="J19" s="47">
        <f t="shared" si="41"/>
        <v>0</v>
      </c>
      <c r="K19" s="47">
        <f t="shared" si="41"/>
        <v>0</v>
      </c>
      <c r="L19" s="47">
        <f t="shared" si="41"/>
        <v>0</v>
      </c>
      <c r="M19" s="47">
        <f t="shared" si="41"/>
        <v>0</v>
      </c>
      <c r="N19" s="47">
        <f t="shared" si="41"/>
        <v>0</v>
      </c>
      <c r="O19" s="47">
        <f t="shared" si="41"/>
        <v>0</v>
      </c>
      <c r="P19" s="47">
        <f t="shared" si="41"/>
        <v>0</v>
      </c>
      <c r="Q19" s="47">
        <f t="shared" si="41"/>
        <v>0</v>
      </c>
      <c r="R19" s="47">
        <f t="shared" si="41"/>
        <v>0</v>
      </c>
      <c r="S19" s="47">
        <f t="shared" si="41"/>
        <v>0</v>
      </c>
      <c r="T19" s="47">
        <f t="shared" si="41"/>
        <v>0</v>
      </c>
      <c r="U19" s="47">
        <f t="shared" si="41"/>
        <v>0</v>
      </c>
      <c r="V19" s="47">
        <f t="shared" si="41"/>
        <v>0</v>
      </c>
      <c r="W19" s="47">
        <f t="shared" si="41"/>
        <v>0</v>
      </c>
      <c r="X19" s="47">
        <f t="shared" si="41"/>
        <v>0</v>
      </c>
      <c r="Y19" s="47">
        <f t="shared" si="41"/>
        <v>0</v>
      </c>
      <c r="Z19" s="47">
        <f t="shared" si="41"/>
        <v>0</v>
      </c>
      <c r="AA19" s="47">
        <f t="shared" si="41"/>
        <v>0</v>
      </c>
      <c r="AB19" s="47">
        <f t="shared" si="41"/>
        <v>0</v>
      </c>
      <c r="AC19" s="47">
        <f t="shared" si="41"/>
        <v>0</v>
      </c>
      <c r="AD19" s="47">
        <f t="shared" si="41"/>
        <v>100</v>
      </c>
      <c r="AE19" s="47">
        <f t="shared" si="41"/>
        <v>0</v>
      </c>
      <c r="AF19" s="29"/>
      <c r="AG19" s="71">
        <f t="shared" si="31"/>
        <v>0</v>
      </c>
    </row>
    <row r="20" spans="1:33" ht="18.75" x14ac:dyDescent="0.3">
      <c r="A20" s="13" t="s">
        <v>33</v>
      </c>
      <c r="B20" s="47">
        <f>H20+J20+L20+N20+P20+R20+T20+V20+X20+Z20+AB20+AD20</f>
        <v>100</v>
      </c>
      <c r="C20" s="32">
        <f t="shared" ref="C20" si="46">I20+K20+M20+O20+Q20+S20+U20+W20+Y20+AA20+AC20+AE20</f>
        <v>0</v>
      </c>
      <c r="D20" s="32">
        <f>I20</f>
        <v>0</v>
      </c>
      <c r="E20" s="32">
        <f>I20</f>
        <v>0</v>
      </c>
      <c r="F20" s="32">
        <f t="shared" si="44"/>
        <v>0</v>
      </c>
      <c r="G20" s="32" t="e">
        <f>E20/C20*100</f>
        <v>#DIV/0!</v>
      </c>
      <c r="H20" s="29"/>
      <c r="I20" s="29"/>
      <c r="J20" s="29"/>
      <c r="K20" s="29"/>
      <c r="L20" s="29"/>
      <c r="M20" s="29"/>
      <c r="N20" s="29"/>
      <c r="O20" s="29"/>
      <c r="P20" s="29"/>
      <c r="Q20" s="29"/>
      <c r="R20" s="29"/>
      <c r="S20" s="29"/>
      <c r="T20" s="29"/>
      <c r="U20" s="29"/>
      <c r="V20" s="29"/>
      <c r="W20" s="29"/>
      <c r="X20" s="29"/>
      <c r="Y20" s="29"/>
      <c r="Z20" s="29"/>
      <c r="AA20" s="29"/>
      <c r="AB20" s="29"/>
      <c r="AC20" s="29"/>
      <c r="AD20" s="47">
        <v>100</v>
      </c>
      <c r="AE20" s="29"/>
      <c r="AF20" s="29"/>
      <c r="AG20" s="71">
        <f t="shared" si="31"/>
        <v>0</v>
      </c>
    </row>
    <row r="21" spans="1:33" ht="18.75" x14ac:dyDescent="0.3">
      <c r="A21" s="54" t="s">
        <v>53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71">
        <f t="shared" si="31"/>
        <v>0</v>
      </c>
    </row>
    <row r="22" spans="1:33" ht="18.75" x14ac:dyDescent="0.3">
      <c r="A22" s="13" t="s">
        <v>31</v>
      </c>
      <c r="B22" s="41">
        <f>B23</f>
        <v>6187.85</v>
      </c>
      <c r="C22" s="41">
        <f>C23</f>
        <v>906.25</v>
      </c>
      <c r="D22" s="41">
        <f t="shared" ref="D22:E22" si="47">D23</f>
        <v>906.25</v>
      </c>
      <c r="E22" s="41">
        <f t="shared" si="47"/>
        <v>906.25</v>
      </c>
      <c r="F22" s="32">
        <f t="shared" ref="F22" si="48">E22/B22*100</f>
        <v>14.645636206436807</v>
      </c>
      <c r="G22" s="32">
        <f>E22/C22*100</f>
        <v>100</v>
      </c>
      <c r="H22" s="41">
        <f>H23</f>
        <v>441.3</v>
      </c>
      <c r="I22" s="41">
        <f t="shared" ref="I22:AE22" si="49">I23</f>
        <v>441.3</v>
      </c>
      <c r="J22" s="41">
        <f t="shared" si="49"/>
        <v>232.47</v>
      </c>
      <c r="K22" s="41">
        <f t="shared" si="49"/>
        <v>232.47</v>
      </c>
      <c r="L22" s="41">
        <f t="shared" si="49"/>
        <v>232.48</v>
      </c>
      <c r="M22" s="41">
        <f t="shared" si="49"/>
        <v>232.48</v>
      </c>
      <c r="N22" s="41">
        <f t="shared" si="49"/>
        <v>235.17999999999998</v>
      </c>
      <c r="O22" s="41">
        <f t="shared" si="49"/>
        <v>0</v>
      </c>
      <c r="P22" s="41">
        <f t="shared" si="49"/>
        <v>236.87</v>
      </c>
      <c r="Q22" s="41">
        <f t="shared" si="49"/>
        <v>0</v>
      </c>
      <c r="R22" s="41">
        <f t="shared" si="49"/>
        <v>300.77999999999997</v>
      </c>
      <c r="S22" s="41">
        <f t="shared" si="49"/>
        <v>0</v>
      </c>
      <c r="T22" s="41">
        <f t="shared" si="49"/>
        <v>474.78</v>
      </c>
      <c r="U22" s="41">
        <f t="shared" si="49"/>
        <v>0</v>
      </c>
      <c r="V22" s="41">
        <f t="shared" si="49"/>
        <v>481.38</v>
      </c>
      <c r="W22" s="41">
        <f t="shared" si="49"/>
        <v>0</v>
      </c>
      <c r="X22" s="41">
        <f t="shared" si="49"/>
        <v>422.08</v>
      </c>
      <c r="Y22" s="41">
        <f t="shared" si="49"/>
        <v>0</v>
      </c>
      <c r="Z22" s="41">
        <f t="shared" si="49"/>
        <v>236.88</v>
      </c>
      <c r="AA22" s="41">
        <f t="shared" si="49"/>
        <v>0</v>
      </c>
      <c r="AB22" s="41">
        <f t="shared" si="49"/>
        <v>232.47</v>
      </c>
      <c r="AC22" s="41">
        <f t="shared" si="49"/>
        <v>0</v>
      </c>
      <c r="AD22" s="41">
        <f t="shared" si="49"/>
        <v>2661.1800000000003</v>
      </c>
      <c r="AE22" s="41">
        <f t="shared" si="49"/>
        <v>0</v>
      </c>
      <c r="AF22" s="29"/>
      <c r="AG22" s="71">
        <f t="shared" si="31"/>
        <v>0</v>
      </c>
    </row>
    <row r="23" spans="1:33" ht="18.75" x14ac:dyDescent="0.3">
      <c r="A23" s="13" t="s">
        <v>33</v>
      </c>
      <c r="B23" s="41">
        <f>B11+B14+B17+B20</f>
        <v>6187.85</v>
      </c>
      <c r="C23" s="41">
        <f>C11+C14+C17+C20</f>
        <v>906.25</v>
      </c>
      <c r="D23" s="41">
        <f t="shared" ref="D23:E23" si="50">D11+D14+D17+D20</f>
        <v>906.25</v>
      </c>
      <c r="E23" s="41">
        <f t="shared" si="50"/>
        <v>906.25</v>
      </c>
      <c r="F23" s="32">
        <f t="shared" ref="F23" si="51">E23/B23*100</f>
        <v>14.645636206436807</v>
      </c>
      <c r="G23" s="32">
        <f>E23/C23*100</f>
        <v>100</v>
      </c>
      <c r="H23" s="41">
        <f>H11+H14+H17+H20</f>
        <v>441.3</v>
      </c>
      <c r="I23" s="41">
        <f t="shared" ref="I23:AE23" si="52">I11+I14+I17+I20</f>
        <v>441.3</v>
      </c>
      <c r="J23" s="41">
        <f t="shared" si="52"/>
        <v>232.47</v>
      </c>
      <c r="K23" s="41">
        <f t="shared" si="52"/>
        <v>232.47</v>
      </c>
      <c r="L23" s="41">
        <f t="shared" si="52"/>
        <v>232.48</v>
      </c>
      <c r="M23" s="41">
        <v>232.48</v>
      </c>
      <c r="N23" s="41">
        <f t="shared" si="52"/>
        <v>235.17999999999998</v>
      </c>
      <c r="O23" s="41">
        <f t="shared" si="52"/>
        <v>0</v>
      </c>
      <c r="P23" s="41">
        <f t="shared" si="52"/>
        <v>236.87</v>
      </c>
      <c r="Q23" s="41">
        <f t="shared" si="52"/>
        <v>0</v>
      </c>
      <c r="R23" s="41">
        <f t="shared" si="52"/>
        <v>300.77999999999997</v>
      </c>
      <c r="S23" s="41">
        <f t="shared" si="52"/>
        <v>0</v>
      </c>
      <c r="T23" s="41">
        <f t="shared" si="52"/>
        <v>474.78</v>
      </c>
      <c r="U23" s="41">
        <f t="shared" si="52"/>
        <v>0</v>
      </c>
      <c r="V23" s="41">
        <f t="shared" si="52"/>
        <v>481.38</v>
      </c>
      <c r="W23" s="41">
        <f t="shared" si="52"/>
        <v>0</v>
      </c>
      <c r="X23" s="41">
        <f t="shared" si="52"/>
        <v>422.08</v>
      </c>
      <c r="Y23" s="41">
        <f t="shared" si="52"/>
        <v>0</v>
      </c>
      <c r="Z23" s="41">
        <f t="shared" si="52"/>
        <v>236.88</v>
      </c>
      <c r="AA23" s="41">
        <f t="shared" si="52"/>
        <v>0</v>
      </c>
      <c r="AB23" s="41">
        <f t="shared" si="52"/>
        <v>232.47</v>
      </c>
      <c r="AC23" s="41">
        <f t="shared" si="52"/>
        <v>0</v>
      </c>
      <c r="AD23" s="41">
        <f t="shared" si="52"/>
        <v>2661.1800000000003</v>
      </c>
      <c r="AE23" s="41">
        <f t="shared" si="52"/>
        <v>0</v>
      </c>
      <c r="AF23" s="29"/>
      <c r="AG23" s="71">
        <f t="shared" si="31"/>
        <v>0</v>
      </c>
    </row>
    <row r="24" spans="1:33" ht="37.5" x14ac:dyDescent="0.3">
      <c r="A24" s="28" t="s">
        <v>72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71">
        <f t="shared" si="31"/>
        <v>0</v>
      </c>
    </row>
    <row r="25" spans="1:33" ht="18.75" x14ac:dyDescent="0.3">
      <c r="A25" s="8" t="s">
        <v>31</v>
      </c>
      <c r="B25" s="41">
        <f>B26</f>
        <v>6187.85</v>
      </c>
      <c r="C25" s="41">
        <f>C26</f>
        <v>906.25</v>
      </c>
      <c r="D25" s="41">
        <f t="shared" ref="D25:E25" si="53">D26</f>
        <v>906.25</v>
      </c>
      <c r="E25" s="41">
        <f t="shared" si="53"/>
        <v>906.25</v>
      </c>
      <c r="F25" s="32">
        <f t="shared" ref="F25" si="54">E25/B25*100</f>
        <v>14.645636206436807</v>
      </c>
      <c r="G25" s="32">
        <f>E25/C25*100</f>
        <v>100</v>
      </c>
      <c r="H25" s="41">
        <f>H26</f>
        <v>441.3</v>
      </c>
      <c r="I25" s="41">
        <f t="shared" ref="I25:AE25" si="55">I26</f>
        <v>441.3</v>
      </c>
      <c r="J25" s="41">
        <f t="shared" si="55"/>
        <v>232.47</v>
      </c>
      <c r="K25" s="41">
        <f t="shared" si="55"/>
        <v>232.47</v>
      </c>
      <c r="L25" s="41">
        <f t="shared" si="55"/>
        <v>232.48</v>
      </c>
      <c r="M25" s="41">
        <f t="shared" si="55"/>
        <v>232.48</v>
      </c>
      <c r="N25" s="41">
        <f t="shared" si="55"/>
        <v>235.17999999999998</v>
      </c>
      <c r="O25" s="41">
        <f t="shared" si="55"/>
        <v>0</v>
      </c>
      <c r="P25" s="41">
        <f t="shared" si="55"/>
        <v>236.87</v>
      </c>
      <c r="Q25" s="41">
        <f t="shared" si="55"/>
        <v>0</v>
      </c>
      <c r="R25" s="41">
        <f t="shared" si="55"/>
        <v>300.77999999999997</v>
      </c>
      <c r="S25" s="41">
        <f t="shared" si="55"/>
        <v>0</v>
      </c>
      <c r="T25" s="41">
        <f t="shared" si="55"/>
        <v>474.78</v>
      </c>
      <c r="U25" s="41">
        <f t="shared" si="55"/>
        <v>0</v>
      </c>
      <c r="V25" s="41">
        <f t="shared" si="55"/>
        <v>481.38</v>
      </c>
      <c r="W25" s="41">
        <f t="shared" si="55"/>
        <v>0</v>
      </c>
      <c r="X25" s="41">
        <f t="shared" si="55"/>
        <v>422.08</v>
      </c>
      <c r="Y25" s="41">
        <f t="shared" si="55"/>
        <v>0</v>
      </c>
      <c r="Z25" s="41">
        <f t="shared" si="55"/>
        <v>236.88</v>
      </c>
      <c r="AA25" s="41">
        <f t="shared" si="55"/>
        <v>0</v>
      </c>
      <c r="AB25" s="41">
        <f t="shared" si="55"/>
        <v>232.47</v>
      </c>
      <c r="AC25" s="41">
        <f t="shared" si="55"/>
        <v>0</v>
      </c>
      <c r="AD25" s="41">
        <f t="shared" si="55"/>
        <v>2661.1800000000003</v>
      </c>
      <c r="AE25" s="41">
        <f t="shared" si="55"/>
        <v>0</v>
      </c>
      <c r="AF25" s="29"/>
      <c r="AG25" s="71">
        <f t="shared" si="31"/>
        <v>0</v>
      </c>
    </row>
    <row r="26" spans="1:33" ht="18.75" x14ac:dyDescent="0.3">
      <c r="A26" s="13" t="s">
        <v>33</v>
      </c>
      <c r="B26" s="41">
        <f>B23</f>
        <v>6187.85</v>
      </c>
      <c r="C26" s="41">
        <f t="shared" ref="C26:E26" si="56">C23</f>
        <v>906.25</v>
      </c>
      <c r="D26" s="41">
        <f t="shared" si="56"/>
        <v>906.25</v>
      </c>
      <c r="E26" s="41">
        <f t="shared" si="56"/>
        <v>906.25</v>
      </c>
      <c r="F26" s="32">
        <f t="shared" ref="F26" si="57">E26/B26*100</f>
        <v>14.645636206436807</v>
      </c>
      <c r="G26" s="32">
        <f>E26/C26*100</f>
        <v>100</v>
      </c>
      <c r="H26" s="41">
        <f>H23</f>
        <v>441.3</v>
      </c>
      <c r="I26" s="41">
        <f t="shared" ref="I26:AE26" si="58">I23</f>
        <v>441.3</v>
      </c>
      <c r="J26" s="41">
        <f t="shared" si="58"/>
        <v>232.47</v>
      </c>
      <c r="K26" s="41">
        <f t="shared" si="58"/>
        <v>232.47</v>
      </c>
      <c r="L26" s="41">
        <f t="shared" si="58"/>
        <v>232.48</v>
      </c>
      <c r="M26" s="41">
        <v>232.48</v>
      </c>
      <c r="N26" s="41">
        <f t="shared" si="58"/>
        <v>235.17999999999998</v>
      </c>
      <c r="O26" s="41">
        <f t="shared" si="58"/>
        <v>0</v>
      </c>
      <c r="P26" s="41">
        <f t="shared" si="58"/>
        <v>236.87</v>
      </c>
      <c r="Q26" s="41">
        <f t="shared" si="58"/>
        <v>0</v>
      </c>
      <c r="R26" s="41">
        <f t="shared" si="58"/>
        <v>300.77999999999997</v>
      </c>
      <c r="S26" s="41">
        <f t="shared" si="58"/>
        <v>0</v>
      </c>
      <c r="T26" s="41">
        <f t="shared" si="58"/>
        <v>474.78</v>
      </c>
      <c r="U26" s="41">
        <f t="shared" si="58"/>
        <v>0</v>
      </c>
      <c r="V26" s="41">
        <f t="shared" si="58"/>
        <v>481.38</v>
      </c>
      <c r="W26" s="41">
        <f t="shared" si="58"/>
        <v>0</v>
      </c>
      <c r="X26" s="41">
        <f t="shared" si="58"/>
        <v>422.08</v>
      </c>
      <c r="Y26" s="41">
        <f t="shared" si="58"/>
        <v>0</v>
      </c>
      <c r="Z26" s="41">
        <f t="shared" si="58"/>
        <v>236.88</v>
      </c>
      <c r="AA26" s="41">
        <f t="shared" si="58"/>
        <v>0</v>
      </c>
      <c r="AB26" s="41">
        <f t="shared" si="58"/>
        <v>232.47</v>
      </c>
      <c r="AC26" s="41">
        <f t="shared" si="58"/>
        <v>0</v>
      </c>
      <c r="AD26" s="41">
        <f t="shared" si="58"/>
        <v>2661.1800000000003</v>
      </c>
      <c r="AE26" s="41">
        <f t="shared" si="58"/>
        <v>0</v>
      </c>
      <c r="AF26" s="29"/>
      <c r="AG26" s="71">
        <f t="shared" si="31"/>
        <v>0</v>
      </c>
    </row>
    <row r="27" spans="1:33" ht="56.25" x14ac:dyDescent="0.3">
      <c r="A27" s="55" t="s">
        <v>55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71">
        <f t="shared" si="31"/>
        <v>0</v>
      </c>
    </row>
    <row r="28" spans="1:33" ht="18.75" x14ac:dyDescent="0.3">
      <c r="A28" s="52" t="s">
        <v>54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71">
        <f t="shared" si="31"/>
        <v>0</v>
      </c>
    </row>
    <row r="29" spans="1:33" ht="75" x14ac:dyDescent="0.3">
      <c r="A29" s="51" t="s">
        <v>56</v>
      </c>
      <c r="B29" s="41"/>
      <c r="C29" s="41"/>
      <c r="D29" s="41"/>
      <c r="E29" s="41"/>
      <c r="F29" s="41"/>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71">
        <f t="shared" si="31"/>
        <v>0</v>
      </c>
    </row>
    <row r="30" spans="1:33" ht="18.75" x14ac:dyDescent="0.3">
      <c r="A30" s="13" t="s">
        <v>31</v>
      </c>
      <c r="B30" s="47">
        <f>B31</f>
        <v>299</v>
      </c>
      <c r="C30" s="35">
        <f t="shared" ref="C30" si="59">C31</f>
        <v>0</v>
      </c>
      <c r="D30" s="35">
        <f>D31</f>
        <v>0</v>
      </c>
      <c r="E30" s="35">
        <f t="shared" ref="E30" si="60">E31</f>
        <v>0</v>
      </c>
      <c r="F30" s="32">
        <f t="shared" ref="F30:F31" si="61">E30/B30*100</f>
        <v>0</v>
      </c>
      <c r="G30" s="32" t="e">
        <f t="shared" ref="G30:G31" si="62">E30/C30*100</f>
        <v>#DIV/0!</v>
      </c>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71">
        <f t="shared" si="31"/>
        <v>0</v>
      </c>
    </row>
    <row r="31" spans="1:33" ht="18.75" x14ac:dyDescent="0.3">
      <c r="A31" s="13" t="s">
        <v>33</v>
      </c>
      <c r="B31" s="47">
        <f>H31+J31+L31+N31+P31+R31+T31+V31+X31+Z31+AB31+AD31</f>
        <v>299</v>
      </c>
      <c r="C31" s="32">
        <f t="shared" ref="C31" si="63">I31+K31+M31+O31+Q31+S31+U31+W31+Y31+AA31+AC31+AE31</f>
        <v>0</v>
      </c>
      <c r="D31" s="32">
        <f>I31</f>
        <v>0</v>
      </c>
      <c r="E31" s="32">
        <f>I31</f>
        <v>0</v>
      </c>
      <c r="F31" s="32">
        <f t="shared" si="61"/>
        <v>0</v>
      </c>
      <c r="G31" s="32" t="e">
        <f t="shared" si="62"/>
        <v>#DIV/0!</v>
      </c>
      <c r="H31" s="29"/>
      <c r="I31" s="29"/>
      <c r="J31" s="29"/>
      <c r="K31" s="29"/>
      <c r="L31" s="29"/>
      <c r="M31" s="29"/>
      <c r="N31" s="29"/>
      <c r="O31" s="29"/>
      <c r="P31" s="29"/>
      <c r="Q31" s="29"/>
      <c r="R31" s="29"/>
      <c r="S31" s="29"/>
      <c r="T31" s="29">
        <v>100</v>
      </c>
      <c r="U31" s="29"/>
      <c r="V31" s="29">
        <v>36.700000000000003</v>
      </c>
      <c r="W31" s="29"/>
      <c r="X31" s="29">
        <v>36.700000000000003</v>
      </c>
      <c r="Y31" s="29"/>
      <c r="Z31" s="29">
        <v>36.700000000000003</v>
      </c>
      <c r="AA31" s="29"/>
      <c r="AB31" s="29">
        <v>19.3</v>
      </c>
      <c r="AC31" s="29"/>
      <c r="AD31" s="29">
        <v>69.599999999999994</v>
      </c>
      <c r="AE31" s="29"/>
      <c r="AF31" s="29"/>
      <c r="AG31" s="71">
        <f t="shared" si="31"/>
        <v>0</v>
      </c>
    </row>
    <row r="32" spans="1:33" ht="56.25" x14ac:dyDescent="0.3">
      <c r="A32" s="51" t="s">
        <v>57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71">
        <f t="shared" si="31"/>
        <v>0</v>
      </c>
    </row>
    <row r="33" spans="1:33" ht="18.75" x14ac:dyDescent="0.3">
      <c r="A33" s="13" t="s">
        <v>31</v>
      </c>
      <c r="B33" s="47">
        <f>B34</f>
        <v>102.9</v>
      </c>
      <c r="C33" s="35">
        <f t="shared" ref="C33" si="64">C34</f>
        <v>0</v>
      </c>
      <c r="D33" s="35">
        <f>D34</f>
        <v>0</v>
      </c>
      <c r="E33" s="35">
        <f t="shared" ref="E33" si="65">E34</f>
        <v>0</v>
      </c>
      <c r="F33" s="32">
        <f t="shared" ref="F33:F34" si="66">E33/B33*100</f>
        <v>0</v>
      </c>
      <c r="G33" s="32" t="e">
        <f t="shared" ref="G33:G34" si="67">E33/C33*100</f>
        <v>#DIV/0!</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71">
        <f t="shared" si="31"/>
        <v>0</v>
      </c>
    </row>
    <row r="34" spans="1:33" ht="18.75" x14ac:dyDescent="0.3">
      <c r="A34" s="13" t="s">
        <v>33</v>
      </c>
      <c r="B34" s="47">
        <f>H34+J34+L34+N34+P34+R34+T34+V34+X34+Z34+AB34+AD34</f>
        <v>102.9</v>
      </c>
      <c r="C34" s="32">
        <f t="shared" ref="C34" si="68">I34+K34+M34+O34+Q34+S34+U34+W34+Y34+AA34+AC34+AE34</f>
        <v>0</v>
      </c>
      <c r="D34" s="32">
        <f>I34</f>
        <v>0</v>
      </c>
      <c r="E34" s="32">
        <f>I34</f>
        <v>0</v>
      </c>
      <c r="F34" s="32">
        <f t="shared" si="66"/>
        <v>0</v>
      </c>
      <c r="G34" s="32" t="e">
        <f t="shared" si="67"/>
        <v>#DIV/0!</v>
      </c>
      <c r="H34" s="29"/>
      <c r="I34" s="29"/>
      <c r="J34" s="29"/>
      <c r="K34" s="29"/>
      <c r="L34" s="29"/>
      <c r="M34" s="29"/>
      <c r="N34" s="29"/>
      <c r="O34" s="29"/>
      <c r="P34" s="29"/>
      <c r="Q34" s="29"/>
      <c r="R34" s="29"/>
      <c r="S34" s="29"/>
      <c r="T34" s="29"/>
      <c r="U34" s="29"/>
      <c r="V34" s="29">
        <v>102.9</v>
      </c>
      <c r="W34" s="29"/>
      <c r="X34" s="29"/>
      <c r="Y34" s="29"/>
      <c r="Z34" s="29"/>
      <c r="AA34" s="29"/>
      <c r="AB34" s="29"/>
      <c r="AC34" s="29"/>
      <c r="AD34" s="29"/>
      <c r="AE34" s="29"/>
      <c r="AF34" s="29"/>
      <c r="AG34" s="71">
        <f t="shared" si="31"/>
        <v>0</v>
      </c>
    </row>
    <row r="35" spans="1:33" ht="56.25" x14ac:dyDescent="0.3">
      <c r="A35" s="48" t="s">
        <v>58</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71">
        <f t="shared" si="31"/>
        <v>0</v>
      </c>
    </row>
    <row r="36" spans="1:33" ht="18.75" x14ac:dyDescent="0.3">
      <c r="A36" s="13" t="s">
        <v>31</v>
      </c>
      <c r="B36" s="41">
        <f>B37</f>
        <v>54957</v>
      </c>
      <c r="C36" s="41">
        <f t="shared" ref="C36:E36" si="69">C37</f>
        <v>1357</v>
      </c>
      <c r="D36" s="41">
        <f t="shared" si="69"/>
        <v>1357</v>
      </c>
      <c r="E36" s="41">
        <f t="shared" si="69"/>
        <v>1357</v>
      </c>
      <c r="F36" s="32">
        <f>E36/B36*100</f>
        <v>2.4692031952253579</v>
      </c>
      <c r="G36" s="47">
        <f t="shared" ref="G36" si="70">E36/C36*100</f>
        <v>100</v>
      </c>
      <c r="H36" s="41">
        <f>H37</f>
        <v>0</v>
      </c>
      <c r="I36" s="41">
        <f t="shared" ref="I36:AE36" si="71">I37</f>
        <v>0</v>
      </c>
      <c r="J36" s="41">
        <f t="shared" si="71"/>
        <v>1357</v>
      </c>
      <c r="K36" s="41">
        <f t="shared" si="71"/>
        <v>1357</v>
      </c>
      <c r="L36" s="41">
        <f t="shared" si="71"/>
        <v>0</v>
      </c>
      <c r="M36" s="41">
        <f t="shared" si="71"/>
        <v>0</v>
      </c>
      <c r="N36" s="41">
        <f t="shared" si="71"/>
        <v>0</v>
      </c>
      <c r="O36" s="41">
        <f t="shared" si="71"/>
        <v>0</v>
      </c>
      <c r="P36" s="41">
        <f t="shared" si="71"/>
        <v>0</v>
      </c>
      <c r="Q36" s="41">
        <f t="shared" si="71"/>
        <v>0</v>
      </c>
      <c r="R36" s="41">
        <f t="shared" si="71"/>
        <v>0</v>
      </c>
      <c r="S36" s="41">
        <f t="shared" si="71"/>
        <v>0</v>
      </c>
      <c r="T36" s="41">
        <f t="shared" si="71"/>
        <v>0</v>
      </c>
      <c r="U36" s="41">
        <f t="shared" si="71"/>
        <v>0</v>
      </c>
      <c r="V36" s="41">
        <f t="shared" si="71"/>
        <v>0</v>
      </c>
      <c r="W36" s="41">
        <f t="shared" si="71"/>
        <v>0</v>
      </c>
      <c r="X36" s="41">
        <f t="shared" si="71"/>
        <v>0</v>
      </c>
      <c r="Y36" s="41">
        <f t="shared" si="71"/>
        <v>0</v>
      </c>
      <c r="Z36" s="41">
        <f t="shared" si="71"/>
        <v>0</v>
      </c>
      <c r="AA36" s="41">
        <f t="shared" si="71"/>
        <v>0</v>
      </c>
      <c r="AB36" s="41">
        <f t="shared" si="71"/>
        <v>0</v>
      </c>
      <c r="AC36" s="41">
        <f t="shared" si="71"/>
        <v>0</v>
      </c>
      <c r="AD36" s="41">
        <f t="shared" si="71"/>
        <v>53600</v>
      </c>
      <c r="AE36" s="41">
        <f t="shared" si="71"/>
        <v>0</v>
      </c>
      <c r="AF36" s="29"/>
      <c r="AG36" s="71">
        <f t="shared" si="31"/>
        <v>0</v>
      </c>
    </row>
    <row r="37" spans="1:33" ht="18.75" x14ac:dyDescent="0.3">
      <c r="A37" s="14" t="s">
        <v>74</v>
      </c>
      <c r="B37" s="47">
        <f>H37+J37+L37+N37+P37+R37+T37+V37+X37+Z37+AB37+AD37</f>
        <v>54957</v>
      </c>
      <c r="C37" s="32">
        <f>H37+J37</f>
        <v>1357</v>
      </c>
      <c r="D37" s="32">
        <f>H37+J37</f>
        <v>1357</v>
      </c>
      <c r="E37" s="32">
        <f>I37+K37</f>
        <v>1357</v>
      </c>
      <c r="F37" s="32">
        <f>E37/B37*100</f>
        <v>2.4692031952253579</v>
      </c>
      <c r="G37" s="47">
        <f t="shared" ref="G37" si="72">E37/C37*100</f>
        <v>100</v>
      </c>
      <c r="H37" s="47"/>
      <c r="I37" s="47"/>
      <c r="J37" s="47">
        <v>1357</v>
      </c>
      <c r="K37" s="47">
        <v>1357</v>
      </c>
      <c r="L37" s="47"/>
      <c r="M37" s="47"/>
      <c r="N37" s="47"/>
      <c r="O37" s="47"/>
      <c r="P37" s="47"/>
      <c r="Q37" s="47"/>
      <c r="R37" s="47"/>
      <c r="S37" s="47"/>
      <c r="T37" s="47"/>
      <c r="U37" s="47"/>
      <c r="V37" s="47"/>
      <c r="W37" s="47"/>
      <c r="X37" s="47"/>
      <c r="Y37" s="47"/>
      <c r="Z37" s="47"/>
      <c r="AA37" s="47"/>
      <c r="AB37" s="47"/>
      <c r="AC37" s="47"/>
      <c r="AD37" s="47">
        <v>53600</v>
      </c>
      <c r="AE37" s="47"/>
      <c r="AF37" s="47"/>
      <c r="AG37" s="71">
        <f t="shared" si="31"/>
        <v>0</v>
      </c>
    </row>
    <row r="38" spans="1:33" ht="18.75" x14ac:dyDescent="0.3">
      <c r="A38" s="56" t="s">
        <v>35</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71">
        <f t="shared" si="31"/>
        <v>0</v>
      </c>
    </row>
    <row r="39" spans="1:33" ht="18.75" x14ac:dyDescent="0.3">
      <c r="A39" s="13" t="s">
        <v>31</v>
      </c>
      <c r="B39" s="41">
        <f>B40+B41</f>
        <v>55358.9</v>
      </c>
      <c r="C39" s="41">
        <f t="shared" ref="C39:E39" si="73">C40+C41</f>
        <v>1357</v>
      </c>
      <c r="D39" s="41">
        <f t="shared" si="73"/>
        <v>1357</v>
      </c>
      <c r="E39" s="41">
        <f t="shared" si="73"/>
        <v>1357</v>
      </c>
      <c r="F39" s="32">
        <f>E39/B39*100</f>
        <v>2.4512770304323244</v>
      </c>
      <c r="G39" s="47">
        <f t="shared" ref="G39" si="74">E39/C39*100</f>
        <v>100</v>
      </c>
      <c r="H39" s="41">
        <f>H40+H41</f>
        <v>0</v>
      </c>
      <c r="I39" s="41">
        <f t="shared" ref="I39:K39" si="75">I40+I41</f>
        <v>0</v>
      </c>
      <c r="J39" s="41">
        <f t="shared" si="75"/>
        <v>1357</v>
      </c>
      <c r="K39" s="41">
        <f t="shared" si="75"/>
        <v>1357</v>
      </c>
      <c r="L39" s="41">
        <f t="shared" ref="L39" si="76">L40+L41</f>
        <v>0</v>
      </c>
      <c r="M39" s="41">
        <f t="shared" ref="M39:N39" si="77">M40+M41</f>
        <v>0</v>
      </c>
      <c r="N39" s="41">
        <f t="shared" si="77"/>
        <v>0</v>
      </c>
      <c r="O39" s="41">
        <f t="shared" ref="O39" si="78">O40+O41</f>
        <v>0</v>
      </c>
      <c r="P39" s="41">
        <f t="shared" ref="P39:Q39" si="79">P40+P41</f>
        <v>0</v>
      </c>
      <c r="Q39" s="41">
        <f t="shared" si="79"/>
        <v>0</v>
      </c>
      <c r="R39" s="41">
        <f t="shared" ref="R39" si="80">R40+R41</f>
        <v>0</v>
      </c>
      <c r="S39" s="41">
        <f t="shared" ref="S39:T39" si="81">S40+S41</f>
        <v>0</v>
      </c>
      <c r="T39" s="41">
        <f t="shared" si="81"/>
        <v>100</v>
      </c>
      <c r="U39" s="41">
        <f t="shared" ref="U39" si="82">U40+U41</f>
        <v>0</v>
      </c>
      <c r="V39" s="41">
        <f t="shared" ref="V39:W39" si="83">V40+V41</f>
        <v>139.60000000000002</v>
      </c>
      <c r="W39" s="41">
        <f t="shared" si="83"/>
        <v>0</v>
      </c>
      <c r="X39" s="41">
        <f t="shared" ref="X39" si="84">X40+X41</f>
        <v>36.700000000000003</v>
      </c>
      <c r="Y39" s="41">
        <f t="shared" ref="Y39:Z39" si="85">Y40+Y41</f>
        <v>0</v>
      </c>
      <c r="Z39" s="41">
        <f t="shared" si="85"/>
        <v>36.700000000000003</v>
      </c>
      <c r="AA39" s="41">
        <f t="shared" ref="AA39" si="86">AA40+AA41</f>
        <v>0</v>
      </c>
      <c r="AB39" s="41">
        <f t="shared" ref="AB39:AC39" si="87">AB40+AB41</f>
        <v>19.3</v>
      </c>
      <c r="AC39" s="41">
        <f t="shared" si="87"/>
        <v>0</v>
      </c>
      <c r="AD39" s="41">
        <f t="shared" ref="AD39" si="88">AD40+AD41</f>
        <v>53669.599999999999</v>
      </c>
      <c r="AE39" s="41">
        <f t="shared" ref="AE39" si="89">AE40+AE41</f>
        <v>0</v>
      </c>
      <c r="AF39" s="29"/>
      <c r="AG39" s="71">
        <f t="shared" si="31"/>
        <v>0</v>
      </c>
    </row>
    <row r="40" spans="1:33" ht="18.75" x14ac:dyDescent="0.3">
      <c r="A40" s="13" t="s">
        <v>33</v>
      </c>
      <c r="B40" s="41">
        <f>B31+B34</f>
        <v>401.9</v>
      </c>
      <c r="C40" s="41">
        <f t="shared" ref="C40:E40" si="90">C31+C34</f>
        <v>0</v>
      </c>
      <c r="D40" s="41">
        <f t="shared" si="90"/>
        <v>0</v>
      </c>
      <c r="E40" s="41">
        <f t="shared" si="90"/>
        <v>0</v>
      </c>
      <c r="F40" s="32">
        <f t="shared" ref="F40:F41" si="91">E40/B40*100</f>
        <v>0</v>
      </c>
      <c r="G40" s="47" t="e">
        <f t="shared" ref="G40:G41" si="92">E40/C40*100</f>
        <v>#DIV/0!</v>
      </c>
      <c r="H40" s="41">
        <f>H31+H34</f>
        <v>0</v>
      </c>
      <c r="I40" s="41">
        <f t="shared" ref="I40:K40" si="93">I31+I34</f>
        <v>0</v>
      </c>
      <c r="J40" s="41">
        <f t="shared" si="93"/>
        <v>0</v>
      </c>
      <c r="K40" s="41">
        <f t="shared" si="93"/>
        <v>0</v>
      </c>
      <c r="L40" s="41">
        <f t="shared" ref="L40:AE40" si="94">L31+L34</f>
        <v>0</v>
      </c>
      <c r="M40" s="41">
        <f t="shared" si="94"/>
        <v>0</v>
      </c>
      <c r="N40" s="41">
        <f t="shared" si="94"/>
        <v>0</v>
      </c>
      <c r="O40" s="41">
        <f t="shared" si="94"/>
        <v>0</v>
      </c>
      <c r="P40" s="41">
        <f t="shared" si="94"/>
        <v>0</v>
      </c>
      <c r="Q40" s="41">
        <f t="shared" si="94"/>
        <v>0</v>
      </c>
      <c r="R40" s="41">
        <f t="shared" si="94"/>
        <v>0</v>
      </c>
      <c r="S40" s="41">
        <f t="shared" si="94"/>
        <v>0</v>
      </c>
      <c r="T40" s="41">
        <f t="shared" si="94"/>
        <v>100</v>
      </c>
      <c r="U40" s="41">
        <f t="shared" si="94"/>
        <v>0</v>
      </c>
      <c r="V40" s="41">
        <f t="shared" si="94"/>
        <v>139.60000000000002</v>
      </c>
      <c r="W40" s="41">
        <f t="shared" si="94"/>
        <v>0</v>
      </c>
      <c r="X40" s="41">
        <f t="shared" si="94"/>
        <v>36.700000000000003</v>
      </c>
      <c r="Y40" s="41">
        <f t="shared" si="94"/>
        <v>0</v>
      </c>
      <c r="Z40" s="41">
        <f t="shared" si="94"/>
        <v>36.700000000000003</v>
      </c>
      <c r="AA40" s="41">
        <f t="shared" si="94"/>
        <v>0</v>
      </c>
      <c r="AB40" s="41">
        <f t="shared" si="94"/>
        <v>19.3</v>
      </c>
      <c r="AC40" s="41">
        <f t="shared" si="94"/>
        <v>0</v>
      </c>
      <c r="AD40" s="41">
        <f t="shared" si="94"/>
        <v>69.599999999999994</v>
      </c>
      <c r="AE40" s="41">
        <f t="shared" si="94"/>
        <v>0</v>
      </c>
      <c r="AF40" s="29"/>
      <c r="AG40" s="71">
        <f t="shared" si="31"/>
        <v>0</v>
      </c>
    </row>
    <row r="41" spans="1:33" ht="18.75" x14ac:dyDescent="0.3">
      <c r="A41" s="14" t="s">
        <v>74</v>
      </c>
      <c r="B41" s="41">
        <f>B37</f>
        <v>54957</v>
      </c>
      <c r="C41" s="41">
        <f t="shared" ref="C41:E41" si="95">C37</f>
        <v>1357</v>
      </c>
      <c r="D41" s="41">
        <f t="shared" si="95"/>
        <v>1357</v>
      </c>
      <c r="E41" s="41">
        <f t="shared" si="95"/>
        <v>1357</v>
      </c>
      <c r="F41" s="32">
        <f t="shared" si="91"/>
        <v>2.4692031952253579</v>
      </c>
      <c r="G41" s="47">
        <f t="shared" si="92"/>
        <v>100</v>
      </c>
      <c r="H41" s="41">
        <f>H37</f>
        <v>0</v>
      </c>
      <c r="I41" s="41">
        <f t="shared" ref="I41:K41" si="96">I37</f>
        <v>0</v>
      </c>
      <c r="J41" s="41">
        <f t="shared" si="96"/>
        <v>1357</v>
      </c>
      <c r="K41" s="41">
        <f t="shared" si="96"/>
        <v>1357</v>
      </c>
      <c r="L41" s="41">
        <f t="shared" ref="L41:AE41" si="97">L37</f>
        <v>0</v>
      </c>
      <c r="M41" s="41">
        <f t="shared" si="97"/>
        <v>0</v>
      </c>
      <c r="N41" s="41">
        <f t="shared" si="97"/>
        <v>0</v>
      </c>
      <c r="O41" s="41">
        <f t="shared" si="97"/>
        <v>0</v>
      </c>
      <c r="P41" s="41">
        <f t="shared" si="97"/>
        <v>0</v>
      </c>
      <c r="Q41" s="41">
        <f t="shared" si="97"/>
        <v>0</v>
      </c>
      <c r="R41" s="41">
        <f t="shared" si="97"/>
        <v>0</v>
      </c>
      <c r="S41" s="41">
        <f t="shared" si="97"/>
        <v>0</v>
      </c>
      <c r="T41" s="41">
        <f t="shared" si="97"/>
        <v>0</v>
      </c>
      <c r="U41" s="41">
        <f t="shared" si="97"/>
        <v>0</v>
      </c>
      <c r="V41" s="41">
        <f t="shared" si="97"/>
        <v>0</v>
      </c>
      <c r="W41" s="41">
        <f t="shared" si="97"/>
        <v>0</v>
      </c>
      <c r="X41" s="41">
        <f t="shared" si="97"/>
        <v>0</v>
      </c>
      <c r="Y41" s="41">
        <f t="shared" si="97"/>
        <v>0</v>
      </c>
      <c r="Z41" s="41">
        <f t="shared" si="97"/>
        <v>0</v>
      </c>
      <c r="AA41" s="41">
        <f t="shared" si="97"/>
        <v>0</v>
      </c>
      <c r="AB41" s="41">
        <f t="shared" si="97"/>
        <v>0</v>
      </c>
      <c r="AC41" s="41">
        <f t="shared" si="97"/>
        <v>0</v>
      </c>
      <c r="AD41" s="41">
        <f t="shared" si="97"/>
        <v>53600</v>
      </c>
      <c r="AE41" s="41">
        <f t="shared" si="97"/>
        <v>0</v>
      </c>
      <c r="AF41" s="29"/>
      <c r="AG41" s="71">
        <f t="shared" si="31"/>
        <v>0</v>
      </c>
    </row>
    <row r="42" spans="1:33" ht="37.5" x14ac:dyDescent="0.3">
      <c r="A42" s="28" t="s">
        <v>73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71">
        <f t="shared" si="31"/>
        <v>0</v>
      </c>
    </row>
    <row r="43" spans="1:33" ht="18.75" x14ac:dyDescent="0.3">
      <c r="A43" s="8" t="s">
        <v>31</v>
      </c>
      <c r="B43" s="41">
        <f>B44+B45</f>
        <v>55358.9</v>
      </c>
      <c r="C43" s="41">
        <f t="shared" ref="C43:E43" si="98">C44+C45</f>
        <v>1357</v>
      </c>
      <c r="D43" s="41">
        <f t="shared" si="98"/>
        <v>1357</v>
      </c>
      <c r="E43" s="41">
        <f t="shared" si="98"/>
        <v>1357</v>
      </c>
      <c r="F43" s="32">
        <f t="shared" ref="F43" si="99">E43/B43*100</f>
        <v>2.4512770304323244</v>
      </c>
      <c r="G43" s="47">
        <f t="shared" ref="G43" si="100">E43/C43*100</f>
        <v>100</v>
      </c>
      <c r="H43" s="41">
        <f>H44+H45</f>
        <v>0</v>
      </c>
      <c r="I43" s="41">
        <f t="shared" ref="I43:AE43" si="101">I44+I45</f>
        <v>0</v>
      </c>
      <c r="J43" s="41">
        <f t="shared" si="101"/>
        <v>1357</v>
      </c>
      <c r="K43" s="41">
        <f t="shared" si="101"/>
        <v>1357</v>
      </c>
      <c r="L43" s="41">
        <f t="shared" si="101"/>
        <v>0</v>
      </c>
      <c r="M43" s="41">
        <f t="shared" si="101"/>
        <v>0</v>
      </c>
      <c r="N43" s="41">
        <f t="shared" si="101"/>
        <v>0</v>
      </c>
      <c r="O43" s="41">
        <f t="shared" si="101"/>
        <v>0</v>
      </c>
      <c r="P43" s="41">
        <f t="shared" si="101"/>
        <v>0</v>
      </c>
      <c r="Q43" s="41">
        <f t="shared" si="101"/>
        <v>0</v>
      </c>
      <c r="R43" s="41">
        <f t="shared" si="101"/>
        <v>0</v>
      </c>
      <c r="S43" s="41">
        <f t="shared" si="101"/>
        <v>0</v>
      </c>
      <c r="T43" s="41">
        <f t="shared" si="101"/>
        <v>100</v>
      </c>
      <c r="U43" s="41">
        <f t="shared" si="101"/>
        <v>0</v>
      </c>
      <c r="V43" s="41">
        <f t="shared" si="101"/>
        <v>139.60000000000002</v>
      </c>
      <c r="W43" s="41">
        <f t="shared" si="101"/>
        <v>0</v>
      </c>
      <c r="X43" s="41">
        <f t="shared" si="101"/>
        <v>36.700000000000003</v>
      </c>
      <c r="Y43" s="41">
        <f t="shared" si="101"/>
        <v>0</v>
      </c>
      <c r="Z43" s="41">
        <f t="shared" si="101"/>
        <v>36.700000000000003</v>
      </c>
      <c r="AA43" s="41">
        <f t="shared" si="101"/>
        <v>0</v>
      </c>
      <c r="AB43" s="41">
        <f t="shared" si="101"/>
        <v>19.3</v>
      </c>
      <c r="AC43" s="41">
        <f t="shared" si="101"/>
        <v>0</v>
      </c>
      <c r="AD43" s="41">
        <f t="shared" si="101"/>
        <v>53669.599999999999</v>
      </c>
      <c r="AE43" s="41">
        <f t="shared" si="101"/>
        <v>0</v>
      </c>
      <c r="AF43" s="29"/>
      <c r="AG43" s="71">
        <f t="shared" si="31"/>
        <v>0</v>
      </c>
    </row>
    <row r="44" spans="1:33" ht="18.75" x14ac:dyDescent="0.3">
      <c r="A44" s="13" t="s">
        <v>33</v>
      </c>
      <c r="B44" s="41">
        <f>B40</f>
        <v>401.9</v>
      </c>
      <c r="C44" s="41">
        <f t="shared" ref="C44:E44" si="102">C40</f>
        <v>0</v>
      </c>
      <c r="D44" s="41">
        <f t="shared" si="102"/>
        <v>0</v>
      </c>
      <c r="E44" s="41">
        <f t="shared" si="102"/>
        <v>0</v>
      </c>
      <c r="F44" s="32">
        <f t="shared" ref="F44:F45" si="103">E44/B44*100</f>
        <v>0</v>
      </c>
      <c r="G44" s="47" t="e">
        <f t="shared" ref="G44:G45" si="104">E44/C44*100</f>
        <v>#DIV/0!</v>
      </c>
      <c r="H44" s="41">
        <f>H40</f>
        <v>0</v>
      </c>
      <c r="I44" s="41">
        <f t="shared" ref="I44:AE44" si="105">I40</f>
        <v>0</v>
      </c>
      <c r="J44" s="41">
        <f t="shared" si="105"/>
        <v>0</v>
      </c>
      <c r="K44" s="41">
        <f t="shared" si="105"/>
        <v>0</v>
      </c>
      <c r="L44" s="41">
        <f t="shared" si="105"/>
        <v>0</v>
      </c>
      <c r="M44" s="41">
        <f t="shared" si="105"/>
        <v>0</v>
      </c>
      <c r="N44" s="41">
        <f t="shared" si="105"/>
        <v>0</v>
      </c>
      <c r="O44" s="41">
        <f t="shared" si="105"/>
        <v>0</v>
      </c>
      <c r="P44" s="41">
        <f t="shared" si="105"/>
        <v>0</v>
      </c>
      <c r="Q44" s="41">
        <f t="shared" si="105"/>
        <v>0</v>
      </c>
      <c r="R44" s="41">
        <f t="shared" si="105"/>
        <v>0</v>
      </c>
      <c r="S44" s="41">
        <f t="shared" si="105"/>
        <v>0</v>
      </c>
      <c r="T44" s="41">
        <f t="shared" si="105"/>
        <v>100</v>
      </c>
      <c r="U44" s="41">
        <f t="shared" si="105"/>
        <v>0</v>
      </c>
      <c r="V44" s="41">
        <f t="shared" si="105"/>
        <v>139.60000000000002</v>
      </c>
      <c r="W44" s="41">
        <f t="shared" si="105"/>
        <v>0</v>
      </c>
      <c r="X44" s="41">
        <f t="shared" si="105"/>
        <v>36.700000000000003</v>
      </c>
      <c r="Y44" s="41">
        <f t="shared" si="105"/>
        <v>0</v>
      </c>
      <c r="Z44" s="41">
        <f t="shared" si="105"/>
        <v>36.700000000000003</v>
      </c>
      <c r="AA44" s="41">
        <f t="shared" si="105"/>
        <v>0</v>
      </c>
      <c r="AB44" s="41">
        <f t="shared" si="105"/>
        <v>19.3</v>
      </c>
      <c r="AC44" s="41">
        <f t="shared" si="105"/>
        <v>0</v>
      </c>
      <c r="AD44" s="41">
        <f t="shared" si="105"/>
        <v>69.599999999999994</v>
      </c>
      <c r="AE44" s="41">
        <f t="shared" si="105"/>
        <v>0</v>
      </c>
      <c r="AF44" s="29"/>
      <c r="AG44" s="71">
        <f t="shared" si="31"/>
        <v>0</v>
      </c>
    </row>
    <row r="45" spans="1:33" ht="18.75" x14ac:dyDescent="0.3">
      <c r="A45" s="14" t="s">
        <v>74</v>
      </c>
      <c r="B45" s="41">
        <f>B41</f>
        <v>54957</v>
      </c>
      <c r="C45" s="41">
        <f t="shared" ref="C45:E45" si="106">C41</f>
        <v>1357</v>
      </c>
      <c r="D45" s="41">
        <f t="shared" si="106"/>
        <v>1357</v>
      </c>
      <c r="E45" s="41">
        <f t="shared" si="106"/>
        <v>1357</v>
      </c>
      <c r="F45" s="32">
        <f t="shared" si="103"/>
        <v>2.4692031952253579</v>
      </c>
      <c r="G45" s="47">
        <f t="shared" si="104"/>
        <v>100</v>
      </c>
      <c r="H45" s="41">
        <f>H41</f>
        <v>0</v>
      </c>
      <c r="I45" s="41">
        <f t="shared" ref="I45:AE45" si="107">I41</f>
        <v>0</v>
      </c>
      <c r="J45" s="41">
        <f t="shared" si="107"/>
        <v>1357</v>
      </c>
      <c r="K45" s="41">
        <f t="shared" si="107"/>
        <v>1357</v>
      </c>
      <c r="L45" s="41">
        <f t="shared" si="107"/>
        <v>0</v>
      </c>
      <c r="M45" s="41">
        <f t="shared" si="107"/>
        <v>0</v>
      </c>
      <c r="N45" s="41">
        <f t="shared" si="107"/>
        <v>0</v>
      </c>
      <c r="O45" s="41">
        <f t="shared" si="107"/>
        <v>0</v>
      </c>
      <c r="P45" s="41">
        <f t="shared" si="107"/>
        <v>0</v>
      </c>
      <c r="Q45" s="41">
        <f t="shared" si="107"/>
        <v>0</v>
      </c>
      <c r="R45" s="41">
        <f t="shared" si="107"/>
        <v>0</v>
      </c>
      <c r="S45" s="41">
        <f t="shared" si="107"/>
        <v>0</v>
      </c>
      <c r="T45" s="41">
        <f t="shared" si="107"/>
        <v>0</v>
      </c>
      <c r="U45" s="41">
        <f t="shared" si="107"/>
        <v>0</v>
      </c>
      <c r="V45" s="41">
        <f t="shared" si="107"/>
        <v>0</v>
      </c>
      <c r="W45" s="41">
        <f t="shared" si="107"/>
        <v>0</v>
      </c>
      <c r="X45" s="41">
        <f t="shared" si="107"/>
        <v>0</v>
      </c>
      <c r="Y45" s="41">
        <f t="shared" si="107"/>
        <v>0</v>
      </c>
      <c r="Z45" s="41">
        <f t="shared" si="107"/>
        <v>0</v>
      </c>
      <c r="AA45" s="41">
        <f t="shared" si="107"/>
        <v>0</v>
      </c>
      <c r="AB45" s="41">
        <f t="shared" si="107"/>
        <v>0</v>
      </c>
      <c r="AC45" s="41">
        <f t="shared" si="107"/>
        <v>0</v>
      </c>
      <c r="AD45" s="41">
        <f t="shared" si="107"/>
        <v>53600</v>
      </c>
      <c r="AE45" s="41">
        <f t="shared" si="107"/>
        <v>0</v>
      </c>
      <c r="AF45" s="29"/>
      <c r="AG45" s="71">
        <f t="shared" si="31"/>
        <v>0</v>
      </c>
    </row>
    <row r="46" spans="1:33" ht="131.25" x14ac:dyDescent="0.3">
      <c r="A46" s="55" t="s">
        <v>59</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71">
        <f t="shared" si="31"/>
        <v>0</v>
      </c>
    </row>
    <row r="47" spans="1:33" ht="18.75" x14ac:dyDescent="0.3">
      <c r="A47" s="52" t="s">
        <v>54</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71">
        <f t="shared" si="31"/>
        <v>0</v>
      </c>
    </row>
    <row r="48" spans="1:33" ht="150" x14ac:dyDescent="0.3">
      <c r="A48" s="50" t="s">
        <v>60</v>
      </c>
      <c r="B48" s="5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71">
        <f t="shared" si="31"/>
        <v>0</v>
      </c>
    </row>
    <row r="49" spans="1:33" ht="18.75" x14ac:dyDescent="0.3">
      <c r="A49" s="18" t="s">
        <v>31</v>
      </c>
      <c r="B49" s="41">
        <f>B50</f>
        <v>8770.880000000001</v>
      </c>
      <c r="C49" s="41">
        <f t="shared" ref="C49:E49" si="108">C50</f>
        <v>2495.7199999999998</v>
      </c>
      <c r="D49" s="41">
        <f>D50</f>
        <v>2495.7199999999998</v>
      </c>
      <c r="E49" s="41">
        <f t="shared" si="108"/>
        <v>2696.2</v>
      </c>
      <c r="F49" s="32">
        <f t="shared" ref="F49" si="109">E49/B49*100</f>
        <v>30.740359006165853</v>
      </c>
      <c r="G49" s="47">
        <f t="shared" ref="G49" si="110">E49/C49*100</f>
        <v>108.03295241453368</v>
      </c>
      <c r="H49" s="41">
        <f>H50</f>
        <v>1146.1199999999999</v>
      </c>
      <c r="I49" s="725">
        <f t="shared" ref="I49:AE49" si="111">I50</f>
        <v>760.22</v>
      </c>
      <c r="J49" s="725">
        <f t="shared" si="111"/>
        <v>746.3</v>
      </c>
      <c r="K49" s="729">
        <f t="shared" si="111"/>
        <v>1037.3499999999999</v>
      </c>
      <c r="L49" s="725">
        <f t="shared" si="111"/>
        <v>603.29999999999995</v>
      </c>
      <c r="M49" s="725">
        <f t="shared" si="111"/>
        <v>898.63</v>
      </c>
      <c r="N49" s="725">
        <f t="shared" si="111"/>
        <v>845.1</v>
      </c>
      <c r="O49" s="725">
        <f t="shared" si="111"/>
        <v>0</v>
      </c>
      <c r="P49" s="725">
        <f t="shared" si="111"/>
        <v>676.33</v>
      </c>
      <c r="Q49" s="725">
        <f t="shared" si="111"/>
        <v>0</v>
      </c>
      <c r="R49" s="725">
        <f t="shared" si="111"/>
        <v>603.29999999999995</v>
      </c>
      <c r="S49" s="725">
        <f t="shared" si="111"/>
        <v>0</v>
      </c>
      <c r="T49" s="725">
        <f t="shared" si="111"/>
        <v>845.1</v>
      </c>
      <c r="U49" s="725">
        <f t="shared" si="111"/>
        <v>0</v>
      </c>
      <c r="V49" s="725">
        <f t="shared" si="111"/>
        <v>676.33</v>
      </c>
      <c r="W49" s="725">
        <f t="shared" si="111"/>
        <v>0</v>
      </c>
      <c r="X49" s="725">
        <f t="shared" si="111"/>
        <v>603.29999999999995</v>
      </c>
      <c r="Y49" s="725">
        <f t="shared" si="111"/>
        <v>0</v>
      </c>
      <c r="Z49" s="725">
        <f t="shared" si="111"/>
        <v>845.1</v>
      </c>
      <c r="AA49" s="725">
        <f t="shared" si="111"/>
        <v>0</v>
      </c>
      <c r="AB49" s="725">
        <f t="shared" si="111"/>
        <v>676.33</v>
      </c>
      <c r="AC49" s="725">
        <f t="shared" si="111"/>
        <v>0</v>
      </c>
      <c r="AD49" s="725">
        <f t="shared" si="111"/>
        <v>504.27</v>
      </c>
      <c r="AE49" s="725">
        <f t="shared" si="111"/>
        <v>0</v>
      </c>
      <c r="AF49" s="726"/>
      <c r="AG49" s="71">
        <f t="shared" si="31"/>
        <v>-200.48000000000002</v>
      </c>
    </row>
    <row r="50" spans="1:33" s="46" customFormat="1" ht="93.75" x14ac:dyDescent="0.3">
      <c r="A50" s="15" t="s">
        <v>33</v>
      </c>
      <c r="B50" s="47">
        <f>H50+J50+L50+N50+P50+R50+T50+V50+X50+Z50+AB50+AD50</f>
        <v>8770.880000000001</v>
      </c>
      <c r="C50" s="32">
        <f>H50+J50+L50</f>
        <v>2495.7199999999998</v>
      </c>
      <c r="D50" s="32">
        <f>H50+J50+L50</f>
        <v>2495.7199999999998</v>
      </c>
      <c r="E50" s="32">
        <f>I50+K50+M50</f>
        <v>2696.2</v>
      </c>
      <c r="F50" s="32">
        <f t="shared" ref="F50" si="112">E50/B50*100</f>
        <v>30.740359006165853</v>
      </c>
      <c r="G50" s="47">
        <f t="shared" ref="G50" si="113">E50/C50*100</f>
        <v>108.03295241453368</v>
      </c>
      <c r="H50" s="47">
        <v>1146.1199999999999</v>
      </c>
      <c r="I50" s="726">
        <v>760.22</v>
      </c>
      <c r="J50" s="726">
        <v>746.3</v>
      </c>
      <c r="K50" s="730">
        <v>1037.3499999999999</v>
      </c>
      <c r="L50" s="726">
        <v>603.29999999999995</v>
      </c>
      <c r="M50" s="726">
        <v>898.63</v>
      </c>
      <c r="N50" s="726">
        <v>845.1</v>
      </c>
      <c r="O50" s="726"/>
      <c r="P50" s="726">
        <v>676.33</v>
      </c>
      <c r="Q50" s="726"/>
      <c r="R50" s="726">
        <v>603.29999999999995</v>
      </c>
      <c r="S50" s="726"/>
      <c r="T50" s="726">
        <v>845.1</v>
      </c>
      <c r="U50" s="726"/>
      <c r="V50" s="726">
        <v>676.33</v>
      </c>
      <c r="W50" s="726"/>
      <c r="X50" s="726">
        <v>603.29999999999995</v>
      </c>
      <c r="Y50" s="726"/>
      <c r="Z50" s="726">
        <v>845.1</v>
      </c>
      <c r="AA50" s="726"/>
      <c r="AB50" s="726">
        <v>676.33</v>
      </c>
      <c r="AC50" s="726"/>
      <c r="AD50" s="726">
        <v>504.27</v>
      </c>
      <c r="AE50" s="726"/>
      <c r="AF50" s="767" t="s">
        <v>565</v>
      </c>
      <c r="AG50" s="71">
        <f t="shared" si="31"/>
        <v>-200.48000000000002</v>
      </c>
    </row>
    <row r="51" spans="1:33" ht="112.5" x14ac:dyDescent="0.3">
      <c r="A51" s="51" t="s">
        <v>61</v>
      </c>
      <c r="B51" s="5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71">
        <f t="shared" si="31"/>
        <v>0</v>
      </c>
    </row>
    <row r="52" spans="1:33" ht="18.75" x14ac:dyDescent="0.3">
      <c r="A52" s="19" t="s">
        <v>31</v>
      </c>
      <c r="B52" s="41">
        <f>B53</f>
        <v>35219.199999999997</v>
      </c>
      <c r="C52" s="41">
        <f t="shared" ref="C52:E52" si="114">C53</f>
        <v>8363.58</v>
      </c>
      <c r="D52" s="41">
        <f t="shared" si="114"/>
        <v>0</v>
      </c>
      <c r="E52" s="41">
        <f t="shared" si="114"/>
        <v>7016.26</v>
      </c>
      <c r="F52" s="32">
        <f t="shared" ref="F52" si="115">E52/B52*100</f>
        <v>19.921690441577326</v>
      </c>
      <c r="G52" s="47">
        <f t="shared" ref="G52" si="116">E52/C52*100</f>
        <v>83.890630567292959</v>
      </c>
      <c r="H52" s="41">
        <f>H53</f>
        <v>2514.42</v>
      </c>
      <c r="I52" s="41">
        <f>I53</f>
        <v>1209.1099999999999</v>
      </c>
      <c r="J52" s="41">
        <f t="shared" ref="J52:AE52" si="117">J53</f>
        <v>2858.69</v>
      </c>
      <c r="K52" s="41">
        <f t="shared" si="117"/>
        <v>3080.14</v>
      </c>
      <c r="L52" s="41">
        <f t="shared" si="117"/>
        <v>2990.47</v>
      </c>
      <c r="M52" s="41">
        <f t="shared" si="117"/>
        <v>2727.01</v>
      </c>
      <c r="N52" s="41">
        <f t="shared" si="117"/>
        <v>3181.58</v>
      </c>
      <c r="O52" s="41">
        <f t="shared" si="117"/>
        <v>0</v>
      </c>
      <c r="P52" s="41">
        <f t="shared" si="117"/>
        <v>3131.47</v>
      </c>
      <c r="Q52" s="41">
        <f t="shared" si="117"/>
        <v>0</v>
      </c>
      <c r="R52" s="41">
        <f t="shared" si="117"/>
        <v>2835.11</v>
      </c>
      <c r="S52" s="41">
        <f t="shared" si="117"/>
        <v>0</v>
      </c>
      <c r="T52" s="41">
        <f t="shared" si="117"/>
        <v>3439.4</v>
      </c>
      <c r="U52" s="41">
        <f t="shared" si="117"/>
        <v>0</v>
      </c>
      <c r="V52" s="41">
        <f t="shared" si="117"/>
        <v>2837.1</v>
      </c>
      <c r="W52" s="41">
        <f t="shared" si="117"/>
        <v>0</v>
      </c>
      <c r="X52" s="41">
        <f t="shared" si="117"/>
        <v>2887.37</v>
      </c>
      <c r="Y52" s="41">
        <f t="shared" si="117"/>
        <v>0</v>
      </c>
      <c r="Z52" s="41">
        <f t="shared" si="117"/>
        <v>3215.67</v>
      </c>
      <c r="AA52" s="41">
        <f t="shared" si="117"/>
        <v>0</v>
      </c>
      <c r="AB52" s="41">
        <f t="shared" si="117"/>
        <v>2887.27</v>
      </c>
      <c r="AC52" s="41">
        <f t="shared" si="117"/>
        <v>0</v>
      </c>
      <c r="AD52" s="41">
        <f t="shared" si="117"/>
        <v>2440.65</v>
      </c>
      <c r="AE52" s="41">
        <f t="shared" si="117"/>
        <v>0</v>
      </c>
      <c r="AF52" s="29"/>
      <c r="AG52" s="71">
        <f t="shared" si="31"/>
        <v>1347.3199999999997</v>
      </c>
    </row>
    <row r="53" spans="1:33" s="46" customFormat="1" ht="93.75" x14ac:dyDescent="0.3">
      <c r="A53" s="15" t="s">
        <v>33</v>
      </c>
      <c r="B53" s="47">
        <f>H53+J53+L53+N53+P53+R53+T53+V53+X53+Z53+AB53+AD53</f>
        <v>35219.199999999997</v>
      </c>
      <c r="C53" s="32">
        <f>H53+J53+L53</f>
        <v>8363.58</v>
      </c>
      <c r="D53" s="32">
        <f>D51</f>
        <v>0</v>
      </c>
      <c r="E53" s="32">
        <f>I53+K53+M53</f>
        <v>7016.26</v>
      </c>
      <c r="F53" s="32">
        <f t="shared" ref="F53" si="118">E53/B53*100</f>
        <v>19.921690441577326</v>
      </c>
      <c r="G53" s="47">
        <f t="shared" ref="G53" si="119">E53/C53*100</f>
        <v>83.890630567292959</v>
      </c>
      <c r="H53" s="47">
        <v>2514.42</v>
      </c>
      <c r="I53" s="47">
        <v>1209.1099999999999</v>
      </c>
      <c r="J53" s="47">
        <v>2858.69</v>
      </c>
      <c r="K53" s="47">
        <v>3080.14</v>
      </c>
      <c r="L53" s="47">
        <v>2990.47</v>
      </c>
      <c r="M53" s="47">
        <v>2727.01</v>
      </c>
      <c r="N53" s="47">
        <v>3181.58</v>
      </c>
      <c r="O53" s="47"/>
      <c r="P53" s="47">
        <v>3131.47</v>
      </c>
      <c r="Q53" s="47"/>
      <c r="R53" s="47">
        <v>2835.11</v>
      </c>
      <c r="S53" s="47"/>
      <c r="T53" s="47">
        <v>3439.4</v>
      </c>
      <c r="U53" s="47"/>
      <c r="V53" s="47">
        <v>2837.1</v>
      </c>
      <c r="W53" s="47"/>
      <c r="X53" s="47">
        <v>2887.37</v>
      </c>
      <c r="Y53" s="47"/>
      <c r="Z53" s="47">
        <v>3215.67</v>
      </c>
      <c r="AA53" s="47"/>
      <c r="AB53" s="47">
        <v>2887.27</v>
      </c>
      <c r="AC53" s="47"/>
      <c r="AD53" s="47">
        <v>2440.65</v>
      </c>
      <c r="AE53" s="47"/>
      <c r="AF53" s="767" t="s">
        <v>565</v>
      </c>
      <c r="AG53" s="71">
        <f t="shared" si="31"/>
        <v>1347.3199999999997</v>
      </c>
    </row>
    <row r="54" spans="1:33" ht="18.75" x14ac:dyDescent="0.3">
      <c r="A54" s="56" t="s">
        <v>62</v>
      </c>
      <c r="B54" s="29"/>
      <c r="C54" s="29"/>
      <c r="D54" s="29"/>
      <c r="E54" s="29"/>
      <c r="F54" s="29"/>
      <c r="G54" s="29"/>
      <c r="H54" s="29"/>
      <c r="I54" s="47"/>
      <c r="J54" s="47"/>
      <c r="K54" s="47"/>
      <c r="L54" s="47"/>
      <c r="M54" s="47"/>
      <c r="N54" s="47"/>
      <c r="O54" s="29"/>
      <c r="P54" s="29"/>
      <c r="Q54" s="29"/>
      <c r="R54" s="29"/>
      <c r="S54" s="29"/>
      <c r="T54" s="29"/>
      <c r="U54" s="29"/>
      <c r="V54" s="29"/>
      <c r="W54" s="29"/>
      <c r="X54" s="29"/>
      <c r="Y54" s="29"/>
      <c r="Z54" s="29"/>
      <c r="AA54" s="29"/>
      <c r="AB54" s="29"/>
      <c r="AC54" s="29"/>
      <c r="AD54" s="29"/>
      <c r="AE54" s="29"/>
      <c r="AF54" s="29"/>
      <c r="AG54" s="71">
        <f t="shared" si="31"/>
        <v>0</v>
      </c>
    </row>
    <row r="55" spans="1:33" ht="18.75" x14ac:dyDescent="0.3">
      <c r="A55" s="19" t="s">
        <v>31</v>
      </c>
      <c r="B55" s="41">
        <f>B56</f>
        <v>43990.080000000002</v>
      </c>
      <c r="C55" s="41">
        <f t="shared" ref="C55:E55" si="120">C56</f>
        <v>10859.3</v>
      </c>
      <c r="D55" s="41">
        <f t="shared" si="120"/>
        <v>2495.7199999999998</v>
      </c>
      <c r="E55" s="41">
        <f t="shared" si="120"/>
        <v>9712.4599999999991</v>
      </c>
      <c r="F55" s="32">
        <f t="shared" ref="F55" si="121">E55/B55*100</f>
        <v>22.078750481926832</v>
      </c>
      <c r="G55" s="47">
        <f t="shared" ref="G55" si="122">E55/C55*100</f>
        <v>89.439098284419799</v>
      </c>
      <c r="H55" s="41">
        <f t="shared" ref="H55" si="123">H56</f>
        <v>3660.54</v>
      </c>
      <c r="I55" s="41">
        <f t="shared" ref="I55" si="124">I56</f>
        <v>1969.33</v>
      </c>
      <c r="J55" s="41">
        <f t="shared" ref="J55" si="125">J56</f>
        <v>3604.99</v>
      </c>
      <c r="K55" s="41">
        <f t="shared" ref="K55" si="126">K56</f>
        <v>4117.49</v>
      </c>
      <c r="L55" s="41">
        <f t="shared" ref="L55" si="127">L56</f>
        <v>3593.7699999999995</v>
      </c>
      <c r="M55" s="41">
        <f t="shared" ref="M55" si="128">M56</f>
        <v>3625.6400000000003</v>
      </c>
      <c r="N55" s="41">
        <f t="shared" ref="N55" si="129">N56</f>
        <v>4026.68</v>
      </c>
      <c r="O55" s="41">
        <f t="shared" ref="O55" si="130">O56</f>
        <v>0</v>
      </c>
      <c r="P55" s="41">
        <f t="shared" ref="P55" si="131">P56</f>
        <v>3807.7999999999997</v>
      </c>
      <c r="Q55" s="41">
        <f t="shared" ref="Q55" si="132">Q56</f>
        <v>0</v>
      </c>
      <c r="R55" s="41">
        <f t="shared" ref="R55" si="133">R56</f>
        <v>3438.41</v>
      </c>
      <c r="S55" s="41">
        <f t="shared" ref="S55" si="134">S56</f>
        <v>0</v>
      </c>
      <c r="T55" s="41">
        <f t="shared" ref="T55" si="135">T56</f>
        <v>4284.5</v>
      </c>
      <c r="U55" s="41">
        <f t="shared" ref="U55" si="136">U56</f>
        <v>0</v>
      </c>
      <c r="V55" s="41">
        <f t="shared" ref="V55" si="137">V56</f>
        <v>3513.43</v>
      </c>
      <c r="W55" s="41">
        <f t="shared" ref="W55" si="138">W56</f>
        <v>0</v>
      </c>
      <c r="X55" s="41">
        <f t="shared" ref="X55" si="139">X56</f>
        <v>3490.67</v>
      </c>
      <c r="Y55" s="41">
        <f t="shared" ref="Y55" si="140">Y56</f>
        <v>0</v>
      </c>
      <c r="Z55" s="41">
        <f t="shared" ref="Z55" si="141">Z56</f>
        <v>4060.77</v>
      </c>
      <c r="AA55" s="41">
        <f t="shared" ref="AA55" si="142">AA56</f>
        <v>0</v>
      </c>
      <c r="AB55" s="41">
        <f t="shared" ref="AB55" si="143">AB56</f>
        <v>3563.6</v>
      </c>
      <c r="AC55" s="41">
        <f t="shared" ref="AC55" si="144">AC56</f>
        <v>0</v>
      </c>
      <c r="AD55" s="41">
        <f t="shared" ref="AD55" si="145">AD56</f>
        <v>2944.92</v>
      </c>
      <c r="AE55" s="41">
        <f t="shared" ref="AE55" si="146">AE56</f>
        <v>0</v>
      </c>
      <c r="AF55" s="29"/>
      <c r="AG55" s="71">
        <f t="shared" si="31"/>
        <v>1146.8400000000001</v>
      </c>
    </row>
    <row r="56" spans="1:33" ht="18.75" x14ac:dyDescent="0.3">
      <c r="A56" s="15" t="s">
        <v>33</v>
      </c>
      <c r="B56" s="41">
        <f>B50+B53</f>
        <v>43990.080000000002</v>
      </c>
      <c r="C56" s="41">
        <f>C50+C53</f>
        <v>10859.3</v>
      </c>
      <c r="D56" s="41">
        <f t="shared" ref="D56:E56" si="147">D50+D53</f>
        <v>2495.7199999999998</v>
      </c>
      <c r="E56" s="41">
        <f t="shared" si="147"/>
        <v>9712.4599999999991</v>
      </c>
      <c r="F56" s="32">
        <f t="shared" ref="F56" si="148">E56/B56*100</f>
        <v>22.078750481926832</v>
      </c>
      <c r="G56" s="47">
        <f t="shared" ref="G56" si="149">E56/C56*100</f>
        <v>89.439098284419799</v>
      </c>
      <c r="H56" s="41">
        <f t="shared" ref="H56:AE56" si="150">H50+H53</f>
        <v>3660.54</v>
      </c>
      <c r="I56" s="41">
        <f t="shared" si="150"/>
        <v>1969.33</v>
      </c>
      <c r="J56" s="41">
        <f t="shared" si="150"/>
        <v>3604.99</v>
      </c>
      <c r="K56" s="41">
        <f t="shared" si="150"/>
        <v>4117.49</v>
      </c>
      <c r="L56" s="41">
        <f t="shared" si="150"/>
        <v>3593.7699999999995</v>
      </c>
      <c r="M56" s="41">
        <f t="shared" si="150"/>
        <v>3625.6400000000003</v>
      </c>
      <c r="N56" s="41">
        <f t="shared" si="150"/>
        <v>4026.68</v>
      </c>
      <c r="O56" s="41">
        <f t="shared" si="150"/>
        <v>0</v>
      </c>
      <c r="P56" s="41">
        <f t="shared" si="150"/>
        <v>3807.7999999999997</v>
      </c>
      <c r="Q56" s="41">
        <f t="shared" si="150"/>
        <v>0</v>
      </c>
      <c r="R56" s="41">
        <f t="shared" si="150"/>
        <v>3438.41</v>
      </c>
      <c r="S56" s="41">
        <f t="shared" si="150"/>
        <v>0</v>
      </c>
      <c r="T56" s="41">
        <f t="shared" si="150"/>
        <v>4284.5</v>
      </c>
      <c r="U56" s="41">
        <f t="shared" si="150"/>
        <v>0</v>
      </c>
      <c r="V56" s="41">
        <f t="shared" si="150"/>
        <v>3513.43</v>
      </c>
      <c r="W56" s="41">
        <f t="shared" si="150"/>
        <v>0</v>
      </c>
      <c r="X56" s="41">
        <f t="shared" si="150"/>
        <v>3490.67</v>
      </c>
      <c r="Y56" s="41">
        <f t="shared" si="150"/>
        <v>0</v>
      </c>
      <c r="Z56" s="41">
        <f t="shared" si="150"/>
        <v>4060.77</v>
      </c>
      <c r="AA56" s="41">
        <f t="shared" si="150"/>
        <v>0</v>
      </c>
      <c r="AB56" s="41">
        <f t="shared" si="150"/>
        <v>3563.6</v>
      </c>
      <c r="AC56" s="41">
        <f t="shared" si="150"/>
        <v>0</v>
      </c>
      <c r="AD56" s="41">
        <f t="shared" si="150"/>
        <v>2944.92</v>
      </c>
      <c r="AE56" s="41">
        <f t="shared" si="150"/>
        <v>0</v>
      </c>
      <c r="AF56" s="29"/>
      <c r="AG56" s="71">
        <f t="shared" si="31"/>
        <v>1146.8400000000001</v>
      </c>
    </row>
    <row r="57" spans="1:33" ht="37.5" x14ac:dyDescent="0.3">
      <c r="A57" s="28" t="s">
        <v>76</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71">
        <f t="shared" si="31"/>
        <v>0</v>
      </c>
    </row>
    <row r="58" spans="1:33" ht="18.75" x14ac:dyDescent="0.3">
      <c r="A58" s="8" t="s">
        <v>31</v>
      </c>
      <c r="B58" s="41">
        <f>B59</f>
        <v>43990.080000000002</v>
      </c>
      <c r="C58" s="41">
        <f t="shared" ref="C58:E58" si="151">C59</f>
        <v>10859.3</v>
      </c>
      <c r="D58" s="41">
        <f t="shared" si="151"/>
        <v>2495.7199999999998</v>
      </c>
      <c r="E58" s="41">
        <f t="shared" si="151"/>
        <v>9712.4599999999991</v>
      </c>
      <c r="F58" s="32">
        <f t="shared" ref="F58:F59" si="152">E58/B58*100</f>
        <v>22.078750481926832</v>
      </c>
      <c r="G58" s="47">
        <f t="shared" ref="G58:G59" si="153">E58/C58*100</f>
        <v>89.439098284419799</v>
      </c>
      <c r="H58" s="41">
        <f t="shared" ref="H58" si="154">H59</f>
        <v>3660.54</v>
      </c>
      <c r="I58" s="41">
        <f t="shared" ref="I58" si="155">I59</f>
        <v>1969.33</v>
      </c>
      <c r="J58" s="41">
        <f t="shared" ref="J58" si="156">J59</f>
        <v>3604.99</v>
      </c>
      <c r="K58" s="41">
        <f t="shared" ref="K58" si="157">K59</f>
        <v>4117.49</v>
      </c>
      <c r="L58" s="41">
        <f t="shared" ref="L58" si="158">L59</f>
        <v>3593.7699999999995</v>
      </c>
      <c r="M58" s="41">
        <f t="shared" ref="M58" si="159">M59</f>
        <v>2727.01</v>
      </c>
      <c r="N58" s="41">
        <f t="shared" ref="N58" si="160">N59</f>
        <v>4026.68</v>
      </c>
      <c r="O58" s="41">
        <f t="shared" ref="O58" si="161">O59</f>
        <v>0</v>
      </c>
      <c r="P58" s="41">
        <f t="shared" ref="P58" si="162">P59</f>
        <v>3807.7999999999997</v>
      </c>
      <c r="Q58" s="41">
        <f t="shared" ref="Q58" si="163">Q59</f>
        <v>0</v>
      </c>
      <c r="R58" s="41">
        <f t="shared" ref="R58" si="164">R59</f>
        <v>3438.41</v>
      </c>
      <c r="S58" s="41">
        <f t="shared" ref="S58" si="165">S59</f>
        <v>0</v>
      </c>
      <c r="T58" s="41">
        <f t="shared" ref="T58" si="166">T59</f>
        <v>4284.5</v>
      </c>
      <c r="U58" s="41">
        <f t="shared" ref="U58" si="167">U59</f>
        <v>0</v>
      </c>
      <c r="V58" s="41">
        <f t="shared" ref="V58" si="168">V59</f>
        <v>3513.43</v>
      </c>
      <c r="W58" s="41">
        <f t="shared" ref="W58" si="169">W59</f>
        <v>0</v>
      </c>
      <c r="X58" s="41">
        <f t="shared" ref="X58" si="170">X59</f>
        <v>3490.67</v>
      </c>
      <c r="Y58" s="41">
        <f t="shared" ref="Y58" si="171">Y59</f>
        <v>0</v>
      </c>
      <c r="Z58" s="41">
        <f t="shared" ref="Z58" si="172">Z59</f>
        <v>4060.77</v>
      </c>
      <c r="AA58" s="41">
        <f t="shared" ref="AA58" si="173">AA59</f>
        <v>0</v>
      </c>
      <c r="AB58" s="41">
        <f t="shared" ref="AB58" si="174">AB59</f>
        <v>3563.6</v>
      </c>
      <c r="AC58" s="41">
        <f t="shared" ref="AC58" si="175">AC59</f>
        <v>0</v>
      </c>
      <c r="AD58" s="41">
        <f t="shared" ref="AD58" si="176">AD59</f>
        <v>2944.92</v>
      </c>
      <c r="AE58" s="41">
        <f t="shared" ref="AE58" si="177">AE59</f>
        <v>0</v>
      </c>
      <c r="AF58" s="29"/>
      <c r="AG58" s="71">
        <f t="shared" si="31"/>
        <v>1146.8400000000001</v>
      </c>
    </row>
    <row r="59" spans="1:33" ht="18.75" x14ac:dyDescent="0.3">
      <c r="A59" s="13" t="s">
        <v>33</v>
      </c>
      <c r="B59" s="41">
        <f>B56</f>
        <v>43990.080000000002</v>
      </c>
      <c r="C59" s="41">
        <f>C56</f>
        <v>10859.3</v>
      </c>
      <c r="D59" s="41">
        <f t="shared" ref="D59:E59" si="178">D56</f>
        <v>2495.7199999999998</v>
      </c>
      <c r="E59" s="41">
        <f t="shared" si="178"/>
        <v>9712.4599999999991</v>
      </c>
      <c r="F59" s="32">
        <f t="shared" si="152"/>
        <v>22.078750481926832</v>
      </c>
      <c r="G59" s="47">
        <f t="shared" si="153"/>
        <v>89.439098284419799</v>
      </c>
      <c r="H59" s="41">
        <f t="shared" ref="H59:AE59" si="179">H56</f>
        <v>3660.54</v>
      </c>
      <c r="I59" s="41">
        <f t="shared" si="179"/>
        <v>1969.33</v>
      </c>
      <c r="J59" s="41">
        <f t="shared" si="179"/>
        <v>3604.99</v>
      </c>
      <c r="K59" s="41">
        <f t="shared" si="179"/>
        <v>4117.49</v>
      </c>
      <c r="L59" s="41">
        <f t="shared" si="179"/>
        <v>3593.7699999999995</v>
      </c>
      <c r="M59" s="41">
        <v>2727.01</v>
      </c>
      <c r="N59" s="41">
        <f t="shared" si="179"/>
        <v>4026.68</v>
      </c>
      <c r="O59" s="41">
        <f t="shared" si="179"/>
        <v>0</v>
      </c>
      <c r="P59" s="41">
        <f t="shared" si="179"/>
        <v>3807.7999999999997</v>
      </c>
      <c r="Q59" s="41">
        <f t="shared" si="179"/>
        <v>0</v>
      </c>
      <c r="R59" s="41">
        <f t="shared" si="179"/>
        <v>3438.41</v>
      </c>
      <c r="S59" s="41">
        <f t="shared" si="179"/>
        <v>0</v>
      </c>
      <c r="T59" s="41">
        <f t="shared" si="179"/>
        <v>4284.5</v>
      </c>
      <c r="U59" s="41">
        <f t="shared" si="179"/>
        <v>0</v>
      </c>
      <c r="V59" s="41">
        <f t="shared" si="179"/>
        <v>3513.43</v>
      </c>
      <c r="W59" s="41">
        <f t="shared" si="179"/>
        <v>0</v>
      </c>
      <c r="X59" s="41">
        <f t="shared" si="179"/>
        <v>3490.67</v>
      </c>
      <c r="Y59" s="41">
        <f t="shared" si="179"/>
        <v>0</v>
      </c>
      <c r="Z59" s="41">
        <f t="shared" si="179"/>
        <v>4060.77</v>
      </c>
      <c r="AA59" s="41">
        <f t="shared" si="179"/>
        <v>0</v>
      </c>
      <c r="AB59" s="41">
        <f t="shared" si="179"/>
        <v>3563.6</v>
      </c>
      <c r="AC59" s="41">
        <f t="shared" si="179"/>
        <v>0</v>
      </c>
      <c r="AD59" s="41">
        <f t="shared" si="179"/>
        <v>2944.92</v>
      </c>
      <c r="AE59" s="41">
        <f t="shared" si="179"/>
        <v>0</v>
      </c>
      <c r="AF59" s="29"/>
      <c r="AG59" s="71">
        <f t="shared" si="31"/>
        <v>1146.8400000000001</v>
      </c>
    </row>
    <row r="60" spans="1:33" ht="37.5" x14ac:dyDescent="0.3">
      <c r="A60" s="56" t="s">
        <v>63</v>
      </c>
      <c r="B60" s="41">
        <f>B61+B62</f>
        <v>105536.83</v>
      </c>
      <c r="C60" s="41">
        <f t="shared" ref="C60:E60" si="180">C61+C62</f>
        <v>13122.55</v>
      </c>
      <c r="D60" s="41">
        <f t="shared" si="180"/>
        <v>4758.9699999999993</v>
      </c>
      <c r="E60" s="41">
        <f t="shared" si="180"/>
        <v>11975.71</v>
      </c>
      <c r="F60" s="32">
        <f t="shared" ref="F60:F61" si="181">E60/B60*100</f>
        <v>11.347422506436851</v>
      </c>
      <c r="G60" s="47">
        <f t="shared" ref="G60:G61" si="182">E60/C60*100</f>
        <v>91.260540062716473</v>
      </c>
      <c r="H60" s="41">
        <f>H61+H62</f>
        <v>4101.84</v>
      </c>
      <c r="I60" s="41">
        <f t="shared" ref="I60:AE60" si="183">I61+I62</f>
        <v>2410.63</v>
      </c>
      <c r="J60" s="41">
        <f t="shared" si="183"/>
        <v>5194.4599999999991</v>
      </c>
      <c r="K60" s="41">
        <f t="shared" si="183"/>
        <v>5706.96</v>
      </c>
      <c r="L60" s="41">
        <f t="shared" si="183"/>
        <v>3826.2499999999995</v>
      </c>
      <c r="M60" s="41">
        <f t="shared" si="183"/>
        <v>3858.1200000000003</v>
      </c>
      <c r="N60" s="41">
        <f t="shared" si="183"/>
        <v>4261.8599999999997</v>
      </c>
      <c r="O60" s="41">
        <f t="shared" si="183"/>
        <v>0</v>
      </c>
      <c r="P60" s="41">
        <f t="shared" si="183"/>
        <v>4044.6699999999996</v>
      </c>
      <c r="Q60" s="41">
        <f t="shared" si="183"/>
        <v>0</v>
      </c>
      <c r="R60" s="41">
        <f t="shared" si="183"/>
        <v>3739.1899999999996</v>
      </c>
      <c r="S60" s="41">
        <f t="shared" si="183"/>
        <v>0</v>
      </c>
      <c r="T60" s="41">
        <f t="shared" si="183"/>
        <v>4859.28</v>
      </c>
      <c r="U60" s="41">
        <f t="shared" si="183"/>
        <v>0</v>
      </c>
      <c r="V60" s="41">
        <f t="shared" si="183"/>
        <v>4134.41</v>
      </c>
      <c r="W60" s="41">
        <f t="shared" si="183"/>
        <v>0</v>
      </c>
      <c r="X60" s="41">
        <f t="shared" si="183"/>
        <v>3949.45</v>
      </c>
      <c r="Y60" s="41">
        <f t="shared" si="183"/>
        <v>0</v>
      </c>
      <c r="Z60" s="41">
        <f t="shared" si="183"/>
        <v>4334.3500000000004</v>
      </c>
      <c r="AA60" s="41">
        <f t="shared" si="183"/>
        <v>0</v>
      </c>
      <c r="AB60" s="41">
        <f t="shared" si="183"/>
        <v>3815.37</v>
      </c>
      <c r="AC60" s="41">
        <f t="shared" si="183"/>
        <v>0</v>
      </c>
      <c r="AD60" s="41">
        <f t="shared" si="183"/>
        <v>59275.7</v>
      </c>
      <c r="AE60" s="41">
        <f t="shared" si="183"/>
        <v>0</v>
      </c>
      <c r="AF60" s="29"/>
      <c r="AG60" s="71">
        <f t="shared" si="31"/>
        <v>1146.8400000000001</v>
      </c>
    </row>
    <row r="61" spans="1:33" ht="18.75" x14ac:dyDescent="0.3">
      <c r="A61" s="15" t="s">
        <v>33</v>
      </c>
      <c r="B61" s="41">
        <f>B23+B40+B56</f>
        <v>50579.83</v>
      </c>
      <c r="C61" s="41">
        <f>C23+C40+C56</f>
        <v>11765.55</v>
      </c>
      <c r="D61" s="41">
        <f t="shared" ref="D61:E61" si="184">D23+D40+D56</f>
        <v>3401.97</v>
      </c>
      <c r="E61" s="41">
        <f t="shared" si="184"/>
        <v>10618.71</v>
      </c>
      <c r="F61" s="32">
        <f t="shared" si="181"/>
        <v>20.993961426916616</v>
      </c>
      <c r="G61" s="47">
        <f t="shared" si="182"/>
        <v>90.252559378864561</v>
      </c>
      <c r="H61" s="41">
        <f>H23+H40+H56</f>
        <v>4101.84</v>
      </c>
      <c r="I61" s="41">
        <f t="shared" ref="I61:AE61" si="185">I23+I40+I56</f>
        <v>2410.63</v>
      </c>
      <c r="J61" s="41">
        <f t="shared" si="185"/>
        <v>3837.4599999999996</v>
      </c>
      <c r="K61" s="41">
        <f t="shared" si="185"/>
        <v>4349.96</v>
      </c>
      <c r="L61" s="41">
        <f t="shared" si="185"/>
        <v>3826.2499999999995</v>
      </c>
      <c r="M61" s="41">
        <f t="shared" si="185"/>
        <v>3858.1200000000003</v>
      </c>
      <c r="N61" s="41">
        <f t="shared" si="185"/>
        <v>4261.8599999999997</v>
      </c>
      <c r="O61" s="41">
        <f t="shared" si="185"/>
        <v>0</v>
      </c>
      <c r="P61" s="41">
        <f t="shared" si="185"/>
        <v>4044.6699999999996</v>
      </c>
      <c r="Q61" s="41">
        <f t="shared" si="185"/>
        <v>0</v>
      </c>
      <c r="R61" s="41">
        <f t="shared" si="185"/>
        <v>3739.1899999999996</v>
      </c>
      <c r="S61" s="41">
        <f t="shared" si="185"/>
        <v>0</v>
      </c>
      <c r="T61" s="41">
        <f t="shared" si="185"/>
        <v>4859.28</v>
      </c>
      <c r="U61" s="41">
        <f t="shared" si="185"/>
        <v>0</v>
      </c>
      <c r="V61" s="41">
        <f t="shared" si="185"/>
        <v>4134.41</v>
      </c>
      <c r="W61" s="41">
        <f t="shared" si="185"/>
        <v>0</v>
      </c>
      <c r="X61" s="41">
        <f t="shared" si="185"/>
        <v>3949.45</v>
      </c>
      <c r="Y61" s="41">
        <f t="shared" si="185"/>
        <v>0</v>
      </c>
      <c r="Z61" s="41">
        <f t="shared" si="185"/>
        <v>4334.3500000000004</v>
      </c>
      <c r="AA61" s="41">
        <f t="shared" si="185"/>
        <v>0</v>
      </c>
      <c r="AB61" s="41">
        <f t="shared" si="185"/>
        <v>3815.37</v>
      </c>
      <c r="AC61" s="41">
        <f t="shared" si="185"/>
        <v>0</v>
      </c>
      <c r="AD61" s="41">
        <f t="shared" si="185"/>
        <v>5675.7000000000007</v>
      </c>
      <c r="AE61" s="41">
        <f t="shared" si="185"/>
        <v>0</v>
      </c>
      <c r="AF61" s="29"/>
      <c r="AG61" s="71">
        <f t="shared" si="31"/>
        <v>1146.8400000000001</v>
      </c>
    </row>
    <row r="62" spans="1:33" ht="18.75" x14ac:dyDescent="0.3">
      <c r="A62" s="14" t="s">
        <v>74</v>
      </c>
      <c r="B62" s="41">
        <f>B41</f>
        <v>54957</v>
      </c>
      <c r="C62" s="41">
        <f>C41</f>
        <v>1357</v>
      </c>
      <c r="D62" s="41">
        <f t="shared" ref="D62:E62" si="186">D41</f>
        <v>1357</v>
      </c>
      <c r="E62" s="41">
        <f t="shared" si="186"/>
        <v>1357</v>
      </c>
      <c r="F62" s="32">
        <f t="shared" ref="F62" si="187">E62/B62*100</f>
        <v>2.4692031952253579</v>
      </c>
      <c r="G62" s="47">
        <f>E62/C62*100</f>
        <v>100</v>
      </c>
      <c r="H62" s="41">
        <f>H41</f>
        <v>0</v>
      </c>
      <c r="I62" s="41">
        <f t="shared" ref="I62:AE62" si="188">I41</f>
        <v>0</v>
      </c>
      <c r="J62" s="41">
        <f t="shared" si="188"/>
        <v>1357</v>
      </c>
      <c r="K62" s="41">
        <f t="shared" si="188"/>
        <v>1357</v>
      </c>
      <c r="L62" s="41">
        <f t="shared" si="188"/>
        <v>0</v>
      </c>
      <c r="M62" s="41">
        <f t="shared" si="188"/>
        <v>0</v>
      </c>
      <c r="N62" s="41">
        <f t="shared" si="188"/>
        <v>0</v>
      </c>
      <c r="O62" s="41">
        <f t="shared" si="188"/>
        <v>0</v>
      </c>
      <c r="P62" s="41">
        <f t="shared" si="188"/>
        <v>0</v>
      </c>
      <c r="Q62" s="41">
        <f t="shared" si="188"/>
        <v>0</v>
      </c>
      <c r="R62" s="41">
        <f t="shared" si="188"/>
        <v>0</v>
      </c>
      <c r="S62" s="41">
        <f t="shared" si="188"/>
        <v>0</v>
      </c>
      <c r="T62" s="41">
        <f t="shared" si="188"/>
        <v>0</v>
      </c>
      <c r="U62" s="41">
        <f t="shared" si="188"/>
        <v>0</v>
      </c>
      <c r="V62" s="41">
        <f t="shared" si="188"/>
        <v>0</v>
      </c>
      <c r="W62" s="41">
        <f t="shared" si="188"/>
        <v>0</v>
      </c>
      <c r="X62" s="41">
        <f t="shared" si="188"/>
        <v>0</v>
      </c>
      <c r="Y62" s="41">
        <f t="shared" si="188"/>
        <v>0</v>
      </c>
      <c r="Z62" s="41">
        <f t="shared" si="188"/>
        <v>0</v>
      </c>
      <c r="AA62" s="41">
        <f t="shared" si="188"/>
        <v>0</v>
      </c>
      <c r="AB62" s="41">
        <f t="shared" si="188"/>
        <v>0</v>
      </c>
      <c r="AC62" s="41">
        <f t="shared" si="188"/>
        <v>0</v>
      </c>
      <c r="AD62" s="41">
        <f t="shared" si="188"/>
        <v>53600</v>
      </c>
      <c r="AE62" s="41">
        <f t="shared" si="188"/>
        <v>0</v>
      </c>
      <c r="AF62" s="29"/>
      <c r="AG62" s="71">
        <f t="shared" si="31"/>
        <v>0</v>
      </c>
    </row>
    <row r="63" spans="1:33" ht="37.5" x14ac:dyDescent="0.3">
      <c r="A63" s="57" t="s">
        <v>100</v>
      </c>
      <c r="B63" s="41">
        <f>B64+B65</f>
        <v>105536.83</v>
      </c>
      <c r="C63" s="813">
        <f>C64+C65</f>
        <v>13122.55</v>
      </c>
      <c r="D63" s="813">
        <f t="shared" ref="D63:E63" si="189">D64+D65</f>
        <v>4758.9699999999993</v>
      </c>
      <c r="E63" s="813">
        <f t="shared" si="189"/>
        <v>11975.71</v>
      </c>
      <c r="F63" s="32">
        <f t="shared" ref="F63:F65" si="190">E63/B63*100</f>
        <v>11.347422506436851</v>
      </c>
      <c r="G63" s="47">
        <f t="shared" ref="G63:G65" si="191">E63/C63*100</f>
        <v>91.260540062716473</v>
      </c>
      <c r="H63" s="41">
        <f t="shared" ref="H63" si="192">H64+H65</f>
        <v>4101.84</v>
      </c>
      <c r="I63" s="41">
        <f t="shared" ref="I63" si="193">I64+I65</f>
        <v>2410.63</v>
      </c>
      <c r="J63" s="41">
        <f t="shared" ref="J63" si="194">J64+J65</f>
        <v>5194.4599999999991</v>
      </c>
      <c r="K63" s="41">
        <f t="shared" ref="K63" si="195">K64+K65</f>
        <v>5706.96</v>
      </c>
      <c r="L63" s="41">
        <f t="shared" ref="L63" si="196">L64+L65</f>
        <v>3826.2499999999995</v>
      </c>
      <c r="M63" s="41">
        <f t="shared" ref="M63" si="197">M64+M65</f>
        <v>3858.1200000000003</v>
      </c>
      <c r="N63" s="41">
        <f t="shared" ref="N63" si="198">N64+N65</f>
        <v>4261.8599999999997</v>
      </c>
      <c r="O63" s="41">
        <f t="shared" ref="O63" si="199">O64+O65</f>
        <v>0</v>
      </c>
      <c r="P63" s="41">
        <f t="shared" ref="P63" si="200">P64+P65</f>
        <v>4044.6699999999996</v>
      </c>
      <c r="Q63" s="41">
        <f t="shared" ref="Q63" si="201">Q64+Q65</f>
        <v>0</v>
      </c>
      <c r="R63" s="41">
        <f t="shared" ref="R63" si="202">R64+R65</f>
        <v>3739.1899999999996</v>
      </c>
      <c r="S63" s="41">
        <f t="shared" ref="S63" si="203">S64+S65</f>
        <v>0</v>
      </c>
      <c r="T63" s="41">
        <f t="shared" ref="T63" si="204">T64+T65</f>
        <v>4859.28</v>
      </c>
      <c r="U63" s="41">
        <f t="shared" ref="U63" si="205">U64+U65</f>
        <v>0</v>
      </c>
      <c r="V63" s="41">
        <f t="shared" ref="V63" si="206">V64+V65</f>
        <v>4134.41</v>
      </c>
      <c r="W63" s="41">
        <f t="shared" ref="W63" si="207">W64+W65</f>
        <v>0</v>
      </c>
      <c r="X63" s="41">
        <f t="shared" ref="X63" si="208">X64+X65</f>
        <v>3949.45</v>
      </c>
      <c r="Y63" s="41">
        <f t="shared" ref="Y63" si="209">Y64+Y65</f>
        <v>0</v>
      </c>
      <c r="Z63" s="41">
        <f t="shared" ref="Z63" si="210">Z64+Z65</f>
        <v>4334.3500000000004</v>
      </c>
      <c r="AA63" s="41">
        <f t="shared" ref="AA63" si="211">AA64+AA65</f>
        <v>0</v>
      </c>
      <c r="AB63" s="41">
        <f t="shared" ref="AB63" si="212">AB64+AB65</f>
        <v>3815.37</v>
      </c>
      <c r="AC63" s="41">
        <f t="shared" ref="AC63" si="213">AC64+AC65</f>
        <v>0</v>
      </c>
      <c r="AD63" s="41">
        <f t="shared" ref="AD63" si="214">AD64+AD65</f>
        <v>59275.7</v>
      </c>
      <c r="AE63" s="41">
        <f t="shared" ref="AE63" si="215">AE64+AE65</f>
        <v>0</v>
      </c>
      <c r="AF63" s="29"/>
      <c r="AG63" s="71">
        <f t="shared" si="31"/>
        <v>1146.8400000000001</v>
      </c>
    </row>
    <row r="64" spans="1:33" ht="18.75" x14ac:dyDescent="0.3">
      <c r="A64" s="15" t="s">
        <v>33</v>
      </c>
      <c r="B64" s="41">
        <f>B61</f>
        <v>50579.83</v>
      </c>
      <c r="C64" s="41">
        <f>C61</f>
        <v>11765.55</v>
      </c>
      <c r="D64" s="41">
        <f t="shared" ref="D64:E64" si="216">D61</f>
        <v>3401.97</v>
      </c>
      <c r="E64" s="41">
        <f t="shared" si="216"/>
        <v>10618.71</v>
      </c>
      <c r="F64" s="32">
        <f t="shared" si="190"/>
        <v>20.993961426916616</v>
      </c>
      <c r="G64" s="47">
        <f t="shared" si="191"/>
        <v>90.252559378864561</v>
      </c>
      <c r="H64" s="41">
        <f t="shared" ref="H64:AE64" si="217">H61</f>
        <v>4101.84</v>
      </c>
      <c r="I64" s="41">
        <f t="shared" si="217"/>
        <v>2410.63</v>
      </c>
      <c r="J64" s="41">
        <f t="shared" si="217"/>
        <v>3837.4599999999996</v>
      </c>
      <c r="K64" s="41">
        <f t="shared" si="217"/>
        <v>4349.96</v>
      </c>
      <c r="L64" s="41">
        <f t="shared" si="217"/>
        <v>3826.2499999999995</v>
      </c>
      <c r="M64" s="41">
        <f t="shared" si="217"/>
        <v>3858.1200000000003</v>
      </c>
      <c r="N64" s="41">
        <f t="shared" si="217"/>
        <v>4261.8599999999997</v>
      </c>
      <c r="O64" s="41">
        <f t="shared" si="217"/>
        <v>0</v>
      </c>
      <c r="P64" s="41">
        <f t="shared" si="217"/>
        <v>4044.6699999999996</v>
      </c>
      <c r="Q64" s="41">
        <f t="shared" si="217"/>
        <v>0</v>
      </c>
      <c r="R64" s="41">
        <f t="shared" si="217"/>
        <v>3739.1899999999996</v>
      </c>
      <c r="S64" s="41">
        <f t="shared" si="217"/>
        <v>0</v>
      </c>
      <c r="T64" s="41">
        <f t="shared" si="217"/>
        <v>4859.28</v>
      </c>
      <c r="U64" s="41">
        <f t="shared" si="217"/>
        <v>0</v>
      </c>
      <c r="V64" s="41">
        <f t="shared" si="217"/>
        <v>4134.41</v>
      </c>
      <c r="W64" s="41">
        <f t="shared" si="217"/>
        <v>0</v>
      </c>
      <c r="X64" s="41">
        <f t="shared" si="217"/>
        <v>3949.45</v>
      </c>
      <c r="Y64" s="41">
        <f t="shared" si="217"/>
        <v>0</v>
      </c>
      <c r="Z64" s="41">
        <f t="shared" si="217"/>
        <v>4334.3500000000004</v>
      </c>
      <c r="AA64" s="41">
        <f t="shared" si="217"/>
        <v>0</v>
      </c>
      <c r="AB64" s="41">
        <f t="shared" si="217"/>
        <v>3815.37</v>
      </c>
      <c r="AC64" s="41">
        <f t="shared" si="217"/>
        <v>0</v>
      </c>
      <c r="AD64" s="41">
        <f t="shared" si="217"/>
        <v>5675.7000000000007</v>
      </c>
      <c r="AE64" s="41">
        <f t="shared" si="217"/>
        <v>0</v>
      </c>
      <c r="AF64" s="29"/>
      <c r="AG64" s="71">
        <f t="shared" si="31"/>
        <v>1146.8400000000001</v>
      </c>
    </row>
    <row r="65" spans="1:33" ht="18.75" x14ac:dyDescent="0.3">
      <c r="A65" s="14" t="s">
        <v>74</v>
      </c>
      <c r="B65" s="41">
        <f>B62</f>
        <v>54957</v>
      </c>
      <c r="C65" s="41">
        <f t="shared" ref="C65:E65" si="218">C62</f>
        <v>1357</v>
      </c>
      <c r="D65" s="41">
        <f t="shared" si="218"/>
        <v>1357</v>
      </c>
      <c r="E65" s="41">
        <f t="shared" si="218"/>
        <v>1357</v>
      </c>
      <c r="F65" s="32">
        <f t="shared" si="190"/>
        <v>2.4692031952253579</v>
      </c>
      <c r="G65" s="47">
        <f t="shared" si="191"/>
        <v>100</v>
      </c>
      <c r="H65" s="41">
        <f t="shared" ref="H65:AE65" si="219">H62</f>
        <v>0</v>
      </c>
      <c r="I65" s="41">
        <f t="shared" si="219"/>
        <v>0</v>
      </c>
      <c r="J65" s="41">
        <f t="shared" si="219"/>
        <v>1357</v>
      </c>
      <c r="K65" s="41">
        <f t="shared" si="219"/>
        <v>1357</v>
      </c>
      <c r="L65" s="41">
        <f t="shared" si="219"/>
        <v>0</v>
      </c>
      <c r="M65" s="41">
        <f t="shared" si="219"/>
        <v>0</v>
      </c>
      <c r="N65" s="41">
        <f t="shared" si="219"/>
        <v>0</v>
      </c>
      <c r="O65" s="41">
        <f t="shared" si="219"/>
        <v>0</v>
      </c>
      <c r="P65" s="41">
        <f t="shared" si="219"/>
        <v>0</v>
      </c>
      <c r="Q65" s="41">
        <f t="shared" si="219"/>
        <v>0</v>
      </c>
      <c r="R65" s="41">
        <f t="shared" si="219"/>
        <v>0</v>
      </c>
      <c r="S65" s="41">
        <f t="shared" si="219"/>
        <v>0</v>
      </c>
      <c r="T65" s="41">
        <f t="shared" si="219"/>
        <v>0</v>
      </c>
      <c r="U65" s="41">
        <f t="shared" si="219"/>
        <v>0</v>
      </c>
      <c r="V65" s="41">
        <f t="shared" si="219"/>
        <v>0</v>
      </c>
      <c r="W65" s="41">
        <f t="shared" si="219"/>
        <v>0</v>
      </c>
      <c r="X65" s="41">
        <f t="shared" si="219"/>
        <v>0</v>
      </c>
      <c r="Y65" s="41">
        <f t="shared" si="219"/>
        <v>0</v>
      </c>
      <c r="Z65" s="41">
        <f t="shared" si="219"/>
        <v>0</v>
      </c>
      <c r="AA65" s="41">
        <f t="shared" si="219"/>
        <v>0</v>
      </c>
      <c r="AB65" s="41">
        <f t="shared" si="219"/>
        <v>0</v>
      </c>
      <c r="AC65" s="41">
        <f t="shared" si="219"/>
        <v>0</v>
      </c>
      <c r="AD65" s="41">
        <f t="shared" si="219"/>
        <v>53600</v>
      </c>
      <c r="AE65" s="41">
        <f t="shared" si="219"/>
        <v>0</v>
      </c>
      <c r="AF65" s="29"/>
      <c r="AG65" s="71">
        <f t="shared" si="31"/>
        <v>0</v>
      </c>
    </row>
    <row r="66" spans="1:33" ht="18.75"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8" spans="1:33" ht="37.5" x14ac:dyDescent="0.3">
      <c r="A68" s="9" t="s">
        <v>71</v>
      </c>
      <c r="B68" s="26"/>
      <c r="C68" s="26"/>
      <c r="D68" s="23" t="s">
        <v>70</v>
      </c>
    </row>
    <row r="69" spans="1:33" ht="18.75" x14ac:dyDescent="0.3">
      <c r="A69" s="9"/>
      <c r="B69" s="20" t="s">
        <v>68</v>
      </c>
      <c r="C69" s="20"/>
      <c r="D69" s="22"/>
    </row>
    <row r="70" spans="1:33" ht="37.5" x14ac:dyDescent="0.3">
      <c r="A70" s="657" t="s">
        <v>603</v>
      </c>
      <c r="B70" s="657"/>
      <c r="C70" s="657"/>
      <c r="D70" s="658"/>
    </row>
  </sheetData>
  <customSheetViews>
    <customSheetView guid="{533DC55B-6AD4-4674-9488-685EF2039F3E}" scale="60">
      <pane xSplit="1" ySplit="6" topLeftCell="B55" activePane="bottomRight" state="frozen"/>
      <selection pane="bottomRight" activeCell="A91" sqref="A91"/>
      <pageMargins left="0.7" right="0.7" top="0.75" bottom="0.75" header="0.3" footer="0.3"/>
      <pageSetup paperSize="9" orientation="portrait" r:id="rId1"/>
    </customSheetView>
    <customSheetView guid="{85F4575B-DBC5-482A-9916-255D8F0BC94E}" scale="60">
      <pane xSplit="1" ySplit="6" topLeftCell="B55" activePane="bottomRight" state="frozen"/>
      <selection pane="bottomRight" activeCell="A91" sqref="A91"/>
      <pageMargins left="0.7" right="0.7" top="0.75" bottom="0.75" header="0.3" footer="0.3"/>
      <pageSetup paperSize="9" orientation="portrait" r:id="rId2"/>
    </customSheetView>
    <customSheetView guid="{B1BF08D1-D416-4B47-ADD0-4F59132DC9E8}" scale="60">
      <pane xSplit="1" ySplit="6" topLeftCell="B49" activePane="bottomRight" state="frozen"/>
      <selection pane="bottomRight" activeCell="E6" sqref="E6"/>
      <pageMargins left="0.7" right="0.7" top="0.75" bottom="0.75" header="0.3" footer="0.3"/>
      <pageSetup paperSize="9" orientation="portrait" r:id="rId3"/>
    </customSheetView>
    <customSheetView guid="{4F41B9CC-959D-442C-80B0-1F0DB2C76D27}" scale="60">
      <pane xSplit="1" ySplit="6" topLeftCell="B49" activePane="bottomRight" state="frozen"/>
      <selection pane="bottomRight" activeCell="E6" sqref="E6"/>
      <pageMargins left="0.7" right="0.7" top="0.75" bottom="0.75" header="0.3" footer="0.3"/>
      <pageSetup paperSize="9" orientation="portrait" r:id="rId4"/>
    </customSheetView>
    <customSheetView guid="{602C8EDB-B9EF-4C85-B0D5-0558C3A0ABAB}" scale="60">
      <pane xSplit="1" ySplit="6" topLeftCell="B7" activePane="bottomRight" state="frozen"/>
      <selection pane="bottomRight" activeCell="W12" sqref="W12"/>
      <pageMargins left="0.7" right="0.7" top="0.75" bottom="0.75" header="0.3" footer="0.3"/>
      <pageSetup paperSize="9" orientation="portrait" r:id="rId5"/>
    </customSheetView>
    <customSheetView guid="{D01FA037-9AEC-4167-ADB8-2F327C01ECE6}" scale="60">
      <pane xSplit="1" ySplit="6" topLeftCell="B7" activePane="bottomRight" state="frozen"/>
      <selection pane="bottomRight" activeCell="W12" sqref="W12"/>
      <pageMargins left="0.7" right="0.7" top="0.75" bottom="0.75" header="0.3" footer="0.3"/>
      <pageSetup paperSize="9" orientation="portrait" r:id="rId6"/>
    </customSheetView>
    <customSheetView guid="{84867370-1F3E-4368-AF79-FBCE46FFFE92}" scale="60">
      <pane xSplit="1" ySplit="6" topLeftCell="B7" activePane="bottomRight" state="frozen"/>
      <selection pane="bottomRight" activeCell="W12" sqref="W12"/>
      <pageMargins left="0.7" right="0.7" top="0.75" bottom="0.75" header="0.3" footer="0.3"/>
      <pageSetup paperSize="9" orientation="portrait" r:id="rId7"/>
    </customSheetView>
    <customSheetView guid="{0C2B9C2A-7B94-41EF-A2E6-F8AC9A67DE25}" scale="60">
      <pane xSplit="1" ySplit="6" topLeftCell="G7" activePane="bottomRight" state="frozen"/>
      <selection pane="bottomRight" activeCell="W12" sqref="W12"/>
      <pageMargins left="0.7" right="0.7" top="0.75" bottom="0.75" header="0.3" footer="0.3"/>
      <pageSetup paperSize="9" orientation="portrait" r:id="rId8"/>
    </customSheetView>
    <customSheetView guid="{47B983AB-FE5F-4725-860C-A2F29420596D}" scale="60">
      <pane xSplit="1" ySplit="6" topLeftCell="G7" activePane="bottomRight" state="frozen"/>
      <selection pane="bottomRight" activeCell="W12" sqref="W12"/>
      <pageMargins left="0.7" right="0.7" top="0.75" bottom="0.75" header="0.3" footer="0.3"/>
      <pageSetup paperSize="9" orientation="portrait" r:id="rId9"/>
    </customSheetView>
    <customSheetView guid="{DAA8A688-7558-4B5B-8DBD-E2629BD9E9A8}" scale="60">
      <pane xSplit="1" ySplit="6" topLeftCell="G16" activePane="bottomRight" state="frozen"/>
      <selection pane="bottomRight" activeCell="W12" sqref="W12"/>
      <pageMargins left="0.7" right="0.7" top="0.75" bottom="0.75" header="0.3" footer="0.3"/>
      <pageSetup paperSize="9" orientation="portrait" r:id="rId10"/>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11"/>
    </customSheetView>
    <customSheetView guid="{C236B307-BD63-48C4-A75F-B3F3717BF55C}" scale="60">
      <pane xSplit="1" ySplit="6" topLeftCell="G16" activePane="bottomRight" state="frozen"/>
      <selection pane="bottomRight" activeCell="W12" sqref="W12"/>
      <pageMargins left="0.7" right="0.7" top="0.75" bottom="0.75" header="0.3" footer="0.3"/>
      <pageSetup paperSize="9" orientation="portrait" r:id="rId12"/>
    </customSheetView>
    <customSheetView guid="{87218168-6C8E-4D5B-A5E5-DCCC26803AA3}" scale="60">
      <pane xSplit="1" ySplit="6" topLeftCell="G16" activePane="bottomRight" state="frozen"/>
      <selection pane="bottomRight" activeCell="W12" sqref="W12"/>
      <pageMargins left="0.7" right="0.7" top="0.75" bottom="0.75" header="0.3" footer="0.3"/>
      <pageSetup paperSize="9" orientation="portrait" r:id="rId13"/>
    </customSheetView>
    <customSheetView guid="{874882D1-E741-4CCA-BF0D-E72FA60B771D}" scale="60">
      <pane xSplit="1" ySplit="6" topLeftCell="G16" activePane="bottomRight" state="frozen"/>
      <selection pane="bottomRight" activeCell="W12" sqref="W12"/>
      <pageMargins left="0.7" right="0.7" top="0.75" bottom="0.75" header="0.3" footer="0.3"/>
      <pageSetup paperSize="9" orientation="portrait" r:id="rId14"/>
    </customSheetView>
    <customSheetView guid="{B82BA08A-1A30-4F4D-A478-74A6BD09EA97}" scale="60">
      <pane xSplit="1" ySplit="6" topLeftCell="G16" activePane="bottomRight" state="frozen"/>
      <selection pane="bottomRight" activeCell="W12" sqref="W12"/>
      <pageMargins left="0.7" right="0.7" top="0.75" bottom="0.75" header="0.3" footer="0.3"/>
      <pageSetup paperSize="9" orientation="portrait" r:id="rId15"/>
    </customSheetView>
    <customSheetView guid="{4D0DFB57-2CBA-42F2-9A97-C453A6851FBA}" scale="60">
      <pane xSplit="1" ySplit="6" topLeftCell="G7" activePane="bottomRight" state="frozen"/>
      <selection pane="bottomRight" activeCell="W12" sqref="W12"/>
      <pageMargins left="0.7" right="0.7" top="0.75" bottom="0.75" header="0.3" footer="0.3"/>
      <pageSetup paperSize="9" orientation="portrait" r:id="rId16"/>
    </customSheetView>
    <customSheetView guid="{770624BF-07F3-44B6-94C3-4CC447CDD45C}" scale="60">
      <pane xSplit="1" ySplit="6" topLeftCell="G7" activePane="bottomRight" state="frozen"/>
      <selection pane="bottomRight" activeCell="W12" sqref="W12"/>
      <pageMargins left="0.7" right="0.7" top="0.75" bottom="0.75" header="0.3" footer="0.3"/>
      <pageSetup paperSize="9" orientation="portrait" r:id="rId17"/>
    </customSheetView>
    <customSheetView guid="{E508E171-4ED9-4B07-84DF-DA28C60E1969}" scale="60">
      <pane xSplit="1" ySplit="6" topLeftCell="G7" activePane="bottomRight" state="frozen"/>
      <selection pane="bottomRight" activeCell="W12" sqref="W12"/>
      <pageMargins left="0.7" right="0.7" top="0.75" bottom="0.75" header="0.3" footer="0.3"/>
      <pageSetup paperSize="9" orientation="portrait" r:id="rId18"/>
    </customSheetView>
    <customSheetView guid="{74870EE6-26B9-40F7-9DC9-260EF16D8959}" scale="60">
      <pane xSplit="1" ySplit="6" topLeftCell="B7" activePane="bottomRight" state="frozen"/>
      <selection pane="bottomRight" activeCell="W12" sqref="W12"/>
      <pageMargins left="0.7" right="0.7" top="0.75" bottom="0.75" header="0.3" footer="0.3"/>
      <pageSetup paperSize="9" orientation="portrait" r:id="rId19"/>
    </customSheetView>
    <customSheetView guid="{009B3074-D8EC-4952-BF50-43CD64449612}" scale="60">
      <pane xSplit="1" ySplit="6" topLeftCell="B7" activePane="bottomRight" state="frozen"/>
      <selection pane="bottomRight" activeCell="W12" sqref="W12"/>
      <pageMargins left="0.7" right="0.7" top="0.75" bottom="0.75" header="0.3" footer="0.3"/>
      <pageSetup paperSize="9" orientation="portrait" r:id="rId20"/>
    </customSheetView>
    <customSheetView guid="{F679EF4A-C5FD-4B86-B87B-D85968E0F2CA}" scale="60">
      <pane xSplit="1" ySplit="6" topLeftCell="B49" activePane="bottomRight" state="frozen"/>
      <selection pane="bottomRight" activeCell="E6" sqref="E6"/>
      <pageMargins left="0.7" right="0.7" top="0.75" bottom="0.75" header="0.3" footer="0.3"/>
      <pageSetup paperSize="9" orientation="portrait" r:id="rId21"/>
    </customSheetView>
    <customSheetView guid="{959E901C-5DDE-42EE-AE94-AB8976B5E00B}" scale="60">
      <pane xSplit="1" ySplit="6" topLeftCell="B49" activePane="bottomRight" state="frozen"/>
      <selection pane="bottomRight" activeCell="E6" sqref="E6"/>
      <pageMargins left="0.7" right="0.7" top="0.75" bottom="0.75" header="0.3" footer="0.3"/>
      <pageSetup paperSize="9" orientation="portrait" r:id="rId22"/>
    </customSheetView>
    <customSheetView guid="{69DABE6F-6182-4403-A4A2-969F10F1C13A}" scale="60">
      <pane xSplit="1" ySplit="6" topLeftCell="B55" activePane="bottomRight" state="frozen"/>
      <selection pane="bottomRight" activeCell="A91" sqref="A91"/>
      <pageMargins left="0.7" right="0.7" top="0.75" bottom="0.75" header="0.3" footer="0.3"/>
      <pageSetup paperSize="9" orientation="portrait" r:id="rId23"/>
    </customSheetView>
    <customSheetView guid="{09C3E205-981E-4A4E-BE89-8B7044192060}" scale="60">
      <pane xSplit="1" ySplit="6" topLeftCell="B49" activePane="bottomRight" state="frozen"/>
      <selection pane="bottomRight" activeCell="B64" sqref="B64"/>
      <pageMargins left="0.7" right="0.7" top="0.75" bottom="0.75" header="0.3" footer="0.3"/>
      <pageSetup paperSize="9" orientation="portrait" r:id="rId24"/>
    </customSheetView>
    <customSheetView guid="{6A602CB8-B24C-4ED4-B378-B27354BE0A1A}" scale="60">
      <pane xSplit="1" ySplit="6" topLeftCell="B49" activePane="bottomRight" state="frozen"/>
      <selection pane="bottomRight" activeCell="B64" sqref="B64"/>
      <pageMargins left="0.7" right="0.7" top="0.75" bottom="0.75" header="0.3" footer="0.3"/>
      <pageSetup paperSize="9" orientation="portrait" r:id="rId25"/>
    </customSheetView>
    <customSheetView guid="{7C130984-112A-4861-AA43-E2940708E3DC}" scale="60" state="hidden">
      <pane xSplit="1" ySplit="6" topLeftCell="B49" activePane="bottomRight" state="frozen"/>
      <selection pane="bottomRight" activeCell="AF39" sqref="AF39"/>
      <pageMargins left="0.7" right="0.7" top="0.75" bottom="0.75" header="0.3" footer="0.3"/>
      <pageSetup paperSize="9" orientation="portrait" r:id="rId26"/>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 &quot;Безопасность жизнедеятельности населения города Когалыма&quot;"/>
  </hyperlinks>
  <pageMargins left="0.7" right="0.7" top="0.75" bottom="0.75" header="0.3" footer="0.3"/>
  <pageSetup paperSize="9" orientation="portrait" r:id="rId27"/>
  <legacyDrawing r:id="rId2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5"/>
  <sheetViews>
    <sheetView zoomScale="55" zoomScaleNormal="55" workbookViewId="0">
      <pane xSplit="1" ySplit="6" topLeftCell="X54" activePane="bottomRight" state="frozen"/>
      <selection activeCell="AF39" sqref="AF39"/>
      <selection pane="topRight" activeCell="AF39" sqref="AF39"/>
      <selection pane="bottomLeft" activeCell="AF39" sqref="AF39"/>
      <selection pane="bottomRight" activeCell="AF39" sqref="AF39"/>
    </sheetView>
  </sheetViews>
  <sheetFormatPr defaultRowHeight="15.75" x14ac:dyDescent="0.25"/>
  <cols>
    <col min="1" max="1" width="46.140625" style="62" customWidth="1"/>
    <col min="2" max="2" width="18.7109375" bestFit="1" customWidth="1"/>
    <col min="3" max="3" width="17.28515625" bestFit="1" customWidth="1"/>
    <col min="4" max="4" width="21" customWidth="1"/>
    <col min="5" max="5" width="18" customWidth="1"/>
    <col min="6" max="6" width="16.5703125" bestFit="1" customWidth="1"/>
    <col min="7" max="8" width="17.28515625" bestFit="1" customWidth="1"/>
    <col min="9" max="9" width="19.5703125" customWidth="1"/>
    <col min="10" max="12" width="17.28515625" bestFit="1" customWidth="1"/>
    <col min="13" max="13" width="24.28515625"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7.28515625" bestFit="1" customWidth="1"/>
    <col min="25" max="25" width="13.5703125" bestFit="1" customWidth="1"/>
    <col min="26" max="26" width="17.28515625" bestFit="1" customWidth="1"/>
    <col min="27" max="27" width="13.5703125" bestFit="1" customWidth="1"/>
    <col min="28" max="28" width="17.28515625" bestFit="1" customWidth="1"/>
    <col min="29" max="29" width="13.5703125" bestFit="1" customWidth="1"/>
    <col min="30" max="30" width="17" bestFit="1" customWidth="1"/>
    <col min="31" max="31" width="15.42578125" bestFit="1" customWidth="1"/>
    <col min="32" max="32" width="32.140625" customWidth="1"/>
    <col min="33" max="33" width="9.140625" style="777"/>
  </cols>
  <sheetData>
    <row r="1" spans="1:34" ht="18.75" x14ac:dyDescent="0.25">
      <c r="A1" s="900" t="s">
        <v>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row>
    <row r="2" spans="1:34" ht="18.75" x14ac:dyDescent="0.25">
      <c r="A2" s="901" t="s">
        <v>77</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1" t="s">
        <v>1</v>
      </c>
    </row>
    <row r="3" spans="1:34" x14ac:dyDescent="0.25">
      <c r="A3" s="893" t="s">
        <v>2</v>
      </c>
      <c r="B3" s="902" t="s">
        <v>3</v>
      </c>
      <c r="C3" s="902" t="s">
        <v>3</v>
      </c>
      <c r="D3" s="902" t="s">
        <v>4</v>
      </c>
      <c r="E3" s="904" t="s">
        <v>5</v>
      </c>
      <c r="F3" s="896" t="s">
        <v>6</v>
      </c>
      <c r="G3" s="897"/>
      <c r="H3" s="896" t="s">
        <v>7</v>
      </c>
      <c r="I3" s="897"/>
      <c r="J3" s="896" t="s">
        <v>8</v>
      </c>
      <c r="K3" s="897"/>
      <c r="L3" s="896" t="s">
        <v>9</v>
      </c>
      <c r="M3" s="897"/>
      <c r="N3" s="896" t="s">
        <v>10</v>
      </c>
      <c r="O3" s="897"/>
      <c r="P3" s="896" t="s">
        <v>11</v>
      </c>
      <c r="Q3" s="897"/>
      <c r="R3" s="896" t="s">
        <v>12</v>
      </c>
      <c r="S3" s="897"/>
      <c r="T3" s="896" t="s">
        <v>13</v>
      </c>
      <c r="U3" s="897"/>
      <c r="V3" s="896" t="s">
        <v>14</v>
      </c>
      <c r="W3" s="897"/>
      <c r="X3" s="896" t="s">
        <v>15</v>
      </c>
      <c r="Y3" s="897"/>
      <c r="Z3" s="896" t="s">
        <v>16</v>
      </c>
      <c r="AA3" s="897"/>
      <c r="AB3" s="896" t="s">
        <v>17</v>
      </c>
      <c r="AC3" s="897"/>
      <c r="AD3" s="896" t="s">
        <v>18</v>
      </c>
      <c r="AE3" s="897"/>
      <c r="AF3" s="893" t="s">
        <v>19</v>
      </c>
    </row>
    <row r="4" spans="1:34" ht="42.75" customHeight="1" x14ac:dyDescent="0.25">
      <c r="A4" s="894"/>
      <c r="B4" s="903"/>
      <c r="C4" s="903"/>
      <c r="D4" s="903"/>
      <c r="E4" s="905"/>
      <c r="F4" s="898"/>
      <c r="G4" s="899"/>
      <c r="H4" s="898"/>
      <c r="I4" s="899"/>
      <c r="J4" s="898"/>
      <c r="K4" s="899"/>
      <c r="L4" s="898"/>
      <c r="M4" s="899"/>
      <c r="N4" s="898"/>
      <c r="O4" s="899"/>
      <c r="P4" s="898"/>
      <c r="Q4" s="899"/>
      <c r="R4" s="898"/>
      <c r="S4" s="899"/>
      <c r="T4" s="898"/>
      <c r="U4" s="899"/>
      <c r="V4" s="898"/>
      <c r="W4" s="899"/>
      <c r="X4" s="898"/>
      <c r="Y4" s="899"/>
      <c r="Z4" s="898"/>
      <c r="AA4" s="899"/>
      <c r="AB4" s="898"/>
      <c r="AC4" s="899"/>
      <c r="AD4" s="898"/>
      <c r="AE4" s="899"/>
      <c r="AF4" s="894"/>
    </row>
    <row r="5" spans="1:34" ht="56.25" x14ac:dyDescent="0.25">
      <c r="A5" s="59"/>
      <c r="B5" s="3">
        <v>2024</v>
      </c>
      <c r="C5" s="4">
        <v>45383</v>
      </c>
      <c r="D5" s="4">
        <v>45383</v>
      </c>
      <c r="E5" s="4">
        <v>45383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895"/>
    </row>
    <row r="6" spans="1:34"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4" ht="18.75" x14ac:dyDescent="0.25">
      <c r="A7" s="63" t="s">
        <v>78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4" ht="18.75" x14ac:dyDescent="0.25">
      <c r="A8" s="64"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4" ht="56.25" customHeight="1" x14ac:dyDescent="0.25">
      <c r="A9" s="68" t="s">
        <v>79</v>
      </c>
      <c r="B9" s="30">
        <f>B10</f>
        <v>52809.494000000006</v>
      </c>
      <c r="C9" s="30">
        <f t="shared" ref="C9:E10" si="0">C10</f>
        <v>17359.671999999999</v>
      </c>
      <c r="D9" s="30">
        <f t="shared" si="0"/>
        <v>17359.671999999999</v>
      </c>
      <c r="E9" s="30">
        <f t="shared" si="0"/>
        <v>13173.652000000002</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c r="AG9" s="782">
        <f>AG11+AH25+AH31+AG37+AG40</f>
        <v>10847.715000000002</v>
      </c>
      <c r="AH9" s="46" t="s">
        <v>569</v>
      </c>
    </row>
    <row r="10" spans="1:34" ht="18.75" x14ac:dyDescent="0.3">
      <c r="A10" s="13" t="s">
        <v>31</v>
      </c>
      <c r="B10" s="47">
        <f>B11</f>
        <v>52809.494000000006</v>
      </c>
      <c r="C10" s="47">
        <f t="shared" si="0"/>
        <v>17359.671999999999</v>
      </c>
      <c r="D10" s="47">
        <f>D11</f>
        <v>17359.671999999999</v>
      </c>
      <c r="E10" s="35">
        <f>E11</f>
        <v>13173.652000000002</v>
      </c>
      <c r="F10" s="32">
        <f>E10/B10*100</f>
        <v>24.945612999056571</v>
      </c>
      <c r="G10" s="32">
        <f>E10/C10*100</f>
        <v>75.886525966619672</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29"/>
      <c r="AG10" s="778"/>
    </row>
    <row r="11" spans="1:34" ht="18.75" x14ac:dyDescent="0.3">
      <c r="A11" s="17" t="s">
        <v>33</v>
      </c>
      <c r="B11" s="47">
        <f>H11+J11+L11+N11+P11+R11+T11+V11+X11+Z11+AB11+AD11</f>
        <v>52809.494000000006</v>
      </c>
      <c r="C11" s="47">
        <f>H11+J11+L11</f>
        <v>17359.671999999999</v>
      </c>
      <c r="D11" s="47">
        <f>H11+J11+L11</f>
        <v>17359.671999999999</v>
      </c>
      <c r="E11" s="32">
        <f>I11+K11+M11</f>
        <v>13173.652000000002</v>
      </c>
      <c r="F11" s="32">
        <f t="shared" ref="F11" si="1">E11/B11*100</f>
        <v>24.945612999056571</v>
      </c>
      <c r="G11" s="32">
        <f t="shared" ref="G11" si="2">E11/C11*100</f>
        <v>75.886525966619672</v>
      </c>
      <c r="H11" s="720">
        <v>7121.37</v>
      </c>
      <c r="I11" s="722">
        <v>4317.3140000000003</v>
      </c>
      <c r="J11" s="721">
        <v>5416.6620000000003</v>
      </c>
      <c r="K11" s="721">
        <v>5461.0829999999996</v>
      </c>
      <c r="L11" s="720">
        <v>4821.6400000000003</v>
      </c>
      <c r="M11" s="722">
        <v>3395.2550000000001</v>
      </c>
      <c r="N11" s="722">
        <v>12463.239</v>
      </c>
      <c r="O11" s="722">
        <v>0</v>
      </c>
      <c r="P11" s="722">
        <v>2794.7139999999999</v>
      </c>
      <c r="Q11" s="722">
        <v>0</v>
      </c>
      <c r="R11" s="720">
        <v>2478.98</v>
      </c>
      <c r="S11" s="722">
        <v>0</v>
      </c>
      <c r="T11" s="722">
        <v>2985.3049999999998</v>
      </c>
      <c r="U11" s="722">
        <v>0</v>
      </c>
      <c r="V11" s="720">
        <v>2478.98</v>
      </c>
      <c r="W11" s="722">
        <v>0</v>
      </c>
      <c r="X11" s="722">
        <v>2442.4299999999998</v>
      </c>
      <c r="Y11" s="722">
        <v>0</v>
      </c>
      <c r="Z11" s="722">
        <v>3673.3389999999999</v>
      </c>
      <c r="AA11" s="722">
        <v>0</v>
      </c>
      <c r="AB11" s="720">
        <v>2596.31</v>
      </c>
      <c r="AC11" s="722">
        <v>0</v>
      </c>
      <c r="AD11" s="720">
        <v>3536.5250000000001</v>
      </c>
      <c r="AE11" s="722">
        <v>0</v>
      </c>
      <c r="AF11" s="29"/>
      <c r="AG11" s="778">
        <f>C11-E11</f>
        <v>4186.0199999999968</v>
      </c>
    </row>
    <row r="12" spans="1:34" ht="18.75" x14ac:dyDescent="0.3">
      <c r="A12" s="54" t="s">
        <v>53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778"/>
    </row>
    <row r="13" spans="1:34" ht="18.75" x14ac:dyDescent="0.3">
      <c r="A13" s="13" t="s">
        <v>31</v>
      </c>
      <c r="B13" s="41">
        <f>B14</f>
        <v>52809.494000000006</v>
      </c>
      <c r="C13" s="41">
        <f t="shared" ref="C13:E13" si="3">C14</f>
        <v>17359.671999999999</v>
      </c>
      <c r="D13" s="41">
        <f t="shared" si="3"/>
        <v>17359.671999999999</v>
      </c>
      <c r="E13" s="41">
        <f t="shared" si="3"/>
        <v>13173.652000000002</v>
      </c>
      <c r="F13" s="32">
        <f t="shared" ref="F13:F14" si="4">E13/B13*100</f>
        <v>24.945612999056571</v>
      </c>
      <c r="G13" s="32">
        <f>E13/C13*100</f>
        <v>75.886525966619672</v>
      </c>
      <c r="H13" s="41">
        <f>H14</f>
        <v>7121.37</v>
      </c>
      <c r="I13" s="41">
        <f t="shared" ref="I13:AE13" si="5">I14</f>
        <v>4317.3140000000003</v>
      </c>
      <c r="J13" s="41">
        <f t="shared" si="5"/>
        <v>5416.6620000000003</v>
      </c>
      <c r="K13" s="41">
        <f t="shared" si="5"/>
        <v>5461.0829999999996</v>
      </c>
      <c r="L13" s="41">
        <f t="shared" si="5"/>
        <v>4821.6400000000003</v>
      </c>
      <c r="M13" s="41">
        <f t="shared" si="5"/>
        <v>3395.2550000000001</v>
      </c>
      <c r="N13" s="41">
        <f t="shared" si="5"/>
        <v>12463.239</v>
      </c>
      <c r="O13" s="41">
        <f t="shared" si="5"/>
        <v>0</v>
      </c>
      <c r="P13" s="41">
        <f t="shared" si="5"/>
        <v>2794.7139999999999</v>
      </c>
      <c r="Q13" s="41">
        <f t="shared" si="5"/>
        <v>0</v>
      </c>
      <c r="R13" s="41">
        <f t="shared" si="5"/>
        <v>2478.98</v>
      </c>
      <c r="S13" s="41">
        <f t="shared" si="5"/>
        <v>0</v>
      </c>
      <c r="T13" s="41">
        <f t="shared" si="5"/>
        <v>2985.3049999999998</v>
      </c>
      <c r="U13" s="41">
        <f t="shared" si="5"/>
        <v>0</v>
      </c>
      <c r="V13" s="41">
        <f t="shared" si="5"/>
        <v>2478.98</v>
      </c>
      <c r="W13" s="41">
        <f t="shared" si="5"/>
        <v>0</v>
      </c>
      <c r="X13" s="41">
        <f t="shared" si="5"/>
        <v>2442.4299999999998</v>
      </c>
      <c r="Y13" s="41">
        <f t="shared" si="5"/>
        <v>0</v>
      </c>
      <c r="Z13" s="41">
        <f t="shared" si="5"/>
        <v>3673.3389999999999</v>
      </c>
      <c r="AA13" s="41">
        <f t="shared" si="5"/>
        <v>0</v>
      </c>
      <c r="AB13" s="41">
        <f t="shared" si="5"/>
        <v>2596.31</v>
      </c>
      <c r="AC13" s="41">
        <f t="shared" si="5"/>
        <v>0</v>
      </c>
      <c r="AD13" s="41">
        <f t="shared" si="5"/>
        <v>3536.5250000000001</v>
      </c>
      <c r="AE13" s="41">
        <f t="shared" si="5"/>
        <v>0</v>
      </c>
      <c r="AF13" s="29"/>
      <c r="AG13" s="778"/>
    </row>
    <row r="14" spans="1:34" ht="18.75" x14ac:dyDescent="0.3">
      <c r="A14" s="13" t="s">
        <v>33</v>
      </c>
      <c r="B14" s="41">
        <f>B11</f>
        <v>52809.494000000006</v>
      </c>
      <c r="C14" s="41">
        <f>C11</f>
        <v>17359.671999999999</v>
      </c>
      <c r="D14" s="41">
        <f t="shared" ref="D14:E14" si="6">D11</f>
        <v>17359.671999999999</v>
      </c>
      <c r="E14" s="41">
        <f t="shared" si="6"/>
        <v>13173.652000000002</v>
      </c>
      <c r="F14" s="32">
        <f t="shared" si="4"/>
        <v>24.945612999056571</v>
      </c>
      <c r="G14" s="32">
        <f>E14/C14*100</f>
        <v>75.886525966619672</v>
      </c>
      <c r="H14" s="41">
        <f>H11</f>
        <v>7121.37</v>
      </c>
      <c r="I14" s="41">
        <f t="shared" ref="I14:AE14" si="7">I11</f>
        <v>4317.3140000000003</v>
      </c>
      <c r="J14" s="41">
        <f t="shared" si="7"/>
        <v>5416.6620000000003</v>
      </c>
      <c r="K14" s="41">
        <f t="shared" si="7"/>
        <v>5461.0829999999996</v>
      </c>
      <c r="L14" s="41">
        <f t="shared" si="7"/>
        <v>4821.6400000000003</v>
      </c>
      <c r="M14" s="41">
        <f t="shared" si="7"/>
        <v>3395.2550000000001</v>
      </c>
      <c r="N14" s="41">
        <f t="shared" si="7"/>
        <v>12463.239</v>
      </c>
      <c r="O14" s="41">
        <f t="shared" si="7"/>
        <v>0</v>
      </c>
      <c r="P14" s="41">
        <f t="shared" si="7"/>
        <v>2794.7139999999999</v>
      </c>
      <c r="Q14" s="41">
        <f t="shared" si="7"/>
        <v>0</v>
      </c>
      <c r="R14" s="41">
        <f t="shared" si="7"/>
        <v>2478.98</v>
      </c>
      <c r="S14" s="41">
        <f t="shared" si="7"/>
        <v>0</v>
      </c>
      <c r="T14" s="41">
        <f t="shared" si="7"/>
        <v>2985.3049999999998</v>
      </c>
      <c r="U14" s="41">
        <f t="shared" si="7"/>
        <v>0</v>
      </c>
      <c r="V14" s="41">
        <f t="shared" si="7"/>
        <v>2478.98</v>
      </c>
      <c r="W14" s="41">
        <f t="shared" si="7"/>
        <v>0</v>
      </c>
      <c r="X14" s="41">
        <f t="shared" si="7"/>
        <v>2442.4299999999998</v>
      </c>
      <c r="Y14" s="41">
        <f t="shared" si="7"/>
        <v>0</v>
      </c>
      <c r="Z14" s="41">
        <f t="shared" si="7"/>
        <v>3673.3389999999999</v>
      </c>
      <c r="AA14" s="41">
        <f t="shared" si="7"/>
        <v>0</v>
      </c>
      <c r="AB14" s="41">
        <f t="shared" si="7"/>
        <v>2596.31</v>
      </c>
      <c r="AC14" s="41">
        <f t="shared" si="7"/>
        <v>0</v>
      </c>
      <c r="AD14" s="41">
        <f t="shared" si="7"/>
        <v>3536.5250000000001</v>
      </c>
      <c r="AE14" s="41">
        <f t="shared" si="7"/>
        <v>0</v>
      </c>
      <c r="AF14" s="29"/>
      <c r="AG14" s="778"/>
    </row>
    <row r="15" spans="1:34" ht="37.5" x14ac:dyDescent="0.3">
      <c r="A15" s="28" t="s">
        <v>72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778"/>
    </row>
    <row r="16" spans="1:34" ht="18.75" x14ac:dyDescent="0.3">
      <c r="A16" s="8" t="s">
        <v>31</v>
      </c>
      <c r="B16" s="41">
        <f>B17</f>
        <v>52809.494000000006</v>
      </c>
      <c r="C16" s="41">
        <f>C17</f>
        <v>17359.671999999999</v>
      </c>
      <c r="D16" s="41">
        <f t="shared" ref="D16:E16" si="8">D17</f>
        <v>17359.671999999999</v>
      </c>
      <c r="E16" s="41">
        <f t="shared" si="8"/>
        <v>13173.652000000002</v>
      </c>
      <c r="F16" s="32">
        <f t="shared" ref="F16:F17" si="9">E16/B16*100</f>
        <v>24.945612999056571</v>
      </c>
      <c r="G16" s="32">
        <f>E16/C16*100</f>
        <v>75.886525966619672</v>
      </c>
      <c r="H16" s="41">
        <f>H17</f>
        <v>7121.37</v>
      </c>
      <c r="I16" s="41">
        <f t="shared" ref="I16:AE16" si="10">I17</f>
        <v>4317.3140000000003</v>
      </c>
      <c r="J16" s="41">
        <f t="shared" si="10"/>
        <v>5416.6620000000003</v>
      </c>
      <c r="K16" s="41">
        <f t="shared" si="10"/>
        <v>5461.0829999999996</v>
      </c>
      <c r="L16" s="41">
        <f t="shared" si="10"/>
        <v>4821.6400000000003</v>
      </c>
      <c r="M16" s="41">
        <f t="shared" si="10"/>
        <v>3395.2550000000001</v>
      </c>
      <c r="N16" s="41">
        <f t="shared" si="10"/>
        <v>12463.239</v>
      </c>
      <c r="O16" s="41">
        <f t="shared" si="10"/>
        <v>0</v>
      </c>
      <c r="P16" s="41">
        <f t="shared" si="10"/>
        <v>2794.7139999999999</v>
      </c>
      <c r="Q16" s="41">
        <f t="shared" si="10"/>
        <v>0</v>
      </c>
      <c r="R16" s="41">
        <f t="shared" si="10"/>
        <v>2478.98</v>
      </c>
      <c r="S16" s="41">
        <f t="shared" si="10"/>
        <v>0</v>
      </c>
      <c r="T16" s="41">
        <f t="shared" si="10"/>
        <v>2985.3049999999998</v>
      </c>
      <c r="U16" s="41">
        <f t="shared" si="10"/>
        <v>0</v>
      </c>
      <c r="V16" s="41">
        <f t="shared" si="10"/>
        <v>2478.98</v>
      </c>
      <c r="W16" s="41">
        <f t="shared" si="10"/>
        <v>0</v>
      </c>
      <c r="X16" s="41">
        <f t="shared" si="10"/>
        <v>2442.4299999999998</v>
      </c>
      <c r="Y16" s="41">
        <f t="shared" si="10"/>
        <v>0</v>
      </c>
      <c r="Z16" s="41">
        <f t="shared" si="10"/>
        <v>3673.3389999999999</v>
      </c>
      <c r="AA16" s="41">
        <f t="shared" si="10"/>
        <v>0</v>
      </c>
      <c r="AB16" s="41">
        <f t="shared" si="10"/>
        <v>2596.31</v>
      </c>
      <c r="AC16" s="41">
        <f t="shared" si="10"/>
        <v>0</v>
      </c>
      <c r="AD16" s="41">
        <f t="shared" si="10"/>
        <v>3536.5250000000001</v>
      </c>
      <c r="AE16" s="41">
        <f t="shared" si="10"/>
        <v>0</v>
      </c>
      <c r="AF16" s="29"/>
      <c r="AG16" s="778"/>
    </row>
    <row r="17" spans="1:34" ht="18.75" x14ac:dyDescent="0.3">
      <c r="A17" s="13" t="s">
        <v>33</v>
      </c>
      <c r="B17" s="41">
        <f>B14</f>
        <v>52809.494000000006</v>
      </c>
      <c r="C17" s="41">
        <f t="shared" ref="C17:E17" si="11">C14</f>
        <v>17359.671999999999</v>
      </c>
      <c r="D17" s="41">
        <f t="shared" si="11"/>
        <v>17359.671999999999</v>
      </c>
      <c r="E17" s="41">
        <f t="shared" si="11"/>
        <v>13173.652000000002</v>
      </c>
      <c r="F17" s="32">
        <f t="shared" si="9"/>
        <v>24.945612999056571</v>
      </c>
      <c r="G17" s="32">
        <f>E17/C17*100</f>
        <v>75.886525966619672</v>
      </c>
      <c r="H17" s="41">
        <f>H14</f>
        <v>7121.37</v>
      </c>
      <c r="I17" s="41">
        <f t="shared" ref="I17:AE17" si="12">I14</f>
        <v>4317.3140000000003</v>
      </c>
      <c r="J17" s="41">
        <f t="shared" si="12"/>
        <v>5416.6620000000003</v>
      </c>
      <c r="K17" s="41">
        <f t="shared" si="12"/>
        <v>5461.0829999999996</v>
      </c>
      <c r="L17" s="41">
        <f t="shared" si="12"/>
        <v>4821.6400000000003</v>
      </c>
      <c r="M17" s="41">
        <f t="shared" si="12"/>
        <v>3395.2550000000001</v>
      </c>
      <c r="N17" s="41">
        <f t="shared" si="12"/>
        <v>12463.239</v>
      </c>
      <c r="O17" s="41">
        <f t="shared" si="12"/>
        <v>0</v>
      </c>
      <c r="P17" s="41">
        <f t="shared" si="12"/>
        <v>2794.7139999999999</v>
      </c>
      <c r="Q17" s="41">
        <f t="shared" si="12"/>
        <v>0</v>
      </c>
      <c r="R17" s="41">
        <f t="shared" si="12"/>
        <v>2478.98</v>
      </c>
      <c r="S17" s="41">
        <f t="shared" si="12"/>
        <v>0</v>
      </c>
      <c r="T17" s="41">
        <f t="shared" si="12"/>
        <v>2985.3049999999998</v>
      </c>
      <c r="U17" s="41">
        <f t="shared" si="12"/>
        <v>0</v>
      </c>
      <c r="V17" s="41">
        <f t="shared" si="12"/>
        <v>2478.98</v>
      </c>
      <c r="W17" s="41">
        <f t="shared" si="12"/>
        <v>0</v>
      </c>
      <c r="X17" s="41">
        <f t="shared" si="12"/>
        <v>2442.4299999999998</v>
      </c>
      <c r="Y17" s="41">
        <f t="shared" si="12"/>
        <v>0</v>
      </c>
      <c r="Z17" s="41">
        <f t="shared" si="12"/>
        <v>3673.3389999999999</v>
      </c>
      <c r="AA17" s="41">
        <f t="shared" si="12"/>
        <v>0</v>
      </c>
      <c r="AB17" s="41">
        <f t="shared" si="12"/>
        <v>2596.31</v>
      </c>
      <c r="AC17" s="41">
        <f t="shared" si="12"/>
        <v>0</v>
      </c>
      <c r="AD17" s="41">
        <f t="shared" si="12"/>
        <v>3536.5250000000001</v>
      </c>
      <c r="AE17" s="41">
        <f t="shared" si="12"/>
        <v>0</v>
      </c>
      <c r="AF17" s="29"/>
      <c r="AG17" s="778"/>
    </row>
    <row r="18" spans="1:34" ht="18.75" x14ac:dyDescent="0.3">
      <c r="A18" s="60" t="s">
        <v>80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778"/>
    </row>
    <row r="19" spans="1:34" ht="18.75" x14ac:dyDescent="0.3">
      <c r="A19" s="52" t="s">
        <v>54</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778">
        <f>C19-E19</f>
        <v>0</v>
      </c>
    </row>
    <row r="20" spans="1:34" ht="75" x14ac:dyDescent="0.3">
      <c r="A20" s="69" t="s">
        <v>81</v>
      </c>
      <c r="B20" s="41"/>
      <c r="C20" s="41"/>
      <c r="D20" s="41"/>
      <c r="E20" s="41"/>
      <c r="F20" s="41"/>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778">
        <f>C20-E20</f>
        <v>0</v>
      </c>
    </row>
    <row r="21" spans="1:34" ht="18.75" x14ac:dyDescent="0.3">
      <c r="A21" s="13" t="s">
        <v>31</v>
      </c>
      <c r="B21" s="47">
        <f>B22</f>
        <v>298556.49</v>
      </c>
      <c r="C21" s="47">
        <f t="shared" ref="C21:E21" si="13">C22</f>
        <v>75110.713999999993</v>
      </c>
      <c r="D21" s="47">
        <f>D22</f>
        <v>75110.713999999993</v>
      </c>
      <c r="E21" s="47">
        <f t="shared" si="13"/>
        <v>65287.084000000003</v>
      </c>
      <c r="F21" s="32">
        <f t="shared" ref="F21:F22" si="14">E21/B21*100</f>
        <v>21.867581575600653</v>
      </c>
      <c r="G21" s="32">
        <f t="shared" ref="G21:G22" si="15">E21/C21*100</f>
        <v>86.921133514986977</v>
      </c>
      <c r="H21" s="47">
        <f>H22</f>
        <v>21721.719999999998</v>
      </c>
      <c r="I21" s="47">
        <f t="shared" ref="I21:AE21" si="16">I22</f>
        <v>14949.585000000001</v>
      </c>
      <c r="J21" s="47">
        <f t="shared" si="16"/>
        <v>30195.828999999998</v>
      </c>
      <c r="K21" s="47">
        <f t="shared" si="16"/>
        <v>28578.882000000001</v>
      </c>
      <c r="L21" s="47">
        <f t="shared" si="16"/>
        <v>23193.165000000001</v>
      </c>
      <c r="M21" s="47">
        <f t="shared" si="16"/>
        <v>21758.616999999998</v>
      </c>
      <c r="N21" s="47">
        <f t="shared" si="16"/>
        <v>27358.758000000002</v>
      </c>
      <c r="O21" s="47">
        <f t="shared" si="16"/>
        <v>0</v>
      </c>
      <c r="P21" s="47">
        <f t="shared" si="16"/>
        <v>21574.27</v>
      </c>
      <c r="Q21" s="47">
        <f t="shared" si="16"/>
        <v>0</v>
      </c>
      <c r="R21" s="47">
        <f t="shared" si="16"/>
        <v>26331.936000000005</v>
      </c>
      <c r="S21" s="47">
        <f t="shared" si="16"/>
        <v>0</v>
      </c>
      <c r="T21" s="47">
        <f t="shared" si="16"/>
        <v>32395.124</v>
      </c>
      <c r="U21" s="47">
        <f t="shared" si="16"/>
        <v>0</v>
      </c>
      <c r="V21" s="47">
        <f t="shared" si="16"/>
        <v>23717.759999999998</v>
      </c>
      <c r="W21" s="47">
        <f t="shared" si="16"/>
        <v>0</v>
      </c>
      <c r="X21" s="47">
        <f t="shared" si="16"/>
        <v>18595.241000000002</v>
      </c>
      <c r="Y21" s="47">
        <f t="shared" si="16"/>
        <v>0</v>
      </c>
      <c r="Z21" s="47">
        <f t="shared" si="16"/>
        <v>23715.197</v>
      </c>
      <c r="AA21" s="47">
        <f t="shared" si="16"/>
        <v>0</v>
      </c>
      <c r="AB21" s="47">
        <f t="shared" si="16"/>
        <v>19046.302</v>
      </c>
      <c r="AC21" s="47">
        <f t="shared" si="16"/>
        <v>0</v>
      </c>
      <c r="AD21" s="47">
        <f t="shared" si="16"/>
        <v>30711.188000000002</v>
      </c>
      <c r="AE21" s="47">
        <f t="shared" si="16"/>
        <v>0</v>
      </c>
      <c r="AF21" s="29"/>
      <c r="AG21" s="778"/>
    </row>
    <row r="22" spans="1:34" ht="18.75" x14ac:dyDescent="0.3">
      <c r="A22" s="13" t="s">
        <v>33</v>
      </c>
      <c r="B22" s="47">
        <f>B25+B28+B37+B40</f>
        <v>298556.49</v>
      </c>
      <c r="C22" s="47">
        <f t="shared" ref="C22" si="17">C25+C28+C37+C40</f>
        <v>75110.713999999993</v>
      </c>
      <c r="D22" s="47">
        <f>D25+D28+D37+D40</f>
        <v>75110.713999999993</v>
      </c>
      <c r="E22" s="47">
        <f>E25+E28+E37+E40</f>
        <v>65287.084000000003</v>
      </c>
      <c r="F22" s="32">
        <f t="shared" si="14"/>
        <v>21.867581575600653</v>
      </c>
      <c r="G22" s="32">
        <f t="shared" si="15"/>
        <v>86.921133514986977</v>
      </c>
      <c r="H22" s="47">
        <f>H25+H28+H37+H40</f>
        <v>21721.719999999998</v>
      </c>
      <c r="I22" s="47">
        <f>I25+I28+I37+I40</f>
        <v>14949.585000000001</v>
      </c>
      <c r="J22" s="47">
        <f t="shared" ref="J22:AE22" si="18">J25+J28+J37+J40</f>
        <v>30195.828999999998</v>
      </c>
      <c r="K22" s="47">
        <f t="shared" si="18"/>
        <v>28578.882000000001</v>
      </c>
      <c r="L22" s="47">
        <f t="shared" si="18"/>
        <v>23193.165000000001</v>
      </c>
      <c r="M22" s="47">
        <f t="shared" si="18"/>
        <v>21758.616999999998</v>
      </c>
      <c r="N22" s="47">
        <f t="shared" si="18"/>
        <v>27358.758000000002</v>
      </c>
      <c r="O22" s="47">
        <f t="shared" si="18"/>
        <v>0</v>
      </c>
      <c r="P22" s="47">
        <f t="shared" si="18"/>
        <v>21574.27</v>
      </c>
      <c r="Q22" s="47">
        <f t="shared" si="18"/>
        <v>0</v>
      </c>
      <c r="R22" s="47">
        <f t="shared" si="18"/>
        <v>26331.936000000005</v>
      </c>
      <c r="S22" s="47">
        <f t="shared" si="18"/>
        <v>0</v>
      </c>
      <c r="T22" s="47">
        <f t="shared" si="18"/>
        <v>32395.124</v>
      </c>
      <c r="U22" s="47">
        <f t="shared" si="18"/>
        <v>0</v>
      </c>
      <c r="V22" s="47">
        <f t="shared" si="18"/>
        <v>23717.759999999998</v>
      </c>
      <c r="W22" s="47">
        <f t="shared" si="18"/>
        <v>0</v>
      </c>
      <c r="X22" s="47">
        <f t="shared" si="18"/>
        <v>18595.241000000002</v>
      </c>
      <c r="Y22" s="47">
        <f t="shared" si="18"/>
        <v>0</v>
      </c>
      <c r="Z22" s="47">
        <f t="shared" si="18"/>
        <v>23715.197</v>
      </c>
      <c r="AA22" s="47">
        <f t="shared" si="18"/>
        <v>0</v>
      </c>
      <c r="AB22" s="47">
        <f t="shared" si="18"/>
        <v>19046.302</v>
      </c>
      <c r="AC22" s="47">
        <f t="shared" si="18"/>
        <v>0</v>
      </c>
      <c r="AD22" s="47">
        <f t="shared" si="18"/>
        <v>30711.188000000002</v>
      </c>
      <c r="AE22" s="47">
        <f t="shared" si="18"/>
        <v>0</v>
      </c>
      <c r="AF22" s="29"/>
      <c r="AG22" s="778"/>
    </row>
    <row r="23" spans="1:34" ht="75" x14ac:dyDescent="0.3">
      <c r="A23" s="51" t="s">
        <v>86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778">
        <f>C23-E23</f>
        <v>0</v>
      </c>
    </row>
    <row r="24" spans="1:34" ht="18.75" x14ac:dyDescent="0.3">
      <c r="A24" s="13" t="s">
        <v>31</v>
      </c>
      <c r="B24" s="47">
        <f>B25</f>
        <v>41065.894999999997</v>
      </c>
      <c r="C24" s="35">
        <f t="shared" ref="C24" si="19">C25</f>
        <v>12029.632999999998</v>
      </c>
      <c r="D24" s="35">
        <f>D25</f>
        <v>12029.632999999998</v>
      </c>
      <c r="E24" s="35">
        <f t="shared" ref="E24" si="20">E25</f>
        <v>10368.754000000001</v>
      </c>
      <c r="F24" s="32">
        <f t="shared" ref="F24:F25" si="21">E24/B24*100</f>
        <v>25.249063730377731</v>
      </c>
      <c r="G24" s="32">
        <f t="shared" ref="G24:G25" si="22">E24/C24*100</f>
        <v>86.193435826346516</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778"/>
    </row>
    <row r="25" spans="1:34" ht="56.25" x14ac:dyDescent="0.3">
      <c r="A25" s="13" t="s">
        <v>33</v>
      </c>
      <c r="B25" s="47">
        <f>H25+J25+L25+N25+P25+R25+T25+V25+X25+Z25+AB25+AD25</f>
        <v>41065.894999999997</v>
      </c>
      <c r="C25" s="759">
        <f>H25+J25+L25</f>
        <v>12029.632999999998</v>
      </c>
      <c r="D25" s="32">
        <f>H25+J25+L25</f>
        <v>12029.632999999998</v>
      </c>
      <c r="E25" s="775">
        <f>I25+K25+M25</f>
        <v>10368.754000000001</v>
      </c>
      <c r="F25" s="32">
        <f t="shared" si="21"/>
        <v>25.249063730377731</v>
      </c>
      <c r="G25" s="32">
        <f t="shared" si="22"/>
        <v>86.193435826346516</v>
      </c>
      <c r="H25" s="607">
        <v>4622.8789999999999</v>
      </c>
      <c r="I25" s="607">
        <v>2728.5149999999999</v>
      </c>
      <c r="J25" s="678">
        <v>4534.2060000000001</v>
      </c>
      <c r="K25" s="607">
        <v>4153.1279999999997</v>
      </c>
      <c r="L25" s="607">
        <v>2872.5479999999998</v>
      </c>
      <c r="M25" s="607">
        <v>3487.1109999999999</v>
      </c>
      <c r="N25" s="678">
        <v>3143.3739999999998</v>
      </c>
      <c r="O25" s="607">
        <v>0</v>
      </c>
      <c r="P25" s="607">
        <v>2715.1260000000002</v>
      </c>
      <c r="Q25" s="607">
        <v>0</v>
      </c>
      <c r="R25" s="607">
        <v>2906.6289999999999</v>
      </c>
      <c r="S25" s="607">
        <v>0</v>
      </c>
      <c r="T25" s="607">
        <v>3870.0070000000001</v>
      </c>
      <c r="U25" s="607">
        <v>0</v>
      </c>
      <c r="V25" s="607">
        <v>2348.4830000000002</v>
      </c>
      <c r="W25" s="607">
        <v>0</v>
      </c>
      <c r="X25" s="607">
        <v>2811.6039999999998</v>
      </c>
      <c r="Y25" s="607">
        <v>0</v>
      </c>
      <c r="Z25" s="607">
        <v>2798.47</v>
      </c>
      <c r="AA25" s="607">
        <v>0</v>
      </c>
      <c r="AB25" s="607">
        <v>2563.098</v>
      </c>
      <c r="AC25" s="607">
        <v>0</v>
      </c>
      <c r="AD25" s="678">
        <v>5879.4709999999995</v>
      </c>
      <c r="AE25" s="607">
        <v>0</v>
      </c>
      <c r="AF25" s="767" t="s">
        <v>570</v>
      </c>
      <c r="AG25" s="778">
        <f>C25-E25</f>
        <v>1660.8789999999972</v>
      </c>
      <c r="AH25" s="46">
        <v>2160.88</v>
      </c>
    </row>
    <row r="26" spans="1:34" ht="75" x14ac:dyDescent="0.3">
      <c r="A26" s="48" t="s">
        <v>87</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778"/>
    </row>
    <row r="27" spans="1:34" ht="18.75" x14ac:dyDescent="0.3">
      <c r="A27" s="13" t="s">
        <v>31</v>
      </c>
      <c r="B27" s="41">
        <f>B28</f>
        <v>77630.127000000008</v>
      </c>
      <c r="C27" s="41">
        <f t="shared" ref="C27:E27" si="23">C28</f>
        <v>21315.097000000002</v>
      </c>
      <c r="D27" s="41">
        <f t="shared" si="23"/>
        <v>21315.097000000002</v>
      </c>
      <c r="E27" s="41">
        <f t="shared" si="23"/>
        <v>17566.861000000001</v>
      </c>
      <c r="F27" s="32">
        <f>E27/B27*100</f>
        <v>22.628922145135739</v>
      </c>
      <c r="G27" s="47">
        <f t="shared" ref="G27:G28" si="24">E27/C27*100</f>
        <v>82.415111692900098</v>
      </c>
      <c r="H27" s="41">
        <f>H28</f>
        <v>6250.19</v>
      </c>
      <c r="I27" s="41">
        <f t="shared" ref="I27:AE27" si="25">I28</f>
        <v>3275.56</v>
      </c>
      <c r="J27" s="41">
        <f t="shared" si="25"/>
        <v>7735.1170000000002</v>
      </c>
      <c r="K27" s="41">
        <f t="shared" si="25"/>
        <v>6961.51</v>
      </c>
      <c r="L27" s="41">
        <f t="shared" si="25"/>
        <v>7329.79</v>
      </c>
      <c r="M27" s="41">
        <f t="shared" si="25"/>
        <v>7329.7910000000002</v>
      </c>
      <c r="N27" s="41">
        <f t="shared" si="25"/>
        <v>7481.92</v>
      </c>
      <c r="O27" s="41">
        <f t="shared" si="25"/>
        <v>0</v>
      </c>
      <c r="P27" s="41">
        <f t="shared" si="25"/>
        <v>7307.25</v>
      </c>
      <c r="Q27" s="41">
        <f t="shared" si="25"/>
        <v>0</v>
      </c>
      <c r="R27" s="41">
        <f t="shared" si="25"/>
        <v>7532.34</v>
      </c>
      <c r="S27" s="41">
        <f t="shared" si="25"/>
        <v>0</v>
      </c>
      <c r="T27" s="41">
        <f t="shared" si="25"/>
        <v>7385.26</v>
      </c>
      <c r="U27" s="41">
        <f t="shared" si="25"/>
        <v>0</v>
      </c>
      <c r="V27" s="41">
        <f t="shared" si="25"/>
        <v>6534.68</v>
      </c>
      <c r="W27" s="41">
        <f t="shared" si="25"/>
        <v>0</v>
      </c>
      <c r="X27" s="41">
        <f t="shared" si="25"/>
        <v>4323.83</v>
      </c>
      <c r="Y27" s="41">
        <f t="shared" si="25"/>
        <v>0</v>
      </c>
      <c r="Z27" s="41">
        <f t="shared" si="25"/>
        <v>5569.06</v>
      </c>
      <c r="AA27" s="41">
        <f t="shared" si="25"/>
        <v>0</v>
      </c>
      <c r="AB27" s="41">
        <f t="shared" si="25"/>
        <v>5120.87</v>
      </c>
      <c r="AC27" s="41">
        <f t="shared" si="25"/>
        <v>0</v>
      </c>
      <c r="AD27" s="41">
        <f t="shared" si="25"/>
        <v>5059.82</v>
      </c>
      <c r="AE27" s="41">
        <f t="shared" si="25"/>
        <v>0</v>
      </c>
      <c r="AF27" s="29"/>
      <c r="AG27" s="778"/>
    </row>
    <row r="28" spans="1:34" ht="18.75" x14ac:dyDescent="0.3">
      <c r="A28" s="14" t="s">
        <v>93</v>
      </c>
      <c r="B28" s="47">
        <f>B31+B34</f>
        <v>77630.127000000008</v>
      </c>
      <c r="C28" s="47">
        <f t="shared" ref="C28:E28" si="26">C31+C34</f>
        <v>21315.097000000002</v>
      </c>
      <c r="D28" s="47">
        <f>H28+J28+L28</f>
        <v>21315.097000000002</v>
      </c>
      <c r="E28" s="47">
        <f t="shared" si="26"/>
        <v>17566.861000000001</v>
      </c>
      <c r="F28" s="32">
        <f>E28/B28*100</f>
        <v>22.628922145135739</v>
      </c>
      <c r="G28" s="47">
        <f t="shared" si="24"/>
        <v>82.415111692900098</v>
      </c>
      <c r="H28" s="47">
        <f>H31+H34</f>
        <v>6250.19</v>
      </c>
      <c r="I28" s="47">
        <f>I31+I34</f>
        <v>3275.56</v>
      </c>
      <c r="J28" s="47">
        <f t="shared" ref="J28:AE28" si="27">J31+J34</f>
        <v>7735.1170000000002</v>
      </c>
      <c r="K28" s="47">
        <f t="shared" si="27"/>
        <v>6961.51</v>
      </c>
      <c r="L28" s="47">
        <f t="shared" si="27"/>
        <v>7329.79</v>
      </c>
      <c r="M28" s="47">
        <f t="shared" si="27"/>
        <v>7329.7910000000002</v>
      </c>
      <c r="N28" s="47">
        <f t="shared" si="27"/>
        <v>7481.92</v>
      </c>
      <c r="O28" s="47">
        <f t="shared" si="27"/>
        <v>0</v>
      </c>
      <c r="P28" s="47">
        <f t="shared" si="27"/>
        <v>7307.25</v>
      </c>
      <c r="Q28" s="47">
        <f t="shared" si="27"/>
        <v>0</v>
      </c>
      <c r="R28" s="47">
        <f t="shared" si="27"/>
        <v>7532.34</v>
      </c>
      <c r="S28" s="47">
        <f t="shared" si="27"/>
        <v>0</v>
      </c>
      <c r="T28" s="47">
        <f t="shared" si="27"/>
        <v>7385.26</v>
      </c>
      <c r="U28" s="47">
        <f t="shared" si="27"/>
        <v>0</v>
      </c>
      <c r="V28" s="47">
        <f t="shared" si="27"/>
        <v>6534.68</v>
      </c>
      <c r="W28" s="47">
        <f t="shared" si="27"/>
        <v>0</v>
      </c>
      <c r="X28" s="47">
        <f t="shared" si="27"/>
        <v>4323.83</v>
      </c>
      <c r="Y28" s="47">
        <f t="shared" si="27"/>
        <v>0</v>
      </c>
      <c r="Z28" s="47">
        <f t="shared" si="27"/>
        <v>5569.06</v>
      </c>
      <c r="AA28" s="47">
        <f t="shared" si="27"/>
        <v>0</v>
      </c>
      <c r="AB28" s="47">
        <f t="shared" si="27"/>
        <v>5120.87</v>
      </c>
      <c r="AC28" s="47">
        <f t="shared" si="27"/>
        <v>0</v>
      </c>
      <c r="AD28" s="47">
        <f t="shared" si="27"/>
        <v>5059.82</v>
      </c>
      <c r="AE28" s="47">
        <f t="shared" si="27"/>
        <v>0</v>
      </c>
      <c r="AF28" s="47"/>
      <c r="AG28" s="778"/>
    </row>
    <row r="29" spans="1:34" ht="112.5" x14ac:dyDescent="0.3">
      <c r="A29" s="14" t="s">
        <v>88</v>
      </c>
      <c r="B29" s="47"/>
      <c r="C29" s="32"/>
      <c r="D29" s="32"/>
      <c r="E29" s="32"/>
      <c r="F29" s="32"/>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778"/>
    </row>
    <row r="30" spans="1:34" ht="18.75" x14ac:dyDescent="0.3">
      <c r="A30" s="13" t="s">
        <v>31</v>
      </c>
      <c r="B30" s="32">
        <f>B31</f>
        <v>77630.127000000008</v>
      </c>
      <c r="C30" s="32">
        <f t="shared" ref="C30:E30" si="28">C31</f>
        <v>21315.097000000002</v>
      </c>
      <c r="D30" s="32">
        <f t="shared" si="28"/>
        <v>21315.097000000002</v>
      </c>
      <c r="E30" s="32">
        <f t="shared" si="28"/>
        <v>17566.861000000001</v>
      </c>
      <c r="F30" s="32">
        <f>E30/B30*100</f>
        <v>22.628922145135739</v>
      </c>
      <c r="G30" s="47">
        <f>E30/C30*100</f>
        <v>82.415111692900098</v>
      </c>
      <c r="H30" s="47">
        <f>H31</f>
        <v>6250.19</v>
      </c>
      <c r="I30" s="47">
        <f t="shared" ref="I30:AE30" si="29">I31</f>
        <v>3275.56</v>
      </c>
      <c r="J30" s="47">
        <f t="shared" si="29"/>
        <v>7735.1170000000002</v>
      </c>
      <c r="K30" s="47">
        <f t="shared" si="29"/>
        <v>6961.51</v>
      </c>
      <c r="L30" s="47">
        <f t="shared" si="29"/>
        <v>7329.79</v>
      </c>
      <c r="M30" s="47">
        <f t="shared" si="29"/>
        <v>7329.7910000000002</v>
      </c>
      <c r="N30" s="47">
        <f t="shared" si="29"/>
        <v>7481.92</v>
      </c>
      <c r="O30" s="47">
        <f t="shared" si="29"/>
        <v>0</v>
      </c>
      <c r="P30" s="47">
        <f t="shared" si="29"/>
        <v>7307.25</v>
      </c>
      <c r="Q30" s="47">
        <f t="shared" si="29"/>
        <v>0</v>
      </c>
      <c r="R30" s="47">
        <f t="shared" si="29"/>
        <v>7532.34</v>
      </c>
      <c r="S30" s="47">
        <f t="shared" si="29"/>
        <v>0</v>
      </c>
      <c r="T30" s="47">
        <f t="shared" si="29"/>
        <v>7385.26</v>
      </c>
      <c r="U30" s="47">
        <f t="shared" si="29"/>
        <v>0</v>
      </c>
      <c r="V30" s="47">
        <f t="shared" si="29"/>
        <v>6534.68</v>
      </c>
      <c r="W30" s="47">
        <f t="shared" si="29"/>
        <v>0</v>
      </c>
      <c r="X30" s="47">
        <f t="shared" si="29"/>
        <v>4323.83</v>
      </c>
      <c r="Y30" s="47">
        <f t="shared" si="29"/>
        <v>0</v>
      </c>
      <c r="Z30" s="47">
        <f t="shared" si="29"/>
        <v>5569.06</v>
      </c>
      <c r="AA30" s="47">
        <f t="shared" si="29"/>
        <v>0</v>
      </c>
      <c r="AB30" s="47">
        <f t="shared" si="29"/>
        <v>5120.87</v>
      </c>
      <c r="AC30" s="47">
        <f t="shared" si="29"/>
        <v>0</v>
      </c>
      <c r="AD30" s="47">
        <f t="shared" si="29"/>
        <v>5059.82</v>
      </c>
      <c r="AE30" s="47">
        <f t="shared" si="29"/>
        <v>0</v>
      </c>
      <c r="AF30" s="47"/>
      <c r="AG30" s="778"/>
    </row>
    <row r="31" spans="1:34" s="677" customFormat="1" ht="56.25" x14ac:dyDescent="0.3">
      <c r="A31" s="13" t="s">
        <v>33</v>
      </c>
      <c r="B31" s="775">
        <f>H31+J31+L31+N31+P31+R31+T31+V31+X31+Z31+AB31+AD31</f>
        <v>77630.127000000008</v>
      </c>
      <c r="C31" s="775">
        <f>H31+J31+L31</f>
        <v>21315.097000000002</v>
      </c>
      <c r="D31" s="32">
        <f>H31+J31+L31</f>
        <v>21315.097000000002</v>
      </c>
      <c r="E31" s="759">
        <f>I31+K31+M31</f>
        <v>17566.861000000001</v>
      </c>
      <c r="F31" s="47">
        <f t="shared" ref="F31" si="30">D31/B31*100</f>
        <v>27.457248652961752</v>
      </c>
      <c r="G31" s="47">
        <f t="shared" ref="G31" si="31">E31/C31*100</f>
        <v>82.415111692900098</v>
      </c>
      <c r="H31" s="47">
        <v>6250.19</v>
      </c>
      <c r="I31" s="676">
        <v>3275.56</v>
      </c>
      <c r="J31" s="676">
        <v>7735.1170000000002</v>
      </c>
      <c r="K31" s="676">
        <v>6961.51</v>
      </c>
      <c r="L31" s="676">
        <v>7329.79</v>
      </c>
      <c r="M31" s="676">
        <v>7329.7910000000002</v>
      </c>
      <c r="N31" s="676">
        <v>7481.92</v>
      </c>
      <c r="O31" s="676"/>
      <c r="P31" s="676">
        <v>7307.25</v>
      </c>
      <c r="Q31" s="676"/>
      <c r="R31" s="676">
        <v>7532.34</v>
      </c>
      <c r="S31" s="676"/>
      <c r="T31" s="676">
        <v>7385.26</v>
      </c>
      <c r="U31" s="676"/>
      <c r="V31" s="676">
        <v>6534.68</v>
      </c>
      <c r="W31" s="676"/>
      <c r="X31" s="676">
        <v>4323.83</v>
      </c>
      <c r="Y31" s="676"/>
      <c r="Z31" s="676">
        <v>5569.06</v>
      </c>
      <c r="AA31" s="676"/>
      <c r="AB31" s="676">
        <v>5120.87</v>
      </c>
      <c r="AC31" s="676"/>
      <c r="AD31" s="676">
        <v>5059.82</v>
      </c>
      <c r="AE31" s="607"/>
      <c r="AF31" s="783" t="s">
        <v>571</v>
      </c>
      <c r="AG31" s="779">
        <f>C31-E31</f>
        <v>3748.2360000000008</v>
      </c>
      <c r="AH31" s="781">
        <v>86.3</v>
      </c>
    </row>
    <row r="32" spans="1:34" ht="168.75" x14ac:dyDescent="0.3">
      <c r="A32" s="13" t="s">
        <v>89</v>
      </c>
      <c r="B32" s="47"/>
      <c r="C32" s="32"/>
      <c r="D32" s="32"/>
      <c r="E32" s="32"/>
      <c r="F32" s="32"/>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778">
        <f>C32-E32</f>
        <v>0</v>
      </c>
    </row>
    <row r="33" spans="1:33" ht="18.75" x14ac:dyDescent="0.3">
      <c r="A33" s="13" t="s">
        <v>31</v>
      </c>
      <c r="B33" s="32">
        <f>B34</f>
        <v>0</v>
      </c>
      <c r="C33" s="32">
        <f t="shared" ref="C33:E33" si="32">C34</f>
        <v>0</v>
      </c>
      <c r="D33" s="32">
        <f t="shared" si="32"/>
        <v>0</v>
      </c>
      <c r="E33" s="32">
        <f t="shared" si="32"/>
        <v>0</v>
      </c>
      <c r="F33" s="32" t="e">
        <f>E33/B33*100</f>
        <v>#DIV/0!</v>
      </c>
      <c r="G33" s="47" t="e">
        <f>E33/C33*100</f>
        <v>#DIV/0!</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778">
        <f>C33-E33</f>
        <v>0</v>
      </c>
    </row>
    <row r="34" spans="1:33" ht="18.75" x14ac:dyDescent="0.3">
      <c r="A34" s="13" t="s">
        <v>33</v>
      </c>
      <c r="B34" s="32">
        <f>H34+J34+L34+N34+P34+R34+T34+V34+X34+Z34+AB34+AD34</f>
        <v>0</v>
      </c>
      <c r="C34" s="32">
        <f>H34</f>
        <v>0</v>
      </c>
      <c r="D34" s="32"/>
      <c r="E34" s="32">
        <f>I34</f>
        <v>0</v>
      </c>
      <c r="F34" s="47" t="e">
        <f t="shared" ref="F34" si="33">D34/B34*100</f>
        <v>#DIV/0!</v>
      </c>
      <c r="G34" s="47" t="e">
        <f t="shared" ref="G34" si="34">E34/C34*100</f>
        <v>#DIV/0!</v>
      </c>
      <c r="H34" s="47">
        <v>0</v>
      </c>
      <c r="I34" s="47"/>
      <c r="J34" s="47">
        <v>0</v>
      </c>
      <c r="K34" s="47"/>
      <c r="L34" s="47">
        <v>0</v>
      </c>
      <c r="M34" s="47"/>
      <c r="N34" s="47">
        <v>0</v>
      </c>
      <c r="O34" s="47"/>
      <c r="P34" s="47">
        <v>0</v>
      </c>
      <c r="Q34" s="47"/>
      <c r="R34" s="47">
        <v>0</v>
      </c>
      <c r="S34" s="47"/>
      <c r="T34" s="47">
        <v>0</v>
      </c>
      <c r="U34" s="47"/>
      <c r="V34" s="47">
        <v>0</v>
      </c>
      <c r="W34" s="47"/>
      <c r="X34" s="47">
        <v>0</v>
      </c>
      <c r="Y34" s="47"/>
      <c r="Z34" s="47">
        <v>0</v>
      </c>
      <c r="AA34" s="47"/>
      <c r="AB34" s="47">
        <v>0</v>
      </c>
      <c r="AC34" s="47"/>
      <c r="AD34" s="47">
        <v>0</v>
      </c>
      <c r="AE34" s="47"/>
      <c r="AF34" s="47"/>
      <c r="AG34" s="778">
        <f>C34-E34</f>
        <v>0</v>
      </c>
    </row>
    <row r="35" spans="1:33" ht="56.25" x14ac:dyDescent="0.3">
      <c r="A35" s="48" t="s">
        <v>90</v>
      </c>
      <c r="B35" s="47"/>
      <c r="C35" s="32"/>
      <c r="D35" s="32"/>
      <c r="E35" s="32"/>
      <c r="F35" s="32"/>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778">
        <f>C35-E35</f>
        <v>0</v>
      </c>
    </row>
    <row r="36" spans="1:33" ht="18.75" x14ac:dyDescent="0.3">
      <c r="A36" s="13" t="s">
        <v>31</v>
      </c>
      <c r="B36" s="32">
        <f>B37</f>
        <v>151964.79499999998</v>
      </c>
      <c r="C36" s="32">
        <f t="shared" ref="C36" si="35">C37</f>
        <v>35508.046000000002</v>
      </c>
      <c r="D36" s="32">
        <f>C36</f>
        <v>35508.046000000002</v>
      </c>
      <c r="E36" s="32">
        <f t="shared" ref="E36" si="36">E37</f>
        <v>32607.055999999997</v>
      </c>
      <c r="F36" s="32">
        <f>E36/B36*100</f>
        <v>21.456980217029873</v>
      </c>
      <c r="G36" s="47">
        <f>E36/C36*100</f>
        <v>91.830048885258279</v>
      </c>
      <c r="H36" s="47">
        <f>H37</f>
        <v>9322.1929999999993</v>
      </c>
      <c r="I36" s="47">
        <f t="shared" ref="I36:AE36" si="37">I37</f>
        <v>8417.2170000000006</v>
      </c>
      <c r="J36" s="47">
        <f t="shared" si="37"/>
        <v>15651.73</v>
      </c>
      <c r="K36" s="47">
        <f t="shared" si="37"/>
        <v>15007.847</v>
      </c>
      <c r="L36" s="47">
        <f t="shared" si="37"/>
        <v>10534.123</v>
      </c>
      <c r="M36" s="47">
        <f t="shared" si="37"/>
        <v>9181.9920000000002</v>
      </c>
      <c r="N36" s="47">
        <f t="shared" si="37"/>
        <v>14396.763000000001</v>
      </c>
      <c r="O36" s="47">
        <f t="shared" si="37"/>
        <v>0</v>
      </c>
      <c r="P36" s="47">
        <f t="shared" si="37"/>
        <v>8846.7819999999992</v>
      </c>
      <c r="Q36" s="47">
        <f t="shared" si="37"/>
        <v>0</v>
      </c>
      <c r="R36" s="47">
        <f>R37</f>
        <v>13522.424000000001</v>
      </c>
      <c r="S36" s="47">
        <f t="shared" si="37"/>
        <v>0</v>
      </c>
      <c r="T36" s="47">
        <f t="shared" si="37"/>
        <v>18848.744999999999</v>
      </c>
      <c r="U36" s="47">
        <f t="shared" si="37"/>
        <v>0</v>
      </c>
      <c r="V36" s="47">
        <f t="shared" si="37"/>
        <v>12579.513999999999</v>
      </c>
      <c r="W36" s="47">
        <f t="shared" si="37"/>
        <v>0</v>
      </c>
      <c r="X36" s="47">
        <f t="shared" si="37"/>
        <v>9241.2080000000005</v>
      </c>
      <c r="Y36" s="47">
        <f t="shared" si="37"/>
        <v>0</v>
      </c>
      <c r="Z36" s="47">
        <f t="shared" si="37"/>
        <v>13118.397999999999</v>
      </c>
      <c r="AA36" s="47">
        <f t="shared" si="37"/>
        <v>0</v>
      </c>
      <c r="AB36" s="47">
        <f t="shared" si="37"/>
        <v>9115.893</v>
      </c>
      <c r="AC36" s="47">
        <f t="shared" si="37"/>
        <v>0</v>
      </c>
      <c r="AD36" s="47">
        <f t="shared" si="37"/>
        <v>16787.022000000001</v>
      </c>
      <c r="AE36" s="47">
        <f t="shared" si="37"/>
        <v>0</v>
      </c>
      <c r="AF36" s="47"/>
      <c r="AG36" s="778"/>
    </row>
    <row r="37" spans="1:33" ht="56.25" x14ac:dyDescent="0.3">
      <c r="A37" s="13" t="s">
        <v>33</v>
      </c>
      <c r="B37" s="775">
        <f>H37+J37+L37+N37+P37+R37+T37+V37+X37+Z37+AB37+AD37</f>
        <v>151964.79499999998</v>
      </c>
      <c r="C37" s="775">
        <f>H37+J37+L37</f>
        <v>35508.046000000002</v>
      </c>
      <c r="D37" s="32">
        <f>C37</f>
        <v>35508.046000000002</v>
      </c>
      <c r="E37" s="775">
        <f>I37+K37+M37</f>
        <v>32607.055999999997</v>
      </c>
      <c r="F37" s="32">
        <f t="shared" ref="F37" si="38">D37/B37*100</f>
        <v>23.365968413934297</v>
      </c>
      <c r="G37" s="47">
        <f t="shared" ref="G37" si="39">E37/C37*100</f>
        <v>91.830048885258279</v>
      </c>
      <c r="H37" s="47">
        <v>9322.1929999999993</v>
      </c>
      <c r="I37" s="47">
        <v>8417.2170000000006</v>
      </c>
      <c r="J37" s="47">
        <v>15651.73</v>
      </c>
      <c r="K37" s="47">
        <v>15007.847</v>
      </c>
      <c r="L37" s="47">
        <v>10534.123</v>
      </c>
      <c r="M37" s="47">
        <v>9181.9920000000002</v>
      </c>
      <c r="N37" s="47">
        <v>14396.763000000001</v>
      </c>
      <c r="O37" s="47">
        <v>0</v>
      </c>
      <c r="P37" s="47">
        <v>8846.7819999999992</v>
      </c>
      <c r="Q37" s="47">
        <v>0</v>
      </c>
      <c r="R37" s="47">
        <v>13522.424000000001</v>
      </c>
      <c r="S37" s="47">
        <v>0</v>
      </c>
      <c r="T37" s="47">
        <v>18848.744999999999</v>
      </c>
      <c r="U37" s="47">
        <v>0</v>
      </c>
      <c r="V37" s="47">
        <v>12579.513999999999</v>
      </c>
      <c r="W37" s="47">
        <v>0</v>
      </c>
      <c r="X37" s="47">
        <v>9241.2080000000005</v>
      </c>
      <c r="Y37" s="47">
        <v>0</v>
      </c>
      <c r="Z37" s="47">
        <v>13118.397999999999</v>
      </c>
      <c r="AA37" s="47">
        <v>0</v>
      </c>
      <c r="AB37" s="47">
        <v>9115.893</v>
      </c>
      <c r="AC37" s="47">
        <v>0</v>
      </c>
      <c r="AD37" s="47">
        <v>16787.022000000001</v>
      </c>
      <c r="AE37" s="47">
        <v>0</v>
      </c>
      <c r="AF37" s="783" t="s">
        <v>572</v>
      </c>
      <c r="AG37" s="778">
        <f>C37-E37</f>
        <v>2900.9900000000052</v>
      </c>
    </row>
    <row r="38" spans="1:33" ht="112.5" x14ac:dyDescent="0.3">
      <c r="A38" s="48" t="s">
        <v>91</v>
      </c>
      <c r="B38" s="47"/>
      <c r="C38" s="32"/>
      <c r="D38" s="32"/>
      <c r="E38" s="32"/>
      <c r="F38" s="32"/>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784" t="s">
        <v>507</v>
      </c>
      <c r="AG38" s="778">
        <f>C38-E38</f>
        <v>0</v>
      </c>
    </row>
    <row r="39" spans="1:33" ht="18.75" x14ac:dyDescent="0.3">
      <c r="A39" s="13" t="s">
        <v>31</v>
      </c>
      <c r="B39" s="32">
        <f>B40</f>
        <v>27895.672999999995</v>
      </c>
      <c r="C39" s="32">
        <f t="shared" ref="C39" si="40">C40</f>
        <v>6257.9380000000001</v>
      </c>
      <c r="D39" s="32">
        <f>C39</f>
        <v>6257.9380000000001</v>
      </c>
      <c r="E39" s="32">
        <f>I39+K39+M39</f>
        <v>4744.4130000000005</v>
      </c>
      <c r="F39" s="32">
        <f>E39/B39*100</f>
        <v>17.007702233962956</v>
      </c>
      <c r="G39" s="47">
        <f>E39/C39*100</f>
        <v>75.814317751310426</v>
      </c>
      <c r="H39" s="47">
        <f>H40</f>
        <v>1526.4580000000001</v>
      </c>
      <c r="I39" s="47">
        <f t="shared" ref="I39:AE39" si="41">I40</f>
        <v>528.29300000000001</v>
      </c>
      <c r="J39" s="47">
        <f t="shared" si="41"/>
        <v>2274.7759999999998</v>
      </c>
      <c r="K39" s="47">
        <f t="shared" si="41"/>
        <v>2456.3969999999999</v>
      </c>
      <c r="L39" s="47">
        <f t="shared" si="41"/>
        <v>2456.7040000000002</v>
      </c>
      <c r="M39" s="47">
        <f t="shared" si="41"/>
        <v>1759.723</v>
      </c>
      <c r="N39" s="47">
        <f t="shared" si="41"/>
        <v>2336.701</v>
      </c>
      <c r="O39" s="47">
        <f t="shared" si="41"/>
        <v>0</v>
      </c>
      <c r="P39" s="47">
        <f t="shared" si="41"/>
        <v>2705.1120000000001</v>
      </c>
      <c r="Q39" s="47">
        <f t="shared" si="41"/>
        <v>0</v>
      </c>
      <c r="R39" s="47">
        <f t="shared" si="41"/>
        <v>2370.5430000000001</v>
      </c>
      <c r="S39" s="47">
        <f t="shared" si="41"/>
        <v>0</v>
      </c>
      <c r="T39" s="47">
        <f t="shared" si="41"/>
        <v>2291.1120000000001</v>
      </c>
      <c r="U39" s="47">
        <f t="shared" si="41"/>
        <v>0</v>
      </c>
      <c r="V39" s="47">
        <f t="shared" si="41"/>
        <v>2255.0830000000001</v>
      </c>
      <c r="W39" s="47">
        <f t="shared" si="41"/>
        <v>0</v>
      </c>
      <c r="X39" s="47">
        <f t="shared" si="41"/>
        <v>2218.5990000000002</v>
      </c>
      <c r="Y39" s="47">
        <f t="shared" si="41"/>
        <v>0</v>
      </c>
      <c r="Z39" s="47">
        <f t="shared" si="41"/>
        <v>2229.2689999999998</v>
      </c>
      <c r="AA39" s="47">
        <f t="shared" si="41"/>
        <v>0</v>
      </c>
      <c r="AB39" s="47">
        <f t="shared" si="41"/>
        <v>2246.4409999999998</v>
      </c>
      <c r="AC39" s="47">
        <f t="shared" si="41"/>
        <v>0</v>
      </c>
      <c r="AD39" s="47">
        <f t="shared" si="41"/>
        <v>2984.875</v>
      </c>
      <c r="AE39" s="47">
        <f t="shared" si="41"/>
        <v>0</v>
      </c>
      <c r="AF39" s="785"/>
      <c r="AG39" s="778"/>
    </row>
    <row r="40" spans="1:33" ht="56.25" x14ac:dyDescent="0.3">
      <c r="A40" s="13" t="s">
        <v>33</v>
      </c>
      <c r="B40" s="775">
        <f>H40+J40+L40+N40+P40+R40+T40+V40+X40+Z40+AB40+AD40</f>
        <v>27895.672999999995</v>
      </c>
      <c r="C40" s="775">
        <f>H40+J40+L40</f>
        <v>6257.9380000000001</v>
      </c>
      <c r="D40" s="32">
        <f>C40</f>
        <v>6257.9380000000001</v>
      </c>
      <c r="E40" s="775">
        <f>I40+K40+M40</f>
        <v>4744.4130000000005</v>
      </c>
      <c r="F40" s="32">
        <f t="shared" ref="F40" si="42">D40/B40*100</f>
        <v>22.433364486312989</v>
      </c>
      <c r="G40" s="47">
        <f t="shared" ref="G40" si="43">E40/C40*100</f>
        <v>75.814317751310426</v>
      </c>
      <c r="H40" s="47">
        <v>1526.4580000000001</v>
      </c>
      <c r="I40" s="47">
        <v>528.29300000000001</v>
      </c>
      <c r="J40" s="47">
        <v>2274.7759999999998</v>
      </c>
      <c r="K40" s="47">
        <v>2456.3969999999999</v>
      </c>
      <c r="L40" s="47">
        <v>2456.7040000000002</v>
      </c>
      <c r="M40" s="47">
        <v>1759.723</v>
      </c>
      <c r="N40" s="47">
        <v>2336.701</v>
      </c>
      <c r="O40" s="47">
        <v>0</v>
      </c>
      <c r="P40" s="47">
        <v>2705.1120000000001</v>
      </c>
      <c r="Q40" s="47">
        <v>0</v>
      </c>
      <c r="R40" s="47">
        <v>2370.5430000000001</v>
      </c>
      <c r="S40" s="47">
        <v>0</v>
      </c>
      <c r="T40" s="47">
        <v>2291.1120000000001</v>
      </c>
      <c r="U40" s="47">
        <v>0</v>
      </c>
      <c r="V40" s="47">
        <v>2255.0830000000001</v>
      </c>
      <c r="W40" s="47">
        <v>0</v>
      </c>
      <c r="X40" s="47">
        <v>2218.5990000000002</v>
      </c>
      <c r="Y40" s="47">
        <v>0</v>
      </c>
      <c r="Z40" s="47">
        <v>2229.2689999999998</v>
      </c>
      <c r="AA40" s="47">
        <v>0</v>
      </c>
      <c r="AB40" s="47">
        <v>2246.4409999999998</v>
      </c>
      <c r="AC40" s="47">
        <v>0</v>
      </c>
      <c r="AD40" s="47">
        <v>2984.875</v>
      </c>
      <c r="AE40" s="47">
        <v>0</v>
      </c>
      <c r="AF40" s="786" t="s">
        <v>573</v>
      </c>
      <c r="AG40" s="778">
        <f>C40-E40</f>
        <v>1513.5249999999996</v>
      </c>
    </row>
    <row r="41" spans="1:33" ht="18.75" x14ac:dyDescent="0.3">
      <c r="A41" s="56" t="s">
        <v>35</v>
      </c>
      <c r="B41" s="47"/>
      <c r="C41" s="32"/>
      <c r="D41" s="32"/>
      <c r="E41" s="3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785"/>
      <c r="AG41" s="778">
        <f>C41-E41</f>
        <v>0</v>
      </c>
    </row>
    <row r="42" spans="1:33" ht="18.75" x14ac:dyDescent="0.3">
      <c r="A42" s="13" t="s">
        <v>31</v>
      </c>
      <c r="B42" s="47">
        <f>B43</f>
        <v>298556.49</v>
      </c>
      <c r="C42" s="47">
        <f t="shared" ref="C42:E42" si="44">C43</f>
        <v>75110.713999999993</v>
      </c>
      <c r="D42" s="47">
        <f t="shared" si="44"/>
        <v>75110.713999999993</v>
      </c>
      <c r="E42" s="47">
        <f t="shared" si="44"/>
        <v>65287.084000000003</v>
      </c>
      <c r="F42" s="47">
        <f t="shared" ref="F42:F43" si="45">D42/B42*100</f>
        <v>25.157957209370995</v>
      </c>
      <c r="G42" s="47">
        <f t="shared" ref="G42:G43" si="46">E42/C42*100</f>
        <v>86.921133514986977</v>
      </c>
      <c r="H42" s="47">
        <f t="shared" ref="H42" si="47">H43</f>
        <v>21721.719999999998</v>
      </c>
      <c r="I42" s="47">
        <f t="shared" ref="I42" si="48">I43</f>
        <v>14949.585000000001</v>
      </c>
      <c r="J42" s="47">
        <f t="shared" ref="J42" si="49">J43</f>
        <v>30195.828999999998</v>
      </c>
      <c r="K42" s="47">
        <f t="shared" ref="K42" si="50">K43</f>
        <v>28578.882000000001</v>
      </c>
      <c r="L42" s="47">
        <f t="shared" ref="L42" si="51">L43</f>
        <v>23193.165000000001</v>
      </c>
      <c r="M42" s="47">
        <f t="shared" ref="M42" si="52">M43</f>
        <v>21758.616999999998</v>
      </c>
      <c r="N42" s="47">
        <f t="shared" ref="N42" si="53">N43</f>
        <v>27358.758000000002</v>
      </c>
      <c r="O42" s="47">
        <f t="shared" ref="O42" si="54">O43</f>
        <v>0</v>
      </c>
      <c r="P42" s="47">
        <f t="shared" ref="P42" si="55">P43</f>
        <v>21574.27</v>
      </c>
      <c r="Q42" s="47">
        <f t="shared" ref="Q42" si="56">Q43</f>
        <v>0</v>
      </c>
      <c r="R42" s="47">
        <f t="shared" ref="R42" si="57">R43</f>
        <v>26331.936000000005</v>
      </c>
      <c r="S42" s="47">
        <f t="shared" ref="S42" si="58">S43</f>
        <v>0</v>
      </c>
      <c r="T42" s="47">
        <f t="shared" ref="T42" si="59">T43</f>
        <v>32395.124</v>
      </c>
      <c r="U42" s="47">
        <f t="shared" ref="U42" si="60">U43</f>
        <v>0</v>
      </c>
      <c r="V42" s="47">
        <f t="shared" ref="V42" si="61">V43</f>
        <v>23717.759999999998</v>
      </c>
      <c r="W42" s="47">
        <f t="shared" ref="W42" si="62">W43</f>
        <v>0</v>
      </c>
      <c r="X42" s="47">
        <f t="shared" ref="X42" si="63">X43</f>
        <v>18595.241000000002</v>
      </c>
      <c r="Y42" s="47">
        <f t="shared" ref="Y42" si="64">Y43</f>
        <v>0</v>
      </c>
      <c r="Z42" s="47">
        <f t="shared" ref="Z42" si="65">Z43</f>
        <v>23715.197</v>
      </c>
      <c r="AA42" s="47">
        <f t="shared" ref="AA42" si="66">AA43</f>
        <v>0</v>
      </c>
      <c r="AB42" s="47">
        <f t="shared" ref="AB42" si="67">AB43</f>
        <v>19046.302</v>
      </c>
      <c r="AC42" s="47">
        <f t="shared" ref="AC42" si="68">AC43</f>
        <v>0</v>
      </c>
      <c r="AD42" s="47">
        <f t="shared" ref="AD42" si="69">AD43</f>
        <v>30711.188000000002</v>
      </c>
      <c r="AE42" s="47">
        <f t="shared" ref="AE42" si="70">AE43</f>
        <v>0</v>
      </c>
      <c r="AF42" s="785"/>
      <c r="AG42" s="778"/>
    </row>
    <row r="43" spans="1:33" ht="18.75" x14ac:dyDescent="0.3">
      <c r="A43" s="13" t="s">
        <v>33</v>
      </c>
      <c r="B43" s="47">
        <f>B22</f>
        <v>298556.49</v>
      </c>
      <c r="C43" s="47">
        <f t="shared" ref="C43:E43" si="71">C22</f>
        <v>75110.713999999993</v>
      </c>
      <c r="D43" s="47">
        <f t="shared" si="71"/>
        <v>75110.713999999993</v>
      </c>
      <c r="E43" s="47">
        <f t="shared" si="71"/>
        <v>65287.084000000003</v>
      </c>
      <c r="F43" s="47">
        <f t="shared" si="45"/>
        <v>25.157957209370995</v>
      </c>
      <c r="G43" s="47">
        <f t="shared" si="46"/>
        <v>86.921133514986977</v>
      </c>
      <c r="H43" s="47">
        <f>H22</f>
        <v>21721.719999999998</v>
      </c>
      <c r="I43" s="47">
        <f>I22</f>
        <v>14949.585000000001</v>
      </c>
      <c r="J43" s="47">
        <f t="shared" ref="J43:AE43" si="72">J22</f>
        <v>30195.828999999998</v>
      </c>
      <c r="K43" s="47">
        <f t="shared" si="72"/>
        <v>28578.882000000001</v>
      </c>
      <c r="L43" s="47">
        <f t="shared" si="72"/>
        <v>23193.165000000001</v>
      </c>
      <c r="M43" s="47">
        <f t="shared" si="72"/>
        <v>21758.616999999998</v>
      </c>
      <c r="N43" s="47">
        <f t="shared" si="72"/>
        <v>27358.758000000002</v>
      </c>
      <c r="O43" s="47">
        <f t="shared" si="72"/>
        <v>0</v>
      </c>
      <c r="P43" s="47">
        <f t="shared" si="72"/>
        <v>21574.27</v>
      </c>
      <c r="Q43" s="47">
        <f t="shared" si="72"/>
        <v>0</v>
      </c>
      <c r="R43" s="47">
        <f t="shared" si="72"/>
        <v>26331.936000000005</v>
      </c>
      <c r="S43" s="47">
        <f t="shared" si="72"/>
        <v>0</v>
      </c>
      <c r="T43" s="47">
        <f t="shared" si="72"/>
        <v>32395.124</v>
      </c>
      <c r="U43" s="47">
        <f t="shared" si="72"/>
        <v>0</v>
      </c>
      <c r="V43" s="47">
        <f t="shared" si="72"/>
        <v>23717.759999999998</v>
      </c>
      <c r="W43" s="47">
        <f t="shared" si="72"/>
        <v>0</v>
      </c>
      <c r="X43" s="47">
        <f t="shared" si="72"/>
        <v>18595.241000000002</v>
      </c>
      <c r="Y43" s="47">
        <f t="shared" si="72"/>
        <v>0</v>
      </c>
      <c r="Z43" s="47">
        <f t="shared" si="72"/>
        <v>23715.197</v>
      </c>
      <c r="AA43" s="47">
        <f t="shared" si="72"/>
        <v>0</v>
      </c>
      <c r="AB43" s="47">
        <f t="shared" si="72"/>
        <v>19046.302</v>
      </c>
      <c r="AC43" s="47">
        <f t="shared" si="72"/>
        <v>0</v>
      </c>
      <c r="AD43" s="47">
        <f t="shared" si="72"/>
        <v>30711.188000000002</v>
      </c>
      <c r="AE43" s="47">
        <f t="shared" si="72"/>
        <v>0</v>
      </c>
      <c r="AF43" s="47"/>
      <c r="AG43" s="778">
        <f>C43-E43</f>
        <v>9823.6299999999901</v>
      </c>
    </row>
    <row r="44" spans="1:33" ht="37.5" x14ac:dyDescent="0.3">
      <c r="A44" s="28" t="s">
        <v>73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778"/>
    </row>
    <row r="45" spans="1:33" ht="18.75" x14ac:dyDescent="0.3">
      <c r="A45" s="8" t="s">
        <v>31</v>
      </c>
      <c r="B45" s="41">
        <f>B46</f>
        <v>298556.49</v>
      </c>
      <c r="C45" s="41">
        <f t="shared" ref="C45:E45" si="73">C46</f>
        <v>75110.713999999993</v>
      </c>
      <c r="D45" s="41">
        <f t="shared" si="73"/>
        <v>75110.713999999993</v>
      </c>
      <c r="E45" s="41">
        <f t="shared" si="73"/>
        <v>65287.084000000003</v>
      </c>
      <c r="F45" s="32">
        <f t="shared" ref="F45:F46" si="74">E45/B45*100</f>
        <v>21.867581575600653</v>
      </c>
      <c r="G45" s="47">
        <f t="shared" ref="G45:G46" si="75">E45/C45*100</f>
        <v>86.921133514986977</v>
      </c>
      <c r="H45" s="41">
        <f t="shared" ref="H45" si="76">H46</f>
        <v>21721.719999999998</v>
      </c>
      <c r="I45" s="41">
        <f>I46</f>
        <v>14949.585000000001</v>
      </c>
      <c r="J45" s="41">
        <f t="shared" ref="J45" si="77">J46</f>
        <v>30195.828999999998</v>
      </c>
      <c r="K45" s="41">
        <f t="shared" ref="K45" si="78">K46</f>
        <v>28578.882000000001</v>
      </c>
      <c r="L45" s="41">
        <f t="shared" ref="L45" si="79">L46</f>
        <v>23193.165000000001</v>
      </c>
      <c r="M45" s="41">
        <f t="shared" ref="M45" si="80">M46</f>
        <v>21758.616999999998</v>
      </c>
      <c r="N45" s="41">
        <f t="shared" ref="N45" si="81">N46</f>
        <v>27358.758000000002</v>
      </c>
      <c r="O45" s="41">
        <f t="shared" ref="O45" si="82">O46</f>
        <v>0</v>
      </c>
      <c r="P45" s="41">
        <f t="shared" ref="P45" si="83">P46</f>
        <v>21574.27</v>
      </c>
      <c r="Q45" s="41">
        <f t="shared" ref="Q45" si="84">Q46</f>
        <v>0</v>
      </c>
      <c r="R45" s="41">
        <f t="shared" ref="R45" si="85">R46</f>
        <v>26331.936000000005</v>
      </c>
      <c r="S45" s="41">
        <f t="shared" ref="S45" si="86">S46</f>
        <v>0</v>
      </c>
      <c r="T45" s="41">
        <f t="shared" ref="T45" si="87">T46</f>
        <v>32395.124</v>
      </c>
      <c r="U45" s="41">
        <f t="shared" ref="U45" si="88">U46</f>
        <v>0</v>
      </c>
      <c r="V45" s="41">
        <f t="shared" ref="V45" si="89">V46</f>
        <v>23717.759999999998</v>
      </c>
      <c r="W45" s="41">
        <f t="shared" ref="W45" si="90">W46</f>
        <v>0</v>
      </c>
      <c r="X45" s="41">
        <f t="shared" ref="X45" si="91">X46</f>
        <v>18595.241000000002</v>
      </c>
      <c r="Y45" s="41">
        <f t="shared" ref="Y45" si="92">Y46</f>
        <v>0</v>
      </c>
      <c r="Z45" s="41">
        <f t="shared" ref="Z45" si="93">Z46</f>
        <v>23715.197</v>
      </c>
      <c r="AA45" s="41">
        <f t="shared" ref="AA45" si="94">AA46</f>
        <v>0</v>
      </c>
      <c r="AB45" s="41">
        <f t="shared" ref="AB45" si="95">AB46</f>
        <v>19046.302</v>
      </c>
      <c r="AC45" s="41">
        <f t="shared" ref="AC45" si="96">AC46</f>
        <v>0</v>
      </c>
      <c r="AD45" s="41">
        <f t="shared" ref="AD45" si="97">AD46</f>
        <v>30711.188000000002</v>
      </c>
      <c r="AE45" s="41">
        <f t="shared" ref="AE45" si="98">AE46</f>
        <v>0</v>
      </c>
      <c r="AF45" s="29"/>
      <c r="AG45" s="778"/>
    </row>
    <row r="46" spans="1:33" ht="18.75" x14ac:dyDescent="0.3">
      <c r="A46" s="13" t="s">
        <v>33</v>
      </c>
      <c r="B46" s="41">
        <f>B43</f>
        <v>298556.49</v>
      </c>
      <c r="C46" s="41">
        <f t="shared" ref="C46:E46" si="99">C43</f>
        <v>75110.713999999993</v>
      </c>
      <c r="D46" s="41">
        <f t="shared" si="99"/>
        <v>75110.713999999993</v>
      </c>
      <c r="E46" s="41">
        <f t="shared" si="99"/>
        <v>65287.084000000003</v>
      </c>
      <c r="F46" s="32">
        <f t="shared" si="74"/>
        <v>21.867581575600653</v>
      </c>
      <c r="G46" s="47">
        <f t="shared" si="75"/>
        <v>86.921133514986977</v>
      </c>
      <c r="H46" s="41">
        <f t="shared" ref="H46:AE46" si="100">H43</f>
        <v>21721.719999999998</v>
      </c>
      <c r="I46" s="41">
        <f>I43</f>
        <v>14949.585000000001</v>
      </c>
      <c r="J46" s="41">
        <f t="shared" si="100"/>
        <v>30195.828999999998</v>
      </c>
      <c r="K46" s="41">
        <f t="shared" si="100"/>
        <v>28578.882000000001</v>
      </c>
      <c r="L46" s="41">
        <f t="shared" si="100"/>
        <v>23193.165000000001</v>
      </c>
      <c r="M46" s="41">
        <f t="shared" si="100"/>
        <v>21758.616999999998</v>
      </c>
      <c r="N46" s="41">
        <f t="shared" si="100"/>
        <v>27358.758000000002</v>
      </c>
      <c r="O46" s="41">
        <f t="shared" si="100"/>
        <v>0</v>
      </c>
      <c r="P46" s="41">
        <f t="shared" si="100"/>
        <v>21574.27</v>
      </c>
      <c r="Q46" s="41">
        <f t="shared" si="100"/>
        <v>0</v>
      </c>
      <c r="R46" s="41">
        <f t="shared" si="100"/>
        <v>26331.936000000005</v>
      </c>
      <c r="S46" s="41">
        <f t="shared" si="100"/>
        <v>0</v>
      </c>
      <c r="T46" s="41">
        <f t="shared" si="100"/>
        <v>32395.124</v>
      </c>
      <c r="U46" s="41">
        <f t="shared" si="100"/>
        <v>0</v>
      </c>
      <c r="V46" s="41">
        <f t="shared" si="100"/>
        <v>23717.759999999998</v>
      </c>
      <c r="W46" s="41">
        <f t="shared" si="100"/>
        <v>0</v>
      </c>
      <c r="X46" s="41">
        <f t="shared" si="100"/>
        <v>18595.241000000002</v>
      </c>
      <c r="Y46" s="41">
        <f t="shared" si="100"/>
        <v>0</v>
      </c>
      <c r="Z46" s="41">
        <f t="shared" si="100"/>
        <v>23715.197</v>
      </c>
      <c r="AA46" s="41">
        <f t="shared" si="100"/>
        <v>0</v>
      </c>
      <c r="AB46" s="41">
        <f t="shared" si="100"/>
        <v>19046.302</v>
      </c>
      <c r="AC46" s="41">
        <f t="shared" si="100"/>
        <v>0</v>
      </c>
      <c r="AD46" s="41">
        <f t="shared" si="100"/>
        <v>30711.188000000002</v>
      </c>
      <c r="AE46" s="41">
        <f t="shared" si="100"/>
        <v>0</v>
      </c>
      <c r="AF46" s="29"/>
      <c r="AG46" s="778"/>
    </row>
    <row r="47" spans="1:33" ht="18.75" x14ac:dyDescent="0.3">
      <c r="A47" s="60" t="s">
        <v>82</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778"/>
    </row>
    <row r="48" spans="1:33" ht="18.75" x14ac:dyDescent="0.3">
      <c r="A48" s="52" t="s">
        <v>54</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778">
        <f t="shared" ref="AG48:AG71" si="101">C48-E48</f>
        <v>0</v>
      </c>
    </row>
    <row r="49" spans="1:34" ht="75" x14ac:dyDescent="0.3">
      <c r="A49" s="68" t="s">
        <v>83</v>
      </c>
      <c r="B49" s="5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778">
        <f t="shared" si="101"/>
        <v>0</v>
      </c>
    </row>
    <row r="50" spans="1:34" ht="18.75" x14ac:dyDescent="0.3">
      <c r="A50" s="18" t="s">
        <v>31</v>
      </c>
      <c r="B50" s="41">
        <f>B51</f>
        <v>69764.61</v>
      </c>
      <c r="C50" s="41">
        <f t="shared" ref="C50:E50" si="102">C51</f>
        <v>0</v>
      </c>
      <c r="D50" s="41">
        <f t="shared" si="102"/>
        <v>0</v>
      </c>
      <c r="E50" s="41">
        <f t="shared" si="102"/>
        <v>0</v>
      </c>
      <c r="F50" s="32">
        <f t="shared" ref="F50:F51" si="103">E50/B50*100</f>
        <v>0</v>
      </c>
      <c r="G50" s="47" t="e">
        <f t="shared" ref="G50" si="104">E50/C50*100</f>
        <v>#DIV/0!</v>
      </c>
      <c r="H50" s="41">
        <f>H51</f>
        <v>0</v>
      </c>
      <c r="I50" s="41">
        <f t="shared" ref="I50:AE50" si="105">I51</f>
        <v>0</v>
      </c>
      <c r="J50" s="41">
        <f t="shared" si="105"/>
        <v>5532.51</v>
      </c>
      <c r="K50" s="41">
        <f t="shared" si="105"/>
        <v>5532.51</v>
      </c>
      <c r="L50" s="41">
        <f t="shared" si="105"/>
        <v>125.99</v>
      </c>
      <c r="M50" s="41">
        <f t="shared" si="105"/>
        <v>0</v>
      </c>
      <c r="N50" s="41">
        <f t="shared" si="105"/>
        <v>0.01</v>
      </c>
      <c r="O50" s="41">
        <f t="shared" si="105"/>
        <v>0</v>
      </c>
      <c r="P50" s="41">
        <f t="shared" si="105"/>
        <v>0</v>
      </c>
      <c r="Q50" s="41">
        <f t="shared" si="105"/>
        <v>0</v>
      </c>
      <c r="R50" s="41">
        <f t="shared" si="105"/>
        <v>0</v>
      </c>
      <c r="S50" s="41">
        <f t="shared" si="105"/>
        <v>0</v>
      </c>
      <c r="T50" s="41">
        <f t="shared" si="105"/>
        <v>0</v>
      </c>
      <c r="U50" s="41">
        <f t="shared" si="105"/>
        <v>0</v>
      </c>
      <c r="V50" s="41">
        <f t="shared" si="105"/>
        <v>0</v>
      </c>
      <c r="W50" s="41">
        <f t="shared" si="105"/>
        <v>0</v>
      </c>
      <c r="X50" s="41">
        <f t="shared" si="105"/>
        <v>0</v>
      </c>
      <c r="Y50" s="41">
        <f t="shared" si="105"/>
        <v>0</v>
      </c>
      <c r="Z50" s="41">
        <f t="shared" si="105"/>
        <v>10255.9</v>
      </c>
      <c r="AA50" s="41">
        <f t="shared" si="105"/>
        <v>0</v>
      </c>
      <c r="AB50" s="41">
        <f t="shared" si="105"/>
        <v>0</v>
      </c>
      <c r="AC50" s="41">
        <f t="shared" si="105"/>
        <v>0</v>
      </c>
      <c r="AD50" s="41">
        <f t="shared" si="105"/>
        <v>53850.2</v>
      </c>
      <c r="AE50" s="41">
        <f t="shared" si="105"/>
        <v>0</v>
      </c>
      <c r="AF50" s="29"/>
      <c r="AG50" s="778">
        <f t="shared" si="101"/>
        <v>0</v>
      </c>
    </row>
    <row r="51" spans="1:34" s="46" customFormat="1" ht="18.75" x14ac:dyDescent="0.3">
      <c r="A51" s="712" t="s">
        <v>33</v>
      </c>
      <c r="B51" s="774">
        <f>H51+J51+L51+N51+P51+R51+T51+V51+X51+Z51+AB51+AD51</f>
        <v>69764.61</v>
      </c>
      <c r="C51" s="759">
        <f>H51</f>
        <v>0</v>
      </c>
      <c r="D51" s="32">
        <f>D49</f>
        <v>0</v>
      </c>
      <c r="E51" s="759">
        <f>I51</f>
        <v>0</v>
      </c>
      <c r="F51" s="32">
        <f t="shared" si="103"/>
        <v>0</v>
      </c>
      <c r="G51" s="47" t="e">
        <f>E51/C51*100</f>
        <v>#DIV/0!</v>
      </c>
      <c r="H51" s="47">
        <v>0</v>
      </c>
      <c r="I51" s="29"/>
      <c r="J51" s="29">
        <v>5532.51</v>
      </c>
      <c r="K51" s="29">
        <v>5532.51</v>
      </c>
      <c r="L51" s="29">
        <v>125.99</v>
      </c>
      <c r="M51" s="29"/>
      <c r="N51" s="29">
        <v>0.01</v>
      </c>
      <c r="O51" s="29"/>
      <c r="P51" s="29">
        <v>0</v>
      </c>
      <c r="Q51" s="29"/>
      <c r="R51" s="29">
        <v>0</v>
      </c>
      <c r="S51" s="29"/>
      <c r="T51" s="29">
        <v>0</v>
      </c>
      <c r="U51" s="29"/>
      <c r="V51" s="29">
        <v>0</v>
      </c>
      <c r="W51" s="29"/>
      <c r="X51" s="29">
        <v>0</v>
      </c>
      <c r="Y51" s="29"/>
      <c r="Z51" s="607">
        <v>10255.9</v>
      </c>
      <c r="AA51" s="607">
        <v>0</v>
      </c>
      <c r="AB51" s="607">
        <v>0</v>
      </c>
      <c r="AC51" s="607">
        <v>0</v>
      </c>
      <c r="AD51" s="607">
        <v>53850.2</v>
      </c>
      <c r="AE51" s="607">
        <v>0</v>
      </c>
      <c r="AF51" s="29"/>
      <c r="AG51" s="780">
        <f t="shared" si="101"/>
        <v>0</v>
      </c>
      <c r="AH51" s="46">
        <v>0</v>
      </c>
    </row>
    <row r="52" spans="1:34" ht="18.75" x14ac:dyDescent="0.3">
      <c r="A52" s="56" t="s">
        <v>62</v>
      </c>
      <c r="B52" s="29"/>
      <c r="C52" s="29"/>
      <c r="D52" s="29"/>
      <c r="E52" s="29"/>
      <c r="F52" s="29"/>
      <c r="G52" s="29"/>
      <c r="H52" s="29"/>
      <c r="I52" s="47"/>
      <c r="J52" s="47"/>
      <c r="K52" s="47"/>
      <c r="L52" s="47"/>
      <c r="M52" s="47"/>
      <c r="N52" s="47"/>
      <c r="O52" s="29"/>
      <c r="P52" s="29"/>
      <c r="Q52" s="29"/>
      <c r="R52" s="29"/>
      <c r="S52" s="29"/>
      <c r="T52" s="29"/>
      <c r="U52" s="29"/>
      <c r="V52" s="29"/>
      <c r="W52" s="29"/>
      <c r="X52" s="29"/>
      <c r="Y52" s="29"/>
      <c r="Z52" s="29"/>
      <c r="AA52" s="29"/>
      <c r="AB52" s="29"/>
      <c r="AC52" s="29"/>
      <c r="AD52" s="29"/>
      <c r="AE52" s="29"/>
      <c r="AF52" s="29"/>
      <c r="AG52" s="778">
        <f t="shared" si="101"/>
        <v>0</v>
      </c>
    </row>
    <row r="53" spans="1:34" ht="18.75" x14ac:dyDescent="0.3">
      <c r="A53" s="19" t="s">
        <v>31</v>
      </c>
      <c r="B53" s="41">
        <f>B54</f>
        <v>69764.61</v>
      </c>
      <c r="C53" s="41">
        <f t="shared" ref="C53:E53" si="106">C54</f>
        <v>0</v>
      </c>
      <c r="D53" s="41">
        <f t="shared" si="106"/>
        <v>0</v>
      </c>
      <c r="E53" s="41">
        <f t="shared" si="106"/>
        <v>0</v>
      </c>
      <c r="F53" s="32">
        <f t="shared" ref="F53:F54" si="107">E53/B53*100</f>
        <v>0</v>
      </c>
      <c r="G53" s="47" t="e">
        <f t="shared" ref="G53:G54" si="108">E53/C53*100</f>
        <v>#DIV/0!</v>
      </c>
      <c r="H53" s="41">
        <f>H54</f>
        <v>0</v>
      </c>
      <c r="I53" s="41">
        <f t="shared" ref="I53:AE53" si="109">I54</f>
        <v>0</v>
      </c>
      <c r="J53" s="41">
        <f t="shared" si="109"/>
        <v>0</v>
      </c>
      <c r="K53" s="41">
        <f t="shared" si="109"/>
        <v>0</v>
      </c>
      <c r="L53" s="41">
        <f t="shared" si="109"/>
        <v>0</v>
      </c>
      <c r="M53" s="41">
        <f t="shared" si="109"/>
        <v>0</v>
      </c>
      <c r="N53" s="41">
        <f t="shared" si="109"/>
        <v>0</v>
      </c>
      <c r="O53" s="41">
        <f t="shared" si="109"/>
        <v>0</v>
      </c>
      <c r="P53" s="41">
        <f t="shared" si="109"/>
        <v>0</v>
      </c>
      <c r="Q53" s="41">
        <f t="shared" si="109"/>
        <v>0</v>
      </c>
      <c r="R53" s="41">
        <f t="shared" si="109"/>
        <v>0</v>
      </c>
      <c r="S53" s="41">
        <f t="shared" si="109"/>
        <v>0</v>
      </c>
      <c r="T53" s="41">
        <f t="shared" si="109"/>
        <v>0</v>
      </c>
      <c r="U53" s="41">
        <f t="shared" si="109"/>
        <v>0</v>
      </c>
      <c r="V53" s="41">
        <f t="shared" si="109"/>
        <v>0</v>
      </c>
      <c r="W53" s="41">
        <f t="shared" si="109"/>
        <v>0</v>
      </c>
      <c r="X53" s="41">
        <f t="shared" si="109"/>
        <v>0</v>
      </c>
      <c r="Y53" s="41">
        <f t="shared" si="109"/>
        <v>0</v>
      </c>
      <c r="Z53" s="41">
        <f t="shared" si="109"/>
        <v>10381.9</v>
      </c>
      <c r="AA53" s="41">
        <f t="shared" si="109"/>
        <v>0</v>
      </c>
      <c r="AB53" s="41">
        <f t="shared" si="109"/>
        <v>0</v>
      </c>
      <c r="AC53" s="41">
        <f t="shared" si="109"/>
        <v>0</v>
      </c>
      <c r="AD53" s="41">
        <f t="shared" si="109"/>
        <v>3850.2</v>
      </c>
      <c r="AE53" s="41">
        <f t="shared" si="109"/>
        <v>0</v>
      </c>
      <c r="AF53" s="29"/>
      <c r="AG53" s="778">
        <f t="shared" si="101"/>
        <v>0</v>
      </c>
    </row>
    <row r="54" spans="1:34" ht="18.75" x14ac:dyDescent="0.3">
      <c r="A54" s="15" t="s">
        <v>33</v>
      </c>
      <c r="B54" s="41">
        <f>B51</f>
        <v>69764.61</v>
      </c>
      <c r="C54" s="41">
        <f t="shared" ref="C54:E54" si="110">C51</f>
        <v>0</v>
      </c>
      <c r="D54" s="41">
        <f t="shared" si="110"/>
        <v>0</v>
      </c>
      <c r="E54" s="41">
        <f t="shared" si="110"/>
        <v>0</v>
      </c>
      <c r="F54" s="32">
        <f t="shared" si="107"/>
        <v>0</v>
      </c>
      <c r="G54" s="47" t="e">
        <f t="shared" si="108"/>
        <v>#DIV/0!</v>
      </c>
      <c r="H54" s="596">
        <v>0</v>
      </c>
      <c r="I54" s="596">
        <v>0</v>
      </c>
      <c r="J54" s="596">
        <v>0</v>
      </c>
      <c r="K54" s="596">
        <v>0</v>
      </c>
      <c r="L54" s="596">
        <v>0</v>
      </c>
      <c r="M54" s="596">
        <v>0</v>
      </c>
      <c r="N54" s="596">
        <v>0</v>
      </c>
      <c r="O54" s="596">
        <v>0</v>
      </c>
      <c r="P54" s="596">
        <v>0</v>
      </c>
      <c r="Q54" s="596">
        <v>0</v>
      </c>
      <c r="R54" s="596">
        <v>0</v>
      </c>
      <c r="S54" s="596">
        <v>0</v>
      </c>
      <c r="T54" s="596">
        <v>0</v>
      </c>
      <c r="U54" s="596">
        <v>0</v>
      </c>
      <c r="V54" s="596">
        <v>0</v>
      </c>
      <c r="W54" s="596">
        <v>0</v>
      </c>
      <c r="X54" s="596">
        <v>0</v>
      </c>
      <c r="Y54" s="596">
        <v>0</v>
      </c>
      <c r="Z54" s="596">
        <v>10381.9</v>
      </c>
      <c r="AA54" s="596">
        <v>0</v>
      </c>
      <c r="AB54" s="596">
        <v>0</v>
      </c>
      <c r="AC54" s="596">
        <v>0</v>
      </c>
      <c r="AD54" s="596">
        <v>3850.2</v>
      </c>
      <c r="AE54" s="596">
        <v>0</v>
      </c>
      <c r="AF54" s="29"/>
      <c r="AG54" s="778">
        <f t="shared" si="101"/>
        <v>0</v>
      </c>
    </row>
    <row r="55" spans="1:34" ht="37.5" x14ac:dyDescent="0.3">
      <c r="A55" s="28" t="s">
        <v>76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778">
        <f t="shared" si="101"/>
        <v>0</v>
      </c>
    </row>
    <row r="56" spans="1:34" ht="18.75" x14ac:dyDescent="0.3">
      <c r="A56" s="8" t="s">
        <v>31</v>
      </c>
      <c r="B56" s="41">
        <f>B57</f>
        <v>69764.61</v>
      </c>
      <c r="C56" s="41">
        <f t="shared" ref="C56:E56" si="111">C57</f>
        <v>0</v>
      </c>
      <c r="D56" s="41">
        <f t="shared" si="111"/>
        <v>0</v>
      </c>
      <c r="E56" s="41">
        <f t="shared" si="111"/>
        <v>0</v>
      </c>
      <c r="F56" s="32">
        <f t="shared" ref="F56:F71" si="112">E56/B56*100</f>
        <v>0</v>
      </c>
      <c r="G56" s="47" t="e">
        <f t="shared" ref="G56:G69" si="113">E56/C56*100</f>
        <v>#DIV/0!</v>
      </c>
      <c r="H56" s="41">
        <f>H57</f>
        <v>0</v>
      </c>
      <c r="I56" s="41">
        <f t="shared" ref="I56:AE56" si="114">I57</f>
        <v>0</v>
      </c>
      <c r="J56" s="41">
        <f t="shared" si="114"/>
        <v>0</v>
      </c>
      <c r="K56" s="41">
        <f t="shared" si="114"/>
        <v>0</v>
      </c>
      <c r="L56" s="41">
        <f t="shared" si="114"/>
        <v>0</v>
      </c>
      <c r="M56" s="41">
        <f t="shared" si="114"/>
        <v>0</v>
      </c>
      <c r="N56" s="41">
        <f t="shared" si="114"/>
        <v>0</v>
      </c>
      <c r="O56" s="41">
        <f t="shared" si="114"/>
        <v>0</v>
      </c>
      <c r="P56" s="41">
        <f t="shared" si="114"/>
        <v>0</v>
      </c>
      <c r="Q56" s="41">
        <f t="shared" si="114"/>
        <v>0</v>
      </c>
      <c r="R56" s="41">
        <f t="shared" si="114"/>
        <v>0</v>
      </c>
      <c r="S56" s="41">
        <f t="shared" si="114"/>
        <v>0</v>
      </c>
      <c r="T56" s="41">
        <f t="shared" si="114"/>
        <v>0</v>
      </c>
      <c r="U56" s="41">
        <f t="shared" si="114"/>
        <v>0</v>
      </c>
      <c r="V56" s="41">
        <f t="shared" si="114"/>
        <v>0</v>
      </c>
      <c r="W56" s="41">
        <f t="shared" si="114"/>
        <v>0</v>
      </c>
      <c r="X56" s="41">
        <f t="shared" si="114"/>
        <v>0</v>
      </c>
      <c r="Y56" s="41">
        <f t="shared" si="114"/>
        <v>0</v>
      </c>
      <c r="Z56" s="41">
        <f t="shared" si="114"/>
        <v>10381.9</v>
      </c>
      <c r="AA56" s="41">
        <f t="shared" si="114"/>
        <v>0</v>
      </c>
      <c r="AB56" s="41">
        <f t="shared" si="114"/>
        <v>0</v>
      </c>
      <c r="AC56" s="41">
        <f t="shared" si="114"/>
        <v>0</v>
      </c>
      <c r="AD56" s="41">
        <f t="shared" si="114"/>
        <v>3850.2</v>
      </c>
      <c r="AE56" s="41">
        <f t="shared" si="114"/>
        <v>0</v>
      </c>
      <c r="AF56" s="29"/>
      <c r="AG56" s="778">
        <f t="shared" si="101"/>
        <v>0</v>
      </c>
    </row>
    <row r="57" spans="1:34" ht="18.75" x14ac:dyDescent="0.3">
      <c r="A57" s="13" t="s">
        <v>33</v>
      </c>
      <c r="B57" s="41">
        <f>B54</f>
        <v>69764.61</v>
      </c>
      <c r="C57" s="41">
        <f t="shared" ref="C57:E57" si="115">C54</f>
        <v>0</v>
      </c>
      <c r="D57" s="41">
        <f>D54</f>
        <v>0</v>
      </c>
      <c r="E57" s="41">
        <f t="shared" si="115"/>
        <v>0</v>
      </c>
      <c r="F57" s="32">
        <f t="shared" si="112"/>
        <v>0</v>
      </c>
      <c r="G57" s="47" t="e">
        <f t="shared" si="113"/>
        <v>#DIV/0!</v>
      </c>
      <c r="H57" s="41">
        <f>H54</f>
        <v>0</v>
      </c>
      <c r="I57" s="41">
        <f t="shared" ref="I57:AE57" si="116">I54</f>
        <v>0</v>
      </c>
      <c r="J57" s="41">
        <f t="shared" si="116"/>
        <v>0</v>
      </c>
      <c r="K57" s="41">
        <f t="shared" si="116"/>
        <v>0</v>
      </c>
      <c r="L57" s="41">
        <f t="shared" si="116"/>
        <v>0</v>
      </c>
      <c r="M57" s="41">
        <f t="shared" si="116"/>
        <v>0</v>
      </c>
      <c r="N57" s="41">
        <f t="shared" si="116"/>
        <v>0</v>
      </c>
      <c r="O57" s="41">
        <f t="shared" si="116"/>
        <v>0</v>
      </c>
      <c r="P57" s="41">
        <f t="shared" si="116"/>
        <v>0</v>
      </c>
      <c r="Q57" s="41">
        <f t="shared" si="116"/>
        <v>0</v>
      </c>
      <c r="R57" s="41">
        <f t="shared" si="116"/>
        <v>0</v>
      </c>
      <c r="S57" s="41">
        <f t="shared" si="116"/>
        <v>0</v>
      </c>
      <c r="T57" s="41">
        <f t="shared" si="116"/>
        <v>0</v>
      </c>
      <c r="U57" s="41">
        <f t="shared" si="116"/>
        <v>0</v>
      </c>
      <c r="V57" s="41">
        <f t="shared" si="116"/>
        <v>0</v>
      </c>
      <c r="W57" s="41">
        <f t="shared" si="116"/>
        <v>0</v>
      </c>
      <c r="X57" s="41">
        <f t="shared" si="116"/>
        <v>0</v>
      </c>
      <c r="Y57" s="41">
        <f t="shared" si="116"/>
        <v>0</v>
      </c>
      <c r="Z57" s="41">
        <f t="shared" si="116"/>
        <v>10381.9</v>
      </c>
      <c r="AA57" s="41">
        <f t="shared" si="116"/>
        <v>0</v>
      </c>
      <c r="AB57" s="41">
        <f t="shared" si="116"/>
        <v>0</v>
      </c>
      <c r="AC57" s="41">
        <f t="shared" si="116"/>
        <v>0</v>
      </c>
      <c r="AD57" s="41">
        <f t="shared" si="116"/>
        <v>3850.2</v>
      </c>
      <c r="AE57" s="41">
        <f t="shared" si="116"/>
        <v>0</v>
      </c>
      <c r="AF57" s="29"/>
      <c r="AG57" s="778">
        <f t="shared" si="101"/>
        <v>0</v>
      </c>
    </row>
    <row r="58" spans="1:34" ht="18.75" x14ac:dyDescent="0.3">
      <c r="A58" s="60" t="s">
        <v>126</v>
      </c>
      <c r="B58" s="41"/>
      <c r="C58" s="41"/>
      <c r="D58" s="41"/>
      <c r="E58" s="41"/>
      <c r="F58" s="32"/>
      <c r="G58" s="47"/>
      <c r="H58" s="41"/>
      <c r="I58" s="41"/>
      <c r="J58" s="41"/>
      <c r="K58" s="41"/>
      <c r="L58" s="41"/>
      <c r="M58" s="41"/>
      <c r="N58" s="41"/>
      <c r="O58" s="41"/>
      <c r="P58" s="41"/>
      <c r="Q58" s="41"/>
      <c r="R58" s="41"/>
      <c r="S58" s="41"/>
      <c r="T58" s="41"/>
      <c r="U58" s="41"/>
      <c r="V58" s="41"/>
      <c r="W58" s="41"/>
      <c r="X58" s="41"/>
      <c r="Y58" s="41"/>
      <c r="Z58" s="41"/>
      <c r="AA58" s="41"/>
      <c r="AB58" s="41"/>
      <c r="AC58" s="41"/>
      <c r="AD58" s="41"/>
      <c r="AE58" s="41"/>
      <c r="AF58" s="29"/>
      <c r="AG58" s="778">
        <f t="shared" si="101"/>
        <v>0</v>
      </c>
    </row>
    <row r="59" spans="1:34" ht="168.75" x14ac:dyDescent="0.3">
      <c r="A59" s="13" t="s">
        <v>84</v>
      </c>
      <c r="B59" s="41"/>
      <c r="C59" s="41"/>
      <c r="D59" s="41"/>
      <c r="E59" s="41"/>
      <c r="F59" s="32"/>
      <c r="G59" s="47"/>
      <c r="H59" s="41"/>
      <c r="I59" s="41"/>
      <c r="J59" s="41"/>
      <c r="K59" s="41"/>
      <c r="L59" s="41"/>
      <c r="M59" s="41"/>
      <c r="N59" s="41"/>
      <c r="O59" s="41"/>
      <c r="P59" s="41"/>
      <c r="Q59" s="41"/>
      <c r="R59" s="41"/>
      <c r="S59" s="41"/>
      <c r="T59" s="41"/>
      <c r="U59" s="41"/>
      <c r="V59" s="41"/>
      <c r="W59" s="41"/>
      <c r="X59" s="41"/>
      <c r="Y59" s="41"/>
      <c r="Z59" s="41"/>
      <c r="AA59" s="41"/>
      <c r="AB59" s="41"/>
      <c r="AC59" s="41"/>
      <c r="AD59" s="41"/>
      <c r="AE59" s="41"/>
      <c r="AF59" s="29"/>
      <c r="AG59" s="778">
        <f t="shared" si="101"/>
        <v>0</v>
      </c>
    </row>
    <row r="60" spans="1:34" ht="18.75" x14ac:dyDescent="0.3">
      <c r="A60" s="19" t="s">
        <v>31</v>
      </c>
      <c r="B60" s="32">
        <f>B61</f>
        <v>360.9</v>
      </c>
      <c r="C60" s="32">
        <f>C61</f>
        <v>0</v>
      </c>
      <c r="D60" s="32">
        <f t="shared" ref="D60" si="117">D61</f>
        <v>0</v>
      </c>
      <c r="E60" s="32">
        <f t="shared" ref="E60" si="118">E61</f>
        <v>0</v>
      </c>
      <c r="F60" s="32">
        <f>E60/B60*100</f>
        <v>0</v>
      </c>
      <c r="G60" s="47" t="e">
        <f>E60/C60*100</f>
        <v>#DIV/0!</v>
      </c>
      <c r="H60" s="32">
        <f>H61</f>
        <v>0</v>
      </c>
      <c r="I60" s="32">
        <f t="shared" ref="I60:AE60" si="119">I61</f>
        <v>0</v>
      </c>
      <c r="J60" s="32">
        <f t="shared" si="119"/>
        <v>0</v>
      </c>
      <c r="K60" s="32">
        <f t="shared" si="119"/>
        <v>0</v>
      </c>
      <c r="L60" s="32">
        <f t="shared" si="119"/>
        <v>0</v>
      </c>
      <c r="M60" s="32">
        <f t="shared" si="119"/>
        <v>0</v>
      </c>
      <c r="N60" s="32">
        <f t="shared" si="119"/>
        <v>0</v>
      </c>
      <c r="O60" s="32">
        <f t="shared" si="119"/>
        <v>0</v>
      </c>
      <c r="P60" s="32">
        <f t="shared" si="119"/>
        <v>0</v>
      </c>
      <c r="Q60" s="32">
        <f t="shared" si="119"/>
        <v>0</v>
      </c>
      <c r="R60" s="32">
        <f t="shared" si="119"/>
        <v>0</v>
      </c>
      <c r="S60" s="32">
        <f t="shared" si="119"/>
        <v>0</v>
      </c>
      <c r="T60" s="32">
        <f t="shared" si="119"/>
        <v>0</v>
      </c>
      <c r="U60" s="32">
        <f t="shared" si="119"/>
        <v>0</v>
      </c>
      <c r="V60" s="32">
        <f t="shared" si="119"/>
        <v>0</v>
      </c>
      <c r="W60" s="32">
        <f t="shared" si="119"/>
        <v>0</v>
      </c>
      <c r="X60" s="32">
        <f t="shared" si="119"/>
        <v>0</v>
      </c>
      <c r="Y60" s="32">
        <f t="shared" si="119"/>
        <v>0</v>
      </c>
      <c r="Z60" s="32">
        <f t="shared" si="119"/>
        <v>0</v>
      </c>
      <c r="AA60" s="32">
        <f t="shared" si="119"/>
        <v>0</v>
      </c>
      <c r="AB60" s="32">
        <f t="shared" si="119"/>
        <v>0</v>
      </c>
      <c r="AC60" s="32">
        <f t="shared" si="119"/>
        <v>0</v>
      </c>
      <c r="AD60" s="32">
        <f t="shared" si="119"/>
        <v>360.9</v>
      </c>
      <c r="AE60" s="32">
        <f t="shared" si="119"/>
        <v>0</v>
      </c>
      <c r="AF60" s="29"/>
      <c r="AG60" s="778">
        <f t="shared" si="101"/>
        <v>0</v>
      </c>
    </row>
    <row r="61" spans="1:34" ht="18.75" x14ac:dyDescent="0.3">
      <c r="A61" s="15" t="s">
        <v>33</v>
      </c>
      <c r="B61" s="32">
        <f>H61+J61+L61+N61+P61+R61+T61+V61+X61+Z61+AB61+AD61</f>
        <v>360.9</v>
      </c>
      <c r="C61" s="32">
        <f>H61</f>
        <v>0</v>
      </c>
      <c r="D61" s="32"/>
      <c r="E61" s="32">
        <f>I61</f>
        <v>0</v>
      </c>
      <c r="F61" s="47">
        <f t="shared" ref="F61" si="120">D61/B61*100</f>
        <v>0</v>
      </c>
      <c r="G61" s="47" t="e">
        <f t="shared" ref="G61" si="121">E61/C61*100</f>
        <v>#DIV/0!</v>
      </c>
      <c r="H61" s="32"/>
      <c r="I61" s="41"/>
      <c r="J61" s="41"/>
      <c r="K61" s="41"/>
      <c r="L61" s="41"/>
      <c r="M61" s="41"/>
      <c r="N61" s="41"/>
      <c r="O61" s="41"/>
      <c r="P61" s="41"/>
      <c r="Q61" s="41"/>
      <c r="R61" s="41"/>
      <c r="S61" s="41"/>
      <c r="T61" s="41"/>
      <c r="U61" s="41"/>
      <c r="V61" s="41"/>
      <c r="W61" s="41"/>
      <c r="X61" s="41"/>
      <c r="Y61" s="41"/>
      <c r="Z61" s="41"/>
      <c r="AA61" s="41"/>
      <c r="AB61" s="41"/>
      <c r="AC61" s="41"/>
      <c r="AD61" s="41">
        <v>360.9</v>
      </c>
      <c r="AE61" s="41"/>
      <c r="AF61" s="29"/>
      <c r="AG61" s="778">
        <f t="shared" si="101"/>
        <v>0</v>
      </c>
    </row>
    <row r="62" spans="1:34" ht="18.75" x14ac:dyDescent="0.3">
      <c r="A62" s="56" t="s">
        <v>85</v>
      </c>
      <c r="B62" s="41"/>
      <c r="C62" s="41"/>
      <c r="D62" s="41"/>
      <c r="E62" s="41"/>
      <c r="F62" s="32"/>
      <c r="G62" s="47"/>
      <c r="H62" s="41"/>
      <c r="I62" s="41"/>
      <c r="J62" s="41"/>
      <c r="K62" s="41"/>
      <c r="L62" s="41"/>
      <c r="M62" s="41"/>
      <c r="N62" s="41"/>
      <c r="O62" s="41"/>
      <c r="P62" s="41"/>
      <c r="Q62" s="41"/>
      <c r="R62" s="41"/>
      <c r="S62" s="41"/>
      <c r="T62" s="41"/>
      <c r="U62" s="41"/>
      <c r="V62" s="41"/>
      <c r="W62" s="41"/>
      <c r="X62" s="41"/>
      <c r="Y62" s="41"/>
      <c r="Z62" s="41"/>
      <c r="AA62" s="41"/>
      <c r="AB62" s="41"/>
      <c r="AC62" s="41"/>
      <c r="AD62" s="41"/>
      <c r="AE62" s="41"/>
      <c r="AF62" s="29"/>
      <c r="AG62" s="778">
        <f t="shared" si="101"/>
        <v>0</v>
      </c>
    </row>
    <row r="63" spans="1:34" ht="18.75" x14ac:dyDescent="0.3">
      <c r="A63" s="19" t="s">
        <v>31</v>
      </c>
      <c r="B63" s="41">
        <f>B64</f>
        <v>360.9</v>
      </c>
      <c r="C63" s="32">
        <f>C64</f>
        <v>0</v>
      </c>
      <c r="D63" s="32">
        <f t="shared" ref="D63" si="122">D64</f>
        <v>0</v>
      </c>
      <c r="E63" s="32">
        <f t="shared" ref="E63" si="123">E64</f>
        <v>0</v>
      </c>
      <c r="F63" s="32">
        <f>E63/B63*100</f>
        <v>0</v>
      </c>
      <c r="G63" s="47" t="e">
        <f>E63/C63*100</f>
        <v>#DIV/0!</v>
      </c>
      <c r="H63" s="41">
        <f>H64</f>
        <v>0</v>
      </c>
      <c r="I63" s="41">
        <f t="shared" ref="I63:AE63" si="124">I64</f>
        <v>0</v>
      </c>
      <c r="J63" s="41">
        <f t="shared" si="124"/>
        <v>0</v>
      </c>
      <c r="K63" s="41">
        <f t="shared" si="124"/>
        <v>0</v>
      </c>
      <c r="L63" s="41">
        <f t="shared" si="124"/>
        <v>0</v>
      </c>
      <c r="M63" s="41">
        <f t="shared" si="124"/>
        <v>0</v>
      </c>
      <c r="N63" s="41">
        <f t="shared" si="124"/>
        <v>0</v>
      </c>
      <c r="O63" s="41">
        <f t="shared" si="124"/>
        <v>0</v>
      </c>
      <c r="P63" s="41">
        <f t="shared" si="124"/>
        <v>0</v>
      </c>
      <c r="Q63" s="41">
        <f t="shared" si="124"/>
        <v>0</v>
      </c>
      <c r="R63" s="41">
        <f t="shared" si="124"/>
        <v>0</v>
      </c>
      <c r="S63" s="41">
        <f t="shared" si="124"/>
        <v>0</v>
      </c>
      <c r="T63" s="41">
        <f t="shared" si="124"/>
        <v>0</v>
      </c>
      <c r="U63" s="41">
        <f t="shared" si="124"/>
        <v>0</v>
      </c>
      <c r="V63" s="41">
        <f t="shared" si="124"/>
        <v>0</v>
      </c>
      <c r="W63" s="41">
        <f t="shared" si="124"/>
        <v>0</v>
      </c>
      <c r="X63" s="41">
        <f t="shared" si="124"/>
        <v>0</v>
      </c>
      <c r="Y63" s="41">
        <f t="shared" si="124"/>
        <v>0</v>
      </c>
      <c r="Z63" s="41">
        <f t="shared" si="124"/>
        <v>0</v>
      </c>
      <c r="AA63" s="41">
        <f t="shared" si="124"/>
        <v>0</v>
      </c>
      <c r="AB63" s="41">
        <f t="shared" si="124"/>
        <v>0</v>
      </c>
      <c r="AC63" s="41">
        <f t="shared" si="124"/>
        <v>0</v>
      </c>
      <c r="AD63" s="41">
        <f t="shared" si="124"/>
        <v>360.9</v>
      </c>
      <c r="AE63" s="41">
        <f t="shared" si="124"/>
        <v>0</v>
      </c>
      <c r="AF63" s="29"/>
      <c r="AG63" s="778">
        <f t="shared" si="101"/>
        <v>0</v>
      </c>
    </row>
    <row r="64" spans="1:34" ht="18.75" x14ac:dyDescent="0.3">
      <c r="A64" s="15" t="s">
        <v>33</v>
      </c>
      <c r="B64" s="776">
        <f>B61</f>
        <v>360.9</v>
      </c>
      <c r="C64" s="32">
        <f>H64</f>
        <v>0</v>
      </c>
      <c r="D64" s="32"/>
      <c r="E64" s="32">
        <f>I64</f>
        <v>0</v>
      </c>
      <c r="F64" s="47">
        <f t="shared" ref="F64" si="125">D64/B64*100</f>
        <v>0</v>
      </c>
      <c r="G64" s="47" t="e">
        <f t="shared" ref="G64" si="126">E64/C64*100</f>
        <v>#DIV/0!</v>
      </c>
      <c r="H64" s="41">
        <f>H61</f>
        <v>0</v>
      </c>
      <c r="I64" s="41">
        <f t="shared" ref="I64:AE64" si="127">I61</f>
        <v>0</v>
      </c>
      <c r="J64" s="41">
        <f t="shared" si="127"/>
        <v>0</v>
      </c>
      <c r="K64" s="41">
        <f t="shared" si="127"/>
        <v>0</v>
      </c>
      <c r="L64" s="41">
        <f t="shared" si="127"/>
        <v>0</v>
      </c>
      <c r="M64" s="41">
        <f t="shared" si="127"/>
        <v>0</v>
      </c>
      <c r="N64" s="41">
        <f t="shared" si="127"/>
        <v>0</v>
      </c>
      <c r="O64" s="41">
        <f t="shared" si="127"/>
        <v>0</v>
      </c>
      <c r="P64" s="41">
        <f t="shared" si="127"/>
        <v>0</v>
      </c>
      <c r="Q64" s="41">
        <f t="shared" si="127"/>
        <v>0</v>
      </c>
      <c r="R64" s="41">
        <f t="shared" si="127"/>
        <v>0</v>
      </c>
      <c r="S64" s="41">
        <f t="shared" si="127"/>
        <v>0</v>
      </c>
      <c r="T64" s="41">
        <f t="shared" si="127"/>
        <v>0</v>
      </c>
      <c r="U64" s="41">
        <f t="shared" si="127"/>
        <v>0</v>
      </c>
      <c r="V64" s="41">
        <f t="shared" si="127"/>
        <v>0</v>
      </c>
      <c r="W64" s="41">
        <f t="shared" si="127"/>
        <v>0</v>
      </c>
      <c r="X64" s="41">
        <f t="shared" si="127"/>
        <v>0</v>
      </c>
      <c r="Y64" s="41">
        <f t="shared" si="127"/>
        <v>0</v>
      </c>
      <c r="Z64" s="41">
        <f t="shared" si="127"/>
        <v>0</v>
      </c>
      <c r="AA64" s="41">
        <f t="shared" si="127"/>
        <v>0</v>
      </c>
      <c r="AB64" s="41">
        <f t="shared" si="127"/>
        <v>0</v>
      </c>
      <c r="AC64" s="41">
        <f t="shared" si="127"/>
        <v>0</v>
      </c>
      <c r="AD64" s="41">
        <f t="shared" si="127"/>
        <v>360.9</v>
      </c>
      <c r="AE64" s="41">
        <f t="shared" si="127"/>
        <v>0</v>
      </c>
      <c r="AF64" s="29"/>
      <c r="AG64" s="778">
        <f t="shared" si="101"/>
        <v>0</v>
      </c>
    </row>
    <row r="65" spans="1:33" ht="37.5" x14ac:dyDescent="0.3">
      <c r="A65" s="28" t="s">
        <v>92</v>
      </c>
      <c r="B65" s="41"/>
      <c r="C65" s="41"/>
      <c r="D65" s="41"/>
      <c r="E65" s="41"/>
      <c r="F65" s="32"/>
      <c r="G65" s="47"/>
      <c r="H65" s="41"/>
      <c r="I65" s="41"/>
      <c r="J65" s="41"/>
      <c r="K65" s="41"/>
      <c r="L65" s="41"/>
      <c r="M65" s="41"/>
      <c r="N65" s="41"/>
      <c r="O65" s="41"/>
      <c r="P65" s="41"/>
      <c r="Q65" s="41"/>
      <c r="R65" s="41"/>
      <c r="S65" s="41"/>
      <c r="T65" s="41"/>
      <c r="U65" s="41"/>
      <c r="V65" s="41"/>
      <c r="W65" s="41"/>
      <c r="X65" s="41"/>
      <c r="Y65" s="41"/>
      <c r="Z65" s="41"/>
      <c r="AA65" s="41"/>
      <c r="AB65" s="41"/>
      <c r="AC65" s="41"/>
      <c r="AD65" s="41"/>
      <c r="AE65" s="41"/>
      <c r="AF65" s="29"/>
      <c r="AG65" s="778">
        <f t="shared" si="101"/>
        <v>0</v>
      </c>
    </row>
    <row r="66" spans="1:33" ht="18.75" x14ac:dyDescent="0.3">
      <c r="A66" s="8" t="s">
        <v>31</v>
      </c>
      <c r="B66" s="41">
        <f>B67</f>
        <v>360.9</v>
      </c>
      <c r="C66" s="32">
        <f>C67</f>
        <v>0</v>
      </c>
      <c r="D66" s="32">
        <f t="shared" ref="D66" si="128">D67</f>
        <v>0</v>
      </c>
      <c r="E66" s="32">
        <f t="shared" ref="E66" si="129">E67</f>
        <v>0</v>
      </c>
      <c r="F66" s="32">
        <f>E66/B66*100</f>
        <v>0</v>
      </c>
      <c r="G66" s="47" t="e">
        <f>E66/C66*100</f>
        <v>#DIV/0!</v>
      </c>
      <c r="H66" s="41">
        <f>H67</f>
        <v>0</v>
      </c>
      <c r="I66" s="41">
        <f t="shared" ref="I66:AE66" si="130">I67</f>
        <v>0</v>
      </c>
      <c r="J66" s="41">
        <f t="shared" si="130"/>
        <v>0</v>
      </c>
      <c r="K66" s="41">
        <f t="shared" si="130"/>
        <v>0</v>
      </c>
      <c r="L66" s="41">
        <f t="shared" si="130"/>
        <v>0</v>
      </c>
      <c r="M66" s="41">
        <f t="shared" si="130"/>
        <v>0</v>
      </c>
      <c r="N66" s="41">
        <f t="shared" si="130"/>
        <v>0</v>
      </c>
      <c r="O66" s="41">
        <f t="shared" si="130"/>
        <v>0</v>
      </c>
      <c r="P66" s="41">
        <f t="shared" si="130"/>
        <v>0</v>
      </c>
      <c r="Q66" s="41">
        <f t="shared" si="130"/>
        <v>0</v>
      </c>
      <c r="R66" s="41">
        <f t="shared" si="130"/>
        <v>0</v>
      </c>
      <c r="S66" s="41">
        <f t="shared" si="130"/>
        <v>0</v>
      </c>
      <c r="T66" s="41">
        <f t="shared" si="130"/>
        <v>0</v>
      </c>
      <c r="U66" s="41">
        <f t="shared" si="130"/>
        <v>0</v>
      </c>
      <c r="V66" s="41">
        <f t="shared" si="130"/>
        <v>0</v>
      </c>
      <c r="W66" s="41">
        <f t="shared" si="130"/>
        <v>0</v>
      </c>
      <c r="X66" s="41">
        <f t="shared" si="130"/>
        <v>0</v>
      </c>
      <c r="Y66" s="41">
        <f t="shared" si="130"/>
        <v>0</v>
      </c>
      <c r="Z66" s="41">
        <f t="shared" si="130"/>
        <v>0</v>
      </c>
      <c r="AA66" s="41">
        <f t="shared" si="130"/>
        <v>0</v>
      </c>
      <c r="AB66" s="41">
        <f t="shared" si="130"/>
        <v>0</v>
      </c>
      <c r="AC66" s="41">
        <f t="shared" si="130"/>
        <v>0</v>
      </c>
      <c r="AD66" s="41">
        <f t="shared" si="130"/>
        <v>360.9</v>
      </c>
      <c r="AE66" s="41">
        <f t="shared" si="130"/>
        <v>0</v>
      </c>
      <c r="AF66" s="29"/>
      <c r="AG66" s="778">
        <f t="shared" si="101"/>
        <v>0</v>
      </c>
    </row>
    <row r="67" spans="1:33" ht="18.75" x14ac:dyDescent="0.3">
      <c r="A67" s="13" t="s">
        <v>33</v>
      </c>
      <c r="B67" s="41">
        <f>B64</f>
        <v>360.9</v>
      </c>
      <c r="C67" s="32">
        <f>H67</f>
        <v>0</v>
      </c>
      <c r="D67" s="32"/>
      <c r="E67" s="32">
        <f>I67</f>
        <v>0</v>
      </c>
      <c r="F67" s="47">
        <f t="shared" ref="F67" si="131">D67/B67*100</f>
        <v>0</v>
      </c>
      <c r="G67" s="47" t="e">
        <f t="shared" ref="G67" si="132">E67/C67*100</f>
        <v>#DIV/0!</v>
      </c>
      <c r="H67" s="41">
        <f>H64</f>
        <v>0</v>
      </c>
      <c r="I67" s="41">
        <f t="shared" ref="I67:AE67" si="133">I64</f>
        <v>0</v>
      </c>
      <c r="J67" s="41">
        <f t="shared" si="133"/>
        <v>0</v>
      </c>
      <c r="K67" s="41">
        <f t="shared" si="133"/>
        <v>0</v>
      </c>
      <c r="L67" s="41">
        <f t="shared" si="133"/>
        <v>0</v>
      </c>
      <c r="M67" s="41">
        <f t="shared" si="133"/>
        <v>0</v>
      </c>
      <c r="N67" s="41">
        <f t="shared" si="133"/>
        <v>0</v>
      </c>
      <c r="O67" s="41">
        <f t="shared" si="133"/>
        <v>0</v>
      </c>
      <c r="P67" s="41">
        <f t="shared" si="133"/>
        <v>0</v>
      </c>
      <c r="Q67" s="41">
        <f t="shared" si="133"/>
        <v>0</v>
      </c>
      <c r="R67" s="41">
        <f t="shared" si="133"/>
        <v>0</v>
      </c>
      <c r="S67" s="41">
        <f t="shared" si="133"/>
        <v>0</v>
      </c>
      <c r="T67" s="41">
        <f t="shared" si="133"/>
        <v>0</v>
      </c>
      <c r="U67" s="41">
        <f t="shared" si="133"/>
        <v>0</v>
      </c>
      <c r="V67" s="41">
        <f t="shared" si="133"/>
        <v>0</v>
      </c>
      <c r="W67" s="41">
        <f t="shared" si="133"/>
        <v>0</v>
      </c>
      <c r="X67" s="41">
        <f t="shared" si="133"/>
        <v>0</v>
      </c>
      <c r="Y67" s="41">
        <f t="shared" si="133"/>
        <v>0</v>
      </c>
      <c r="Z67" s="41">
        <f t="shared" si="133"/>
        <v>0</v>
      </c>
      <c r="AA67" s="41">
        <f t="shared" si="133"/>
        <v>0</v>
      </c>
      <c r="AB67" s="41">
        <f t="shared" si="133"/>
        <v>0</v>
      </c>
      <c r="AC67" s="41">
        <f t="shared" si="133"/>
        <v>0</v>
      </c>
      <c r="AD67" s="41">
        <f t="shared" si="133"/>
        <v>360.9</v>
      </c>
      <c r="AE67" s="41">
        <f t="shared" si="133"/>
        <v>0</v>
      </c>
      <c r="AF67" s="29"/>
      <c r="AG67" s="778">
        <f t="shared" si="101"/>
        <v>0</v>
      </c>
    </row>
    <row r="68" spans="1:33" ht="37.5" x14ac:dyDescent="0.3">
      <c r="A68" s="56" t="s">
        <v>63</v>
      </c>
      <c r="B68" s="41">
        <f>B10+B21+B50+B60</f>
        <v>421491.49400000001</v>
      </c>
      <c r="C68" s="41">
        <f>C69</f>
        <v>23617.61</v>
      </c>
      <c r="D68" s="41">
        <f>D69</f>
        <v>23617.61</v>
      </c>
      <c r="E68" s="41">
        <f t="shared" ref="E68" si="134">E69</f>
        <v>17918.065000000002</v>
      </c>
      <c r="F68" s="32">
        <f t="shared" si="112"/>
        <v>4.2511095134935273</v>
      </c>
      <c r="G68" s="47">
        <f t="shared" si="113"/>
        <v>75.867393017329022</v>
      </c>
      <c r="H68" s="41">
        <f>H69</f>
        <v>8647.8279999999995</v>
      </c>
      <c r="I68" s="41">
        <f t="shared" ref="I68" si="135">I69</f>
        <v>4845.607</v>
      </c>
      <c r="J68" s="41">
        <f t="shared" ref="J68" si="136">J69</f>
        <v>13223.948</v>
      </c>
      <c r="K68" s="41">
        <f t="shared" ref="K68" si="137">K69</f>
        <v>13449.99</v>
      </c>
      <c r="L68" s="41">
        <f t="shared" ref="L68" si="138">L69</f>
        <v>7404.3340000000007</v>
      </c>
      <c r="M68" s="41">
        <f t="shared" ref="M68" si="139">M69</f>
        <v>5154.9780000000001</v>
      </c>
      <c r="N68" s="41">
        <f t="shared" ref="N68" si="140">N69</f>
        <v>14799.949999999999</v>
      </c>
      <c r="O68" s="41">
        <f t="shared" ref="O68" si="141">O69</f>
        <v>0</v>
      </c>
      <c r="P68" s="41">
        <f t="shared" ref="P68" si="142">P69</f>
        <v>5499.826</v>
      </c>
      <c r="Q68" s="41">
        <f t="shared" ref="Q68" si="143">Q69</f>
        <v>0</v>
      </c>
      <c r="R68" s="41">
        <f t="shared" ref="R68" si="144">R69</f>
        <v>4849.5230000000001</v>
      </c>
      <c r="S68" s="41">
        <f t="shared" ref="S68" si="145">S69</f>
        <v>0</v>
      </c>
      <c r="T68" s="41">
        <f t="shared" ref="T68" si="146">T69</f>
        <v>5276.4169999999995</v>
      </c>
      <c r="U68" s="41">
        <f t="shared" ref="U68" si="147">U69</f>
        <v>0</v>
      </c>
      <c r="V68" s="41">
        <f t="shared" ref="V68" si="148">V69</f>
        <v>4734.0630000000001</v>
      </c>
      <c r="W68" s="41">
        <f t="shared" ref="W68" si="149">W69</f>
        <v>0</v>
      </c>
      <c r="X68" s="41">
        <f t="shared" ref="X68" si="150">X69</f>
        <v>4661.0290000000005</v>
      </c>
      <c r="Y68" s="41">
        <f t="shared" ref="Y68" si="151">Y69</f>
        <v>0</v>
      </c>
      <c r="Z68" s="41">
        <f t="shared" ref="Z68" si="152">Z69</f>
        <v>16158.508</v>
      </c>
      <c r="AA68" s="41">
        <f t="shared" ref="AA68" si="153">AA69</f>
        <v>0</v>
      </c>
      <c r="AB68" s="41">
        <f t="shared" ref="AB68" si="154">AB69</f>
        <v>4842.7510000000002</v>
      </c>
      <c r="AC68" s="41">
        <f t="shared" ref="AC68" si="155">AC69</f>
        <v>0</v>
      </c>
      <c r="AD68" s="41">
        <f t="shared" ref="AD68" si="156">AD69</f>
        <v>60732.5</v>
      </c>
      <c r="AE68" s="41">
        <f t="shared" ref="AE68" si="157">AE69</f>
        <v>0</v>
      </c>
      <c r="AF68" s="29"/>
      <c r="AG68" s="778">
        <f t="shared" si="101"/>
        <v>5699.5449999999983</v>
      </c>
    </row>
    <row r="69" spans="1:33" ht="18.75" x14ac:dyDescent="0.3">
      <c r="A69" s="15" t="s">
        <v>33</v>
      </c>
      <c r="B69" s="41">
        <f>B11+B22+B51+B61</f>
        <v>421491.49400000001</v>
      </c>
      <c r="C69" s="758">
        <f t="shared" ref="C69:E69" si="158">C11++C40+C51+C61</f>
        <v>23617.61</v>
      </c>
      <c r="D69" s="41">
        <f t="shared" si="158"/>
        <v>23617.61</v>
      </c>
      <c r="E69" s="758">
        <f t="shared" si="158"/>
        <v>17918.065000000002</v>
      </c>
      <c r="F69" s="32">
        <f t="shared" si="112"/>
        <v>4.2511095134935273</v>
      </c>
      <c r="G69" s="47">
        <f t="shared" si="113"/>
        <v>75.867393017329022</v>
      </c>
      <c r="H69" s="41">
        <f t="shared" ref="H69:AE69" si="159">H11++H40+H51+H61</f>
        <v>8647.8279999999995</v>
      </c>
      <c r="I69" s="41">
        <f t="shared" si="159"/>
        <v>4845.607</v>
      </c>
      <c r="J69" s="41">
        <f t="shared" si="159"/>
        <v>13223.948</v>
      </c>
      <c r="K69" s="41">
        <f t="shared" si="159"/>
        <v>13449.99</v>
      </c>
      <c r="L69" s="41">
        <f t="shared" si="159"/>
        <v>7404.3340000000007</v>
      </c>
      <c r="M69" s="41">
        <f t="shared" si="159"/>
        <v>5154.9780000000001</v>
      </c>
      <c r="N69" s="41">
        <f t="shared" si="159"/>
        <v>14799.949999999999</v>
      </c>
      <c r="O69" s="41">
        <f t="shared" si="159"/>
        <v>0</v>
      </c>
      <c r="P69" s="41">
        <f t="shared" si="159"/>
        <v>5499.826</v>
      </c>
      <c r="Q69" s="41">
        <f t="shared" si="159"/>
        <v>0</v>
      </c>
      <c r="R69" s="41">
        <f t="shared" si="159"/>
        <v>4849.5230000000001</v>
      </c>
      <c r="S69" s="41">
        <f t="shared" si="159"/>
        <v>0</v>
      </c>
      <c r="T69" s="41">
        <f t="shared" si="159"/>
        <v>5276.4169999999995</v>
      </c>
      <c r="U69" s="41">
        <f t="shared" si="159"/>
        <v>0</v>
      </c>
      <c r="V69" s="41">
        <f t="shared" si="159"/>
        <v>4734.0630000000001</v>
      </c>
      <c r="W69" s="41">
        <f t="shared" si="159"/>
        <v>0</v>
      </c>
      <c r="X69" s="41">
        <f t="shared" si="159"/>
        <v>4661.0290000000005</v>
      </c>
      <c r="Y69" s="41">
        <f t="shared" si="159"/>
        <v>0</v>
      </c>
      <c r="Z69" s="41">
        <f t="shared" si="159"/>
        <v>16158.508</v>
      </c>
      <c r="AA69" s="41">
        <f t="shared" si="159"/>
        <v>0</v>
      </c>
      <c r="AB69" s="41">
        <f t="shared" si="159"/>
        <v>4842.7510000000002</v>
      </c>
      <c r="AC69" s="41">
        <f t="shared" si="159"/>
        <v>0</v>
      </c>
      <c r="AD69" s="41">
        <f t="shared" si="159"/>
        <v>60732.5</v>
      </c>
      <c r="AE69" s="41">
        <f t="shared" si="159"/>
        <v>0</v>
      </c>
      <c r="AF69" s="29"/>
      <c r="AG69" s="778">
        <f t="shared" si="101"/>
        <v>5699.5449999999983</v>
      </c>
    </row>
    <row r="70" spans="1:33" ht="37.5" x14ac:dyDescent="0.3">
      <c r="A70" s="57" t="s">
        <v>100</v>
      </c>
      <c r="B70" s="41">
        <f>B71</f>
        <v>421491.49400000001</v>
      </c>
      <c r="C70" s="41">
        <f t="shared" ref="C70:E70" si="160">C71</f>
        <v>23617.61</v>
      </c>
      <c r="D70" s="41">
        <f t="shared" si="160"/>
        <v>23617.61</v>
      </c>
      <c r="E70" s="41">
        <f t="shared" si="160"/>
        <v>17918.065000000002</v>
      </c>
      <c r="F70" s="32">
        <f t="shared" si="112"/>
        <v>4.2511095134935273</v>
      </c>
      <c r="G70" s="47">
        <f t="shared" ref="G70:G71" si="161">E70/C70*100</f>
        <v>75.867393017329022</v>
      </c>
      <c r="H70" s="41">
        <f t="shared" ref="H70" si="162">H71</f>
        <v>8647.8279999999995</v>
      </c>
      <c r="I70" s="41">
        <f t="shared" ref="I70" si="163">I71</f>
        <v>4845.607</v>
      </c>
      <c r="J70" s="41">
        <f t="shared" ref="J70" si="164">J71</f>
        <v>13223.948</v>
      </c>
      <c r="K70" s="41">
        <f t="shared" ref="K70" si="165">K71</f>
        <v>13449.99</v>
      </c>
      <c r="L70" s="41">
        <f t="shared" ref="L70" si="166">L71</f>
        <v>7404.3340000000007</v>
      </c>
      <c r="M70" s="41">
        <f t="shared" ref="M70" si="167">M71</f>
        <v>5154.9780000000001</v>
      </c>
      <c r="N70" s="41">
        <f t="shared" ref="N70" si="168">N71</f>
        <v>14799.949999999999</v>
      </c>
      <c r="O70" s="41">
        <f t="shared" ref="O70" si="169">O71</f>
        <v>0</v>
      </c>
      <c r="P70" s="41">
        <f t="shared" ref="P70" si="170">P71</f>
        <v>5499.826</v>
      </c>
      <c r="Q70" s="41">
        <f t="shared" ref="Q70" si="171">Q71</f>
        <v>0</v>
      </c>
      <c r="R70" s="41">
        <f t="shared" ref="R70" si="172">R71</f>
        <v>4849.5230000000001</v>
      </c>
      <c r="S70" s="41">
        <f t="shared" ref="S70" si="173">S71</f>
        <v>0</v>
      </c>
      <c r="T70" s="41">
        <f t="shared" ref="T70" si="174">T71</f>
        <v>5276.4169999999995</v>
      </c>
      <c r="U70" s="41">
        <f t="shared" ref="U70" si="175">U71</f>
        <v>0</v>
      </c>
      <c r="V70" s="41">
        <f t="shared" ref="V70" si="176">V71</f>
        <v>4734.0630000000001</v>
      </c>
      <c r="W70" s="41">
        <f t="shared" ref="W70" si="177">W71</f>
        <v>0</v>
      </c>
      <c r="X70" s="41">
        <f t="shared" ref="X70" si="178">X71</f>
        <v>4661.0290000000005</v>
      </c>
      <c r="Y70" s="41">
        <f t="shared" ref="Y70" si="179">Y71</f>
        <v>0</v>
      </c>
      <c r="Z70" s="41">
        <f t="shared" ref="Z70" si="180">Z71</f>
        <v>16158.508</v>
      </c>
      <c r="AA70" s="41">
        <f t="shared" ref="AA70" si="181">AA71</f>
        <v>0</v>
      </c>
      <c r="AB70" s="41">
        <f t="shared" ref="AB70" si="182">AB71</f>
        <v>4842.7510000000002</v>
      </c>
      <c r="AC70" s="41">
        <f t="shared" ref="AC70" si="183">AC71</f>
        <v>0</v>
      </c>
      <c r="AD70" s="41">
        <f t="shared" ref="AD70" si="184">AD71</f>
        <v>60732.5</v>
      </c>
      <c r="AE70" s="41">
        <f t="shared" ref="AE70" si="185">AE71</f>
        <v>0</v>
      </c>
      <c r="AF70" s="29"/>
      <c r="AG70" s="778">
        <f t="shared" si="101"/>
        <v>5699.5449999999983</v>
      </c>
    </row>
    <row r="71" spans="1:33" ht="18.75" x14ac:dyDescent="0.3">
      <c r="A71" s="15" t="s">
        <v>33</v>
      </c>
      <c r="B71" s="41">
        <f>B69</f>
        <v>421491.49400000001</v>
      </c>
      <c r="C71" s="41">
        <f t="shared" ref="C71:E71" si="186">C69</f>
        <v>23617.61</v>
      </c>
      <c r="D71" s="41">
        <f t="shared" si="186"/>
        <v>23617.61</v>
      </c>
      <c r="E71" s="41">
        <f t="shared" si="186"/>
        <v>17918.065000000002</v>
      </c>
      <c r="F71" s="32">
        <f t="shared" si="112"/>
        <v>4.2511095134935273</v>
      </c>
      <c r="G71" s="47">
        <f t="shared" si="161"/>
        <v>75.867393017329022</v>
      </c>
      <c r="H71" s="41">
        <f t="shared" ref="H71:AE71" si="187">H69</f>
        <v>8647.8279999999995</v>
      </c>
      <c r="I71" s="41">
        <f t="shared" si="187"/>
        <v>4845.607</v>
      </c>
      <c r="J71" s="41">
        <f t="shared" si="187"/>
        <v>13223.948</v>
      </c>
      <c r="K71" s="41">
        <f t="shared" si="187"/>
        <v>13449.99</v>
      </c>
      <c r="L71" s="41">
        <f t="shared" si="187"/>
        <v>7404.3340000000007</v>
      </c>
      <c r="M71" s="41">
        <f t="shared" si="187"/>
        <v>5154.9780000000001</v>
      </c>
      <c r="N71" s="41">
        <f t="shared" si="187"/>
        <v>14799.949999999999</v>
      </c>
      <c r="O71" s="41">
        <f t="shared" si="187"/>
        <v>0</v>
      </c>
      <c r="P71" s="41">
        <f t="shared" si="187"/>
        <v>5499.826</v>
      </c>
      <c r="Q71" s="41">
        <f t="shared" si="187"/>
        <v>0</v>
      </c>
      <c r="R71" s="41">
        <f t="shared" si="187"/>
        <v>4849.5230000000001</v>
      </c>
      <c r="S71" s="41">
        <f t="shared" si="187"/>
        <v>0</v>
      </c>
      <c r="T71" s="41">
        <f t="shared" si="187"/>
        <v>5276.4169999999995</v>
      </c>
      <c r="U71" s="41">
        <f t="shared" si="187"/>
        <v>0</v>
      </c>
      <c r="V71" s="41">
        <f t="shared" si="187"/>
        <v>4734.0630000000001</v>
      </c>
      <c r="W71" s="41">
        <f t="shared" si="187"/>
        <v>0</v>
      </c>
      <c r="X71" s="41">
        <f t="shared" si="187"/>
        <v>4661.0290000000005</v>
      </c>
      <c r="Y71" s="41">
        <f t="shared" si="187"/>
        <v>0</v>
      </c>
      <c r="Z71" s="41">
        <f t="shared" si="187"/>
        <v>16158.508</v>
      </c>
      <c r="AA71" s="41">
        <f t="shared" si="187"/>
        <v>0</v>
      </c>
      <c r="AB71" s="41">
        <f t="shared" si="187"/>
        <v>4842.7510000000002</v>
      </c>
      <c r="AC71" s="41">
        <f t="shared" si="187"/>
        <v>0</v>
      </c>
      <c r="AD71" s="41">
        <f t="shared" si="187"/>
        <v>60732.5</v>
      </c>
      <c r="AE71" s="41">
        <f t="shared" si="187"/>
        <v>0</v>
      </c>
      <c r="AF71" s="29"/>
      <c r="AG71" s="778">
        <f t="shared" si="101"/>
        <v>5699.5449999999983</v>
      </c>
    </row>
    <row r="72" spans="1:33" ht="18.75" x14ac:dyDescent="0.3">
      <c r="A72" s="61"/>
      <c r="B72" s="675">
        <v>421491.52</v>
      </c>
      <c r="C72" s="33"/>
      <c r="D72" s="65"/>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row r="73" spans="1:33" ht="37.5" x14ac:dyDescent="0.3">
      <c r="A73" s="9" t="s">
        <v>71</v>
      </c>
      <c r="B73" s="26"/>
      <c r="C73" s="26"/>
      <c r="D73" s="756" t="s">
        <v>70</v>
      </c>
      <c r="E73" s="62" t="s">
        <v>562</v>
      </c>
    </row>
    <row r="74" spans="1:33" ht="18.75" x14ac:dyDescent="0.3">
      <c r="A74" s="9"/>
      <c r="B74" s="20" t="s">
        <v>68</v>
      </c>
      <c r="C74" s="20"/>
      <c r="D74" s="22"/>
    </row>
    <row r="75" spans="1:33" ht="37.5" x14ac:dyDescent="0.3">
      <c r="A75" s="25" t="s">
        <v>69</v>
      </c>
      <c r="B75" s="657"/>
      <c r="C75" s="657"/>
      <c r="D75" s="658"/>
    </row>
  </sheetData>
  <customSheetViews>
    <customSheetView guid="{533DC55B-6AD4-4674-9488-685EF2039F3E}" scale="55">
      <pane xSplit="1" ySplit="6" topLeftCell="X54" activePane="bottomRight" state="frozen"/>
      <selection pane="bottomRight" activeCell="A49" sqref="A49"/>
      <pageMargins left="0.7" right="0.7" top="0.75" bottom="0.75" header="0.3" footer="0.3"/>
      <pageSetup paperSize="9" orientation="portrait" r:id="rId1"/>
    </customSheetView>
    <customSheetView guid="{85F4575B-DBC5-482A-9916-255D8F0BC94E}" scale="55">
      <pane xSplit="1" ySplit="6" topLeftCell="X54" activePane="bottomRight" state="frozen"/>
      <selection pane="bottomRight" activeCell="A49" sqref="A49"/>
      <pageMargins left="0.7" right="0.7" top="0.75" bottom="0.75" header="0.3" footer="0.3"/>
      <pageSetup paperSize="9" orientation="portrait" r:id="rId2"/>
    </customSheetView>
    <customSheetView guid="{B1BF08D1-D416-4B47-ADD0-4F59132DC9E8}" scale="55">
      <pane xSplit="1" ySplit="6" topLeftCell="X45" activePane="bottomRight" state="frozen"/>
      <selection pane="bottomRight" activeCell="AF49" sqref="AF49"/>
      <pageMargins left="0.7" right="0.7" top="0.75" bottom="0.75" header="0.3" footer="0.3"/>
      <pageSetup paperSize="9" orientation="portrait" r:id="rId3"/>
    </customSheetView>
    <customSheetView guid="{4F41B9CC-959D-442C-80B0-1F0DB2C76D27}" scale="55">
      <pane xSplit="1" ySplit="6" topLeftCell="B33" activePane="bottomRight" state="frozen"/>
      <selection pane="bottomRight" activeCell="C52" sqref="C52"/>
      <pageMargins left="0.7" right="0.7" top="0.75" bottom="0.75" header="0.3" footer="0.3"/>
      <pageSetup paperSize="9" orientation="portrait" r:id="rId4"/>
    </customSheetView>
    <customSheetView guid="{602C8EDB-B9EF-4C85-B0D5-0558C3A0ABAB}" scale="55">
      <pane xSplit="1" ySplit="6" topLeftCell="B33" activePane="bottomRight" state="frozen"/>
      <selection pane="bottomRight" activeCell="C52" sqref="C52"/>
      <pageMargins left="0.7" right="0.7" top="0.75" bottom="0.75" header="0.3" footer="0.3"/>
      <pageSetup paperSize="9" orientation="portrait" r:id="rId5"/>
    </customSheetView>
    <customSheetView guid="{D01FA037-9AEC-4167-ADB8-2F327C01ECE6}" scale="55">
      <pane xSplit="1" ySplit="6" topLeftCell="B33" activePane="bottomRight" state="frozen"/>
      <selection pane="bottomRight" activeCell="B41" sqref="B41"/>
      <pageMargins left="0.7" right="0.7" top="0.75" bottom="0.75" header="0.3" footer="0.3"/>
      <pageSetup paperSize="9" orientation="portrait" r:id="rId6"/>
    </customSheetView>
    <customSheetView guid="{84867370-1F3E-4368-AF79-FBCE46FFFE92}" scale="55">
      <pane xSplit="1" ySplit="6" topLeftCell="B33" activePane="bottomRight" state="frozen"/>
      <selection pane="bottomRight" activeCell="B41" sqref="B41"/>
      <pageMargins left="0.7" right="0.7" top="0.75" bottom="0.75" header="0.3" footer="0.3"/>
      <pageSetup paperSize="9" orientation="portrait" r:id="rId7"/>
    </customSheetView>
    <customSheetView guid="{0C2B9C2A-7B94-41EF-A2E6-F8AC9A67DE25}" scale="60">
      <pane xSplit="1" ySplit="6" topLeftCell="B7" activePane="bottomRight" state="frozen"/>
      <selection pane="bottomRight" activeCell="AB25" sqref="AB25"/>
      <pageMargins left="0.7" right="0.7" top="0.75" bottom="0.75" header="0.3" footer="0.3"/>
      <pageSetup paperSize="9" orientation="portrait" r:id="rId8"/>
    </customSheetView>
    <customSheetView guid="{47B983AB-FE5F-4725-860C-A2F29420596D}" scale="60">
      <pane xSplit="1" ySplit="6" topLeftCell="B7" activePane="bottomRight" state="frozen"/>
      <selection pane="bottomRight" activeCell="AB25" sqref="AB25"/>
      <pageMargins left="0.7" right="0.7" top="0.75" bottom="0.75" header="0.3" footer="0.3"/>
      <pageSetup paperSize="9" orientation="portrait" r:id="rId9"/>
    </customSheetView>
    <customSheetView guid="{DAA8A688-7558-4B5B-8DBD-E2629BD9E9A8}" scale="60">
      <pane xSplit="1" ySplit="6" topLeftCell="I64" activePane="bottomRight" state="frozen"/>
      <selection pane="bottomRight" activeCell="A2" sqref="A2:AE2"/>
      <pageMargins left="0.7" right="0.7" top="0.75" bottom="0.75" header="0.3" footer="0.3"/>
      <pageSetup paperSize="9" orientation="portrait" r:id="rId10"/>
    </customSheetView>
    <customSheetView guid="{BCD82A82-B724-4763-8580-D765356E09BA}" scale="60">
      <pane xSplit="1" ySplit="6" topLeftCell="I7" activePane="bottomRight" state="frozen"/>
      <selection pane="bottomRight" activeCell="A2" sqref="A2:AE2"/>
      <pageMargins left="0.7" right="0.7" top="0.75" bottom="0.75" header="0.3" footer="0.3"/>
      <pageSetup paperSize="9" orientation="portrait" r:id="rId11"/>
    </customSheetView>
    <customSheetView guid="{C236B307-BD63-48C4-A75F-B3F3717BF55C}" scale="60">
      <pane xSplit="1" ySplit="6" topLeftCell="I64" activePane="bottomRight" state="frozen"/>
      <selection pane="bottomRight" activeCell="A2" sqref="A2:AE2"/>
      <pageMargins left="0.7" right="0.7" top="0.75" bottom="0.75" header="0.3" footer="0.3"/>
      <pageSetup paperSize="9" orientation="portrait" r:id="rId12"/>
    </customSheetView>
    <customSheetView guid="{87218168-6C8E-4D5B-A5E5-DCCC26803AA3}" scale="60">
      <pane xSplit="1" ySplit="6" topLeftCell="I64" activePane="bottomRight" state="frozen"/>
      <selection pane="bottomRight" activeCell="A2" sqref="A2:AE2"/>
      <pageMargins left="0.7" right="0.7" top="0.75" bottom="0.75" header="0.3" footer="0.3"/>
      <pageSetup paperSize="9" orientation="portrait" r:id="rId13"/>
    </customSheetView>
    <customSheetView guid="{874882D1-E741-4CCA-BF0D-E72FA60B771D}" scale="60">
      <pane xSplit="1" ySplit="6" topLeftCell="I64" activePane="bottomRight" state="frozen"/>
      <selection pane="bottomRight" activeCell="A2" sqref="A2:AE2"/>
      <pageMargins left="0.7" right="0.7" top="0.75" bottom="0.75" header="0.3" footer="0.3"/>
      <pageSetup paperSize="9" orientation="portrait" r:id="rId14"/>
    </customSheetView>
    <customSheetView guid="{B82BA08A-1A30-4F4D-A478-74A6BD09EA97}" scale="60">
      <pane xSplit="1" ySplit="6" topLeftCell="B7" activePane="bottomRight" state="frozen"/>
      <selection pane="bottomRight" activeCell="P79" sqref="P79"/>
      <pageMargins left="0.7" right="0.7" top="0.75" bottom="0.75" header="0.3" footer="0.3"/>
      <pageSetup paperSize="9" orientation="portrait" r:id="rId15"/>
    </customSheetView>
    <customSheetView guid="{4D0DFB57-2CBA-42F2-9A97-C453A6851FBA}" scale="60">
      <pane xSplit="1" ySplit="6" topLeftCell="B7" activePane="bottomRight" state="frozen"/>
      <selection pane="bottomRight" activeCell="P79" sqref="P79"/>
      <pageMargins left="0.7" right="0.7" top="0.75" bottom="0.75" header="0.3" footer="0.3"/>
      <pageSetup paperSize="9" orientation="portrait" r:id="rId16"/>
    </customSheetView>
    <customSheetView guid="{770624BF-07F3-44B6-94C3-4CC447CDD45C}" scale="60">
      <pane xSplit="1" ySplit="6" topLeftCell="B7" activePane="bottomRight" state="frozen"/>
      <selection pane="bottomRight" activeCell="AB25" sqref="AB25"/>
      <pageMargins left="0.7" right="0.7" top="0.75" bottom="0.75" header="0.3" footer="0.3"/>
      <pageSetup paperSize="9" orientation="portrait" r:id="rId17"/>
    </customSheetView>
    <customSheetView guid="{E508E171-4ED9-4B07-84DF-DA28C60E1969}" scale="60">
      <pane xSplit="1" ySplit="6" topLeftCell="B7" activePane="bottomRight" state="frozen"/>
      <selection pane="bottomRight" activeCell="AB25" sqref="AB25"/>
      <pageMargins left="0.7" right="0.7" top="0.75" bottom="0.75" header="0.3" footer="0.3"/>
      <pageSetup paperSize="9" orientation="portrait" r:id="rId18"/>
    </customSheetView>
    <customSheetView guid="{74870EE6-26B9-40F7-9DC9-260EF16D8959}" scale="55">
      <pane xSplit="1" ySplit="6" topLeftCell="B7" activePane="bottomRight" state="frozen"/>
      <selection pane="bottomRight" activeCell="B41" sqref="B41"/>
      <pageMargins left="0.7" right="0.7" top="0.75" bottom="0.75" header="0.3" footer="0.3"/>
      <pageSetup paperSize="9" orientation="portrait" r:id="rId19"/>
    </customSheetView>
    <customSheetView guid="{009B3074-D8EC-4952-BF50-43CD64449612}" scale="55">
      <pane xSplit="1" ySplit="6" topLeftCell="B33" activePane="bottomRight" state="frozen"/>
      <selection pane="bottomRight" activeCell="B41" sqref="B41"/>
      <pageMargins left="0.7" right="0.7" top="0.75" bottom="0.75" header="0.3" footer="0.3"/>
      <pageSetup paperSize="9" orientation="portrait" r:id="rId20"/>
    </customSheetView>
    <customSheetView guid="{F679EF4A-C5FD-4B86-B87B-D85968E0F2CA}" scale="55">
      <pane xSplit="1" ySplit="6" topLeftCell="B33" activePane="bottomRight" state="frozen"/>
      <selection pane="bottomRight" activeCell="C52" sqref="C52"/>
      <pageMargins left="0.7" right="0.7" top="0.75" bottom="0.75" header="0.3" footer="0.3"/>
      <pageSetup paperSize="9" orientation="portrait" r:id="rId21"/>
    </customSheetView>
    <customSheetView guid="{959E901C-5DDE-42EE-AE94-AB8976B5E00B}" scale="55">
      <pane xSplit="1" ySplit="6" topLeftCell="X45" activePane="bottomRight" state="frozen"/>
      <selection pane="bottomRight" activeCell="AF49" sqref="AF49"/>
      <pageMargins left="0.7" right="0.7" top="0.75" bottom="0.75" header="0.3" footer="0.3"/>
      <pageSetup paperSize="9" orientation="portrait" r:id="rId22"/>
    </customSheetView>
    <customSheetView guid="{69DABE6F-6182-4403-A4A2-969F10F1C13A}" scale="55">
      <pane xSplit="1" ySplit="6" topLeftCell="X54" activePane="bottomRight" state="frozen"/>
      <selection pane="bottomRight" activeCell="A49" sqref="A49"/>
      <pageMargins left="0.7" right="0.7" top="0.75" bottom="0.75" header="0.3" footer="0.3"/>
      <pageSetup paperSize="9" orientation="portrait" r:id="rId23"/>
    </customSheetView>
    <customSheetView guid="{09C3E205-981E-4A4E-BE89-8B7044192060}" scale="55">
      <pane xSplit="1" ySplit="6" topLeftCell="X54" activePane="bottomRight" state="frozen"/>
      <selection pane="bottomRight" activeCell="A49" sqref="A49"/>
      <pageMargins left="0.7" right="0.7" top="0.75" bottom="0.75" header="0.3" footer="0.3"/>
      <pageSetup paperSize="9" orientation="portrait" r:id="rId24"/>
    </customSheetView>
    <customSheetView guid="{6A602CB8-B24C-4ED4-B378-B27354BE0A1A}" scale="55">
      <pane xSplit="1" ySplit="6" topLeftCell="X54" activePane="bottomRight" state="frozen"/>
      <selection pane="bottomRight" activeCell="A49" sqref="A49"/>
      <pageMargins left="0.7" right="0.7" top="0.75" bottom="0.75" header="0.3" footer="0.3"/>
      <pageSetup paperSize="9" orientation="portrait" r:id="rId25"/>
    </customSheetView>
    <customSheetView guid="{7C130984-112A-4861-AA43-E2940708E3DC}" scale="55" state="hidden">
      <pane xSplit="1" ySplit="6" topLeftCell="X54" activePane="bottomRight" state="frozen"/>
      <selection pane="bottomRight" activeCell="AF39" sqref="AF39"/>
      <pageMargins left="0.7" right="0.7" top="0.75" bottom="0.75" header="0.3" footer="0.3"/>
      <pageSetup paperSize="9" orientation="portrait" r:id="rId26"/>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 &quot;Управление муниципальным имуществом города Когалыма&quot;"/>
  </hyperlinks>
  <pageMargins left="0.7" right="0.7" top="0.75" bottom="0.75" header="0.3" footer="0.3"/>
  <pageSetup paperSize="9" orientation="portrait" r:id="rId27"/>
  <legacyDrawing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5"/>
  <sheetViews>
    <sheetView zoomScale="70" zoomScaleNormal="70" workbookViewId="0">
      <pane xSplit="5" ySplit="6" topLeftCell="F55" activePane="bottomRight" state="frozen"/>
      <selection activeCell="AF39" sqref="AF39"/>
      <selection pane="topRight" activeCell="AF39" sqref="AF39"/>
      <selection pane="bottomLeft" activeCell="AF39" sqref="AF39"/>
      <selection pane="bottomRight" activeCell="AF39" sqref="AF39"/>
    </sheetView>
  </sheetViews>
  <sheetFormatPr defaultRowHeight="15" x14ac:dyDescent="0.25"/>
  <cols>
    <col min="1" max="1" width="46.140625" style="62" customWidth="1"/>
    <col min="2" max="2" width="18.7109375" bestFit="1" customWidth="1"/>
    <col min="3" max="3" width="15.42578125" bestFit="1" customWidth="1"/>
    <col min="4" max="4" width="21" customWidth="1"/>
    <col min="5" max="5" width="15.42578125" bestFit="1" customWidth="1"/>
    <col min="6" max="6" width="16.5703125" bestFit="1" customWidth="1"/>
    <col min="7" max="7" width="20.28515625" customWidth="1"/>
    <col min="8" max="8" width="15.5703125" bestFit="1" customWidth="1"/>
    <col min="9" max="9" width="15.28515625" customWidth="1"/>
    <col min="10" max="10" width="17.28515625" bestFit="1" customWidth="1"/>
    <col min="11" max="11" width="16.85546875" customWidth="1"/>
    <col min="12" max="12" width="15.5703125" bestFit="1" customWidth="1"/>
    <col min="13" max="13" width="16.42578125"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7.285156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 min="33" max="33" width="11.7109375" customWidth="1"/>
  </cols>
  <sheetData>
    <row r="1" spans="1:33" ht="18.75" x14ac:dyDescent="0.25">
      <c r="A1" s="900" t="s">
        <v>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row>
    <row r="2" spans="1:33" ht="18.75" x14ac:dyDescent="0.25">
      <c r="A2" s="901" t="s">
        <v>94</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1" t="s">
        <v>1</v>
      </c>
    </row>
    <row r="3" spans="1:33" x14ac:dyDescent="0.25">
      <c r="A3" s="893" t="s">
        <v>2</v>
      </c>
      <c r="B3" s="902" t="s">
        <v>3</v>
      </c>
      <c r="C3" s="902" t="s">
        <v>3</v>
      </c>
      <c r="D3" s="902" t="s">
        <v>4</v>
      </c>
      <c r="E3" s="904" t="s">
        <v>5</v>
      </c>
      <c r="F3" s="896" t="s">
        <v>6</v>
      </c>
      <c r="G3" s="897"/>
      <c r="H3" s="896" t="s">
        <v>7</v>
      </c>
      <c r="I3" s="897"/>
      <c r="J3" s="896" t="s">
        <v>8</v>
      </c>
      <c r="K3" s="897"/>
      <c r="L3" s="896" t="s">
        <v>9</v>
      </c>
      <c r="M3" s="897"/>
      <c r="N3" s="896" t="s">
        <v>10</v>
      </c>
      <c r="O3" s="897"/>
      <c r="P3" s="896" t="s">
        <v>11</v>
      </c>
      <c r="Q3" s="897"/>
      <c r="R3" s="896" t="s">
        <v>12</v>
      </c>
      <c r="S3" s="897"/>
      <c r="T3" s="896" t="s">
        <v>13</v>
      </c>
      <c r="U3" s="897"/>
      <c r="V3" s="896" t="s">
        <v>14</v>
      </c>
      <c r="W3" s="897"/>
      <c r="X3" s="896" t="s">
        <v>15</v>
      </c>
      <c r="Y3" s="897"/>
      <c r="Z3" s="896" t="s">
        <v>16</v>
      </c>
      <c r="AA3" s="897"/>
      <c r="AB3" s="896" t="s">
        <v>17</v>
      </c>
      <c r="AC3" s="897"/>
      <c r="AD3" s="896" t="s">
        <v>18</v>
      </c>
      <c r="AE3" s="897"/>
      <c r="AF3" s="893" t="s">
        <v>19</v>
      </c>
    </row>
    <row r="4" spans="1:33" ht="42.75" customHeight="1" x14ac:dyDescent="0.25">
      <c r="A4" s="894"/>
      <c r="B4" s="903"/>
      <c r="C4" s="903"/>
      <c r="D4" s="903"/>
      <c r="E4" s="905"/>
      <c r="F4" s="898"/>
      <c r="G4" s="899"/>
      <c r="H4" s="898"/>
      <c r="I4" s="899"/>
      <c r="J4" s="898"/>
      <c r="K4" s="899"/>
      <c r="L4" s="898"/>
      <c r="M4" s="899"/>
      <c r="N4" s="898"/>
      <c r="O4" s="899"/>
      <c r="P4" s="898"/>
      <c r="Q4" s="899"/>
      <c r="R4" s="898"/>
      <c r="S4" s="899"/>
      <c r="T4" s="898"/>
      <c r="U4" s="899"/>
      <c r="V4" s="898"/>
      <c r="W4" s="899"/>
      <c r="X4" s="898"/>
      <c r="Y4" s="899"/>
      <c r="Z4" s="898"/>
      <c r="AA4" s="899"/>
      <c r="AB4" s="898"/>
      <c r="AC4" s="899"/>
      <c r="AD4" s="898"/>
      <c r="AE4" s="899"/>
      <c r="AF4" s="894"/>
    </row>
    <row r="5" spans="1:33" ht="37.5" x14ac:dyDescent="0.25">
      <c r="A5" s="24"/>
      <c r="B5" s="3">
        <v>2024</v>
      </c>
      <c r="C5" s="4">
        <v>45383</v>
      </c>
      <c r="D5" s="4">
        <v>45383</v>
      </c>
      <c r="E5" s="4">
        <v>45383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895"/>
    </row>
    <row r="6" spans="1:33" ht="18.75" x14ac:dyDescent="0.25">
      <c r="A6" s="6">
        <v>1</v>
      </c>
      <c r="B6" s="830">
        <v>2</v>
      </c>
      <c r="C6" s="830">
        <v>3</v>
      </c>
      <c r="D6" s="830">
        <v>4</v>
      </c>
      <c r="E6" s="830">
        <v>5</v>
      </c>
      <c r="F6" s="830">
        <v>6</v>
      </c>
      <c r="G6" s="830">
        <v>7</v>
      </c>
      <c r="H6" s="830">
        <v>8</v>
      </c>
      <c r="I6" s="830">
        <v>9</v>
      </c>
      <c r="J6" s="830">
        <v>10</v>
      </c>
      <c r="K6" s="830">
        <v>11</v>
      </c>
      <c r="L6" s="830">
        <v>12</v>
      </c>
      <c r="M6" s="830">
        <v>13</v>
      </c>
      <c r="N6" s="830">
        <v>14</v>
      </c>
      <c r="O6" s="830">
        <v>15</v>
      </c>
      <c r="P6" s="830">
        <v>16</v>
      </c>
      <c r="Q6" s="830">
        <v>17</v>
      </c>
      <c r="R6" s="830">
        <v>18</v>
      </c>
      <c r="S6" s="830">
        <v>19</v>
      </c>
      <c r="T6" s="830">
        <v>20</v>
      </c>
      <c r="U6" s="830">
        <v>21</v>
      </c>
      <c r="V6" s="830">
        <v>22</v>
      </c>
      <c r="W6" s="830">
        <v>23</v>
      </c>
      <c r="X6" s="830">
        <v>24</v>
      </c>
      <c r="Y6" s="830">
        <v>25</v>
      </c>
      <c r="Z6" s="830">
        <v>26</v>
      </c>
      <c r="AA6" s="830">
        <v>27</v>
      </c>
      <c r="AB6" s="830">
        <v>28</v>
      </c>
      <c r="AC6" s="830">
        <v>29</v>
      </c>
      <c r="AD6" s="830">
        <v>30</v>
      </c>
      <c r="AE6" s="830">
        <v>31</v>
      </c>
      <c r="AF6" s="2">
        <v>32</v>
      </c>
    </row>
    <row r="7" spans="1:33" ht="37.5" x14ac:dyDescent="0.25">
      <c r="A7" s="66" t="s">
        <v>95</v>
      </c>
      <c r="B7" s="830"/>
      <c r="C7" s="831"/>
      <c r="D7" s="830"/>
      <c r="E7" s="830"/>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E7" s="830"/>
      <c r="AF7" s="2"/>
    </row>
    <row r="8" spans="1:33" ht="18.75" x14ac:dyDescent="0.25">
      <c r="A8" s="64" t="s">
        <v>54</v>
      </c>
      <c r="B8" s="830"/>
      <c r="C8" s="830"/>
      <c r="D8" s="830"/>
      <c r="E8" s="830"/>
      <c r="F8" s="830"/>
      <c r="G8" s="830"/>
      <c r="H8" s="830"/>
      <c r="I8" s="830"/>
      <c r="J8" s="830"/>
      <c r="K8" s="830"/>
      <c r="L8" s="830"/>
      <c r="M8" s="830"/>
      <c r="N8" s="830"/>
      <c r="O8" s="830"/>
      <c r="P8" s="830"/>
      <c r="Q8" s="830"/>
      <c r="R8" s="830"/>
      <c r="S8" s="830"/>
      <c r="T8" s="830"/>
      <c r="U8" s="830"/>
      <c r="V8" s="830"/>
      <c r="W8" s="830"/>
      <c r="X8" s="830"/>
      <c r="Y8" s="830"/>
      <c r="Z8" s="830"/>
      <c r="AA8" s="830"/>
      <c r="AB8" s="830"/>
      <c r="AC8" s="830"/>
      <c r="AD8" s="830"/>
      <c r="AE8" s="830"/>
      <c r="AF8" s="2"/>
    </row>
    <row r="9" spans="1:33" ht="56.25" customHeight="1" x14ac:dyDescent="0.25">
      <c r="A9" s="50" t="s">
        <v>96</v>
      </c>
      <c r="B9" s="30">
        <f>B10</f>
        <v>645.1</v>
      </c>
      <c r="C9" s="755">
        <f t="shared" ref="C9:E9" si="0">C10</f>
        <v>0</v>
      </c>
      <c r="D9" s="755">
        <f t="shared" si="0"/>
        <v>0</v>
      </c>
      <c r="E9" s="755">
        <f t="shared" si="0"/>
        <v>0</v>
      </c>
      <c r="F9" s="755"/>
      <c r="G9" s="30"/>
      <c r="H9" s="755"/>
      <c r="I9" s="755"/>
      <c r="J9" s="755"/>
      <c r="K9" s="755"/>
      <c r="L9" s="755"/>
      <c r="M9" s="755"/>
      <c r="N9" s="30"/>
      <c r="O9" s="30"/>
      <c r="P9" s="30"/>
      <c r="Q9" s="30"/>
      <c r="R9" s="30"/>
      <c r="S9" s="30"/>
      <c r="T9" s="30"/>
      <c r="U9" s="30"/>
      <c r="V9" s="30"/>
      <c r="W9" s="30"/>
      <c r="X9" s="30"/>
      <c r="Y9" s="30"/>
      <c r="Z9" s="30"/>
      <c r="AA9" s="30"/>
      <c r="AB9" s="30"/>
      <c r="AC9" s="30"/>
      <c r="AD9" s="30"/>
      <c r="AE9" s="30"/>
      <c r="AF9" s="21"/>
    </row>
    <row r="10" spans="1:33" ht="18.75" x14ac:dyDescent="0.3">
      <c r="A10" s="13" t="s">
        <v>31</v>
      </c>
      <c r="B10" s="47">
        <f>B12+B11</f>
        <v>645.1</v>
      </c>
      <c r="C10" s="751">
        <f>C12+C11</f>
        <v>0</v>
      </c>
      <c r="D10" s="751">
        <f>D11+D12+D13</f>
        <v>0</v>
      </c>
      <c r="E10" s="751">
        <f t="shared" ref="E10" si="1">E12+E11</f>
        <v>0</v>
      </c>
      <c r="F10" s="752">
        <f>E10/B10*100</f>
        <v>0</v>
      </c>
      <c r="G10" s="32" t="e">
        <f>E10/C10*100</f>
        <v>#DIV/0!</v>
      </c>
      <c r="H10" s="751">
        <f>H11+H12</f>
        <v>0</v>
      </c>
      <c r="I10" s="751">
        <f t="shared" ref="I10:AE10" si="2">I11+I12</f>
        <v>0</v>
      </c>
      <c r="J10" s="751">
        <f t="shared" si="2"/>
        <v>0</v>
      </c>
      <c r="K10" s="751">
        <f t="shared" si="2"/>
        <v>0</v>
      </c>
      <c r="L10" s="751">
        <f t="shared" si="2"/>
        <v>0</v>
      </c>
      <c r="M10" s="751">
        <f t="shared" si="2"/>
        <v>0</v>
      </c>
      <c r="N10" s="47">
        <f t="shared" si="2"/>
        <v>161.28</v>
      </c>
      <c r="O10" s="751">
        <f t="shared" si="2"/>
        <v>0</v>
      </c>
      <c r="P10" s="751">
        <f t="shared" si="2"/>
        <v>0</v>
      </c>
      <c r="Q10" s="751">
        <f t="shared" si="2"/>
        <v>0</v>
      </c>
      <c r="R10" s="751">
        <f t="shared" si="2"/>
        <v>0</v>
      </c>
      <c r="S10" s="751">
        <f t="shared" si="2"/>
        <v>0</v>
      </c>
      <c r="T10" s="47">
        <f t="shared" si="2"/>
        <v>161.28</v>
      </c>
      <c r="U10" s="751">
        <f t="shared" si="2"/>
        <v>0</v>
      </c>
      <c r="V10" s="751">
        <f t="shared" si="2"/>
        <v>0</v>
      </c>
      <c r="W10" s="751">
        <f t="shared" si="2"/>
        <v>0</v>
      </c>
      <c r="X10" s="751">
        <f t="shared" si="2"/>
        <v>0</v>
      </c>
      <c r="Y10" s="751">
        <f t="shared" si="2"/>
        <v>0</v>
      </c>
      <c r="Z10" s="47">
        <f t="shared" si="2"/>
        <v>161.27000000000001</v>
      </c>
      <c r="AA10" s="751">
        <f t="shared" si="2"/>
        <v>0</v>
      </c>
      <c r="AB10" s="751">
        <f t="shared" si="2"/>
        <v>0</v>
      </c>
      <c r="AC10" s="751">
        <f t="shared" si="2"/>
        <v>0</v>
      </c>
      <c r="AD10" s="47">
        <f t="shared" si="2"/>
        <v>161.27000000000001</v>
      </c>
      <c r="AE10" s="751">
        <f t="shared" si="2"/>
        <v>0</v>
      </c>
      <c r="AF10" s="29"/>
      <c r="AG10" s="757"/>
    </row>
    <row r="11" spans="1:33" ht="18.75" x14ac:dyDescent="0.3">
      <c r="A11" s="13" t="s">
        <v>97</v>
      </c>
      <c r="B11" s="47">
        <f>H11+J11+L11+N11+P11+R11+T11+V11+X11+Z11+AB11+AD11</f>
        <v>152.29999999999998</v>
      </c>
      <c r="C11" s="751">
        <f>H11</f>
        <v>0</v>
      </c>
      <c r="D11" s="751">
        <f>E11</f>
        <v>0</v>
      </c>
      <c r="E11" s="751">
        <f>K11+M11+O11+Q11+S11+U11+W11+Y11+AA11+AC11+AE11</f>
        <v>0</v>
      </c>
      <c r="F11" s="752">
        <f t="shared" ref="F11" si="3">E11/B11*100</f>
        <v>0</v>
      </c>
      <c r="G11" s="32" t="e">
        <f t="shared" ref="G11" si="4">E11/C11*100</f>
        <v>#DIV/0!</v>
      </c>
      <c r="H11" s="751"/>
      <c r="I11" s="751"/>
      <c r="J11" s="751"/>
      <c r="K11" s="751"/>
      <c r="L11" s="751"/>
      <c r="M11" s="751"/>
      <c r="N11" s="47">
        <v>38.08</v>
      </c>
      <c r="O11" s="751"/>
      <c r="P11" s="751"/>
      <c r="Q11" s="751"/>
      <c r="R11" s="751"/>
      <c r="S11" s="751"/>
      <c r="T11" s="47">
        <v>38.08</v>
      </c>
      <c r="U11" s="751"/>
      <c r="V11" s="751"/>
      <c r="W11" s="751"/>
      <c r="X11" s="751"/>
      <c r="Y11" s="751"/>
      <c r="Z11" s="47">
        <v>38.07</v>
      </c>
      <c r="AA11" s="751"/>
      <c r="AB11" s="751"/>
      <c r="AC11" s="751"/>
      <c r="AD11" s="47">
        <v>38.07</v>
      </c>
      <c r="AE11" s="751"/>
      <c r="AF11" s="29"/>
      <c r="AG11" s="757"/>
    </row>
    <row r="12" spans="1:33" ht="18.75" x14ac:dyDescent="0.3">
      <c r="A12" s="17" t="s">
        <v>33</v>
      </c>
      <c r="B12" s="47">
        <f>H12+J12+L12+N12+P12+R12+T12+V12+X12+Z12+AB12+AD12</f>
        <v>492.8</v>
      </c>
      <c r="C12" s="751">
        <f>H12</f>
        <v>0</v>
      </c>
      <c r="D12" s="751">
        <f>E12</f>
        <v>0</v>
      </c>
      <c r="E12" s="751">
        <f>K12+M12+O12+Q12+S12+U12+W12+Y12+AA12+AC12+AE12+I12</f>
        <v>0</v>
      </c>
      <c r="F12" s="752">
        <f t="shared" ref="F12" si="5">E12/B12*100</f>
        <v>0</v>
      </c>
      <c r="G12" s="32" t="e">
        <f t="shared" ref="G12" si="6">E12/C12*100</f>
        <v>#DIV/0!</v>
      </c>
      <c r="H12" s="752"/>
      <c r="I12" s="752"/>
      <c r="J12" s="752"/>
      <c r="K12" s="752"/>
      <c r="L12" s="752"/>
      <c r="M12" s="752"/>
      <c r="N12" s="47">
        <v>123.2</v>
      </c>
      <c r="O12" s="751"/>
      <c r="P12" s="751"/>
      <c r="Q12" s="751"/>
      <c r="R12" s="751"/>
      <c r="S12" s="751"/>
      <c r="T12" s="47">
        <v>123.2</v>
      </c>
      <c r="U12" s="751"/>
      <c r="V12" s="751"/>
      <c r="W12" s="751"/>
      <c r="X12" s="751"/>
      <c r="Y12" s="751"/>
      <c r="Z12" s="47">
        <v>123.2</v>
      </c>
      <c r="AA12" s="751"/>
      <c r="AB12" s="751"/>
      <c r="AC12" s="751"/>
      <c r="AD12" s="47">
        <v>123.2</v>
      </c>
      <c r="AE12" s="752"/>
      <c r="AF12" s="29"/>
      <c r="AG12" s="757"/>
    </row>
    <row r="13" spans="1:33" ht="37.5" x14ac:dyDescent="0.3">
      <c r="A13" s="73" t="s">
        <v>130</v>
      </c>
      <c r="B13" s="47">
        <f>H13+J13+L13+N13+P13+R13+T13+V13+X13+Z13+AB13+AD13</f>
        <v>65.319999999999993</v>
      </c>
      <c r="C13" s="751">
        <f>H13</f>
        <v>0</v>
      </c>
      <c r="D13" s="751">
        <f>E13</f>
        <v>0</v>
      </c>
      <c r="E13" s="751">
        <f>K13+M13+O13+Q13+S13+U13+W13+Y13+AA13+AC13+AE13+I13</f>
        <v>0</v>
      </c>
      <c r="F13" s="752">
        <f t="shared" ref="F13" si="7">E13/B13*100</f>
        <v>0</v>
      </c>
      <c r="G13" s="32" t="e">
        <f t="shared" ref="G13" si="8">E13/C13*100</f>
        <v>#DIV/0!</v>
      </c>
      <c r="H13" s="752"/>
      <c r="I13" s="752"/>
      <c r="J13" s="752"/>
      <c r="K13" s="752"/>
      <c r="L13" s="752"/>
      <c r="M13" s="752"/>
      <c r="N13" s="47">
        <v>16.329999999999998</v>
      </c>
      <c r="O13" s="751"/>
      <c r="P13" s="751"/>
      <c r="Q13" s="751"/>
      <c r="R13" s="751"/>
      <c r="S13" s="751"/>
      <c r="T13" s="47">
        <v>16.329999999999998</v>
      </c>
      <c r="U13" s="751"/>
      <c r="V13" s="751"/>
      <c r="W13" s="751"/>
      <c r="X13" s="751"/>
      <c r="Y13" s="751"/>
      <c r="Z13" s="47">
        <v>16.329999999999998</v>
      </c>
      <c r="AA13" s="751"/>
      <c r="AB13" s="751"/>
      <c r="AC13" s="751"/>
      <c r="AD13" s="47">
        <v>16.329999999999998</v>
      </c>
      <c r="AE13" s="752"/>
      <c r="AF13" s="29"/>
      <c r="AG13" s="757"/>
    </row>
    <row r="14" spans="1:33" ht="93.75" x14ac:dyDescent="0.3">
      <c r="A14" s="50" t="s">
        <v>98</v>
      </c>
      <c r="B14" s="667"/>
      <c r="C14" s="667"/>
      <c r="D14" s="667"/>
      <c r="E14" s="667"/>
      <c r="F14" s="32"/>
      <c r="G14" s="32"/>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846" t="s">
        <v>599</v>
      </c>
      <c r="AG14" s="757"/>
    </row>
    <row r="15" spans="1:33" ht="18.75" x14ac:dyDescent="0.3">
      <c r="A15" s="13" t="s">
        <v>31</v>
      </c>
      <c r="B15" s="667">
        <f>B16</f>
        <v>9983.5</v>
      </c>
      <c r="C15" s="667">
        <f t="shared" ref="C15:E15" si="9">C16</f>
        <v>2436.04</v>
      </c>
      <c r="D15" s="667">
        <f>D16</f>
        <v>2027.3400000000001</v>
      </c>
      <c r="E15" s="667">
        <f t="shared" si="9"/>
        <v>2027.3400000000001</v>
      </c>
      <c r="F15" s="32">
        <f t="shared" ref="F15" si="10">E15/B15*100</f>
        <v>20.306906395552662</v>
      </c>
      <c r="G15" s="32">
        <f t="shared" ref="G15" si="11">E15/C15*100</f>
        <v>83.222771383064327</v>
      </c>
      <c r="H15" s="667">
        <f>H16</f>
        <v>758.66</v>
      </c>
      <c r="I15" s="667">
        <f t="shared" ref="I15:AE15" si="12">I16</f>
        <v>733.85</v>
      </c>
      <c r="J15" s="667">
        <f t="shared" si="12"/>
        <v>838.79</v>
      </c>
      <c r="K15" s="667">
        <f t="shared" si="12"/>
        <v>646.39</v>
      </c>
      <c r="L15" s="667">
        <f t="shared" si="12"/>
        <v>838.59</v>
      </c>
      <c r="M15" s="667">
        <f t="shared" si="12"/>
        <v>647.1</v>
      </c>
      <c r="N15" s="667">
        <f t="shared" si="12"/>
        <v>838.59</v>
      </c>
      <c r="O15" s="667">
        <f t="shared" si="12"/>
        <v>0</v>
      </c>
      <c r="P15" s="667">
        <f t="shared" si="12"/>
        <v>838.59</v>
      </c>
      <c r="Q15" s="667">
        <f t="shared" si="12"/>
        <v>0</v>
      </c>
      <c r="R15" s="667">
        <f t="shared" si="12"/>
        <v>838.59</v>
      </c>
      <c r="S15" s="667">
        <f t="shared" si="12"/>
        <v>0</v>
      </c>
      <c r="T15" s="667">
        <f t="shared" si="12"/>
        <v>838.59</v>
      </c>
      <c r="U15" s="667">
        <f t="shared" si="12"/>
        <v>0</v>
      </c>
      <c r="V15" s="667">
        <f t="shared" si="12"/>
        <v>838.59</v>
      </c>
      <c r="W15" s="667">
        <f t="shared" si="12"/>
        <v>0</v>
      </c>
      <c r="X15" s="667">
        <f t="shared" si="12"/>
        <v>838.59</v>
      </c>
      <c r="Y15" s="667">
        <f t="shared" si="12"/>
        <v>0</v>
      </c>
      <c r="Z15" s="667">
        <f t="shared" si="12"/>
        <v>838.59</v>
      </c>
      <c r="AA15" s="667">
        <f t="shared" si="12"/>
        <v>0</v>
      </c>
      <c r="AB15" s="667">
        <f t="shared" si="12"/>
        <v>838.58</v>
      </c>
      <c r="AC15" s="667">
        <f t="shared" si="12"/>
        <v>0</v>
      </c>
      <c r="AD15" s="667">
        <f t="shared" si="12"/>
        <v>838.75</v>
      </c>
      <c r="AE15" s="667">
        <f t="shared" si="12"/>
        <v>0</v>
      </c>
      <c r="AF15" s="29"/>
      <c r="AG15" s="757"/>
    </row>
    <row r="16" spans="1:33" ht="18.75" x14ac:dyDescent="0.3">
      <c r="A16" s="17" t="s">
        <v>33</v>
      </c>
      <c r="B16" s="47">
        <f>H16+J16+L16+N16+P16+R16+T16+V16+X16+Z16+AB16+AD16</f>
        <v>9983.5</v>
      </c>
      <c r="C16" s="47">
        <f>H16+J16+L16</f>
        <v>2436.04</v>
      </c>
      <c r="D16" s="47">
        <f>E16</f>
        <v>2027.3400000000001</v>
      </c>
      <c r="E16" s="47">
        <f>I16+K16+M16</f>
        <v>2027.3400000000001</v>
      </c>
      <c r="F16" s="32">
        <f t="shared" ref="F16" si="13">E16/B16*100</f>
        <v>20.306906395552662</v>
      </c>
      <c r="G16" s="32">
        <f t="shared" ref="G16" si="14">E16/C16*100</f>
        <v>83.222771383064327</v>
      </c>
      <c r="H16" s="667">
        <v>758.66</v>
      </c>
      <c r="I16" s="667">
        <v>733.85</v>
      </c>
      <c r="J16" s="667">
        <v>838.79</v>
      </c>
      <c r="K16" s="667">
        <v>646.39</v>
      </c>
      <c r="L16" s="667">
        <v>838.59</v>
      </c>
      <c r="M16" s="667">
        <v>647.1</v>
      </c>
      <c r="N16" s="667">
        <v>838.59</v>
      </c>
      <c r="O16" s="667"/>
      <c r="P16" s="667">
        <v>838.59</v>
      </c>
      <c r="Q16" s="667"/>
      <c r="R16" s="667">
        <v>838.59</v>
      </c>
      <c r="S16" s="667"/>
      <c r="T16" s="667">
        <v>838.59</v>
      </c>
      <c r="U16" s="667"/>
      <c r="V16" s="667">
        <v>838.59</v>
      </c>
      <c r="W16" s="667"/>
      <c r="X16" s="667">
        <v>838.59</v>
      </c>
      <c r="Y16" s="667"/>
      <c r="Z16" s="667">
        <v>838.59</v>
      </c>
      <c r="AA16" s="667"/>
      <c r="AB16" s="667">
        <v>838.58</v>
      </c>
      <c r="AC16" s="667"/>
      <c r="AD16" s="667">
        <v>838.75</v>
      </c>
      <c r="AE16" s="667"/>
      <c r="AF16" s="29"/>
      <c r="AG16" s="757"/>
    </row>
    <row r="17" spans="1:33" ht="168.75" x14ac:dyDescent="0.3">
      <c r="A17" s="70" t="s">
        <v>99</v>
      </c>
      <c r="B17" s="667"/>
      <c r="C17" s="667"/>
      <c r="D17" s="667"/>
      <c r="E17" s="667"/>
      <c r="F17" s="32"/>
      <c r="G17" s="32"/>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29"/>
      <c r="AG17" s="757"/>
    </row>
    <row r="18" spans="1:33" ht="18.75" x14ac:dyDescent="0.3">
      <c r="A18" s="13" t="s">
        <v>31</v>
      </c>
      <c r="B18" s="667">
        <f>B19+B20</f>
        <v>3251.3900000000003</v>
      </c>
      <c r="C18" s="667">
        <f t="shared" ref="C18:D18" si="15">C19+C20</f>
        <v>953.9799999999999</v>
      </c>
      <c r="D18" s="667">
        <f t="shared" si="15"/>
        <v>585.25</v>
      </c>
      <c r="E18" s="667">
        <f>E19+E20</f>
        <v>585.25</v>
      </c>
      <c r="F18" s="32">
        <f t="shared" ref="F18" si="16">E18/B18*100</f>
        <v>17.999993848784669</v>
      </c>
      <c r="G18" s="32">
        <f t="shared" ref="G18" si="17">E18/C18*100</f>
        <v>61.348246294471586</v>
      </c>
      <c r="H18" s="667">
        <f t="shared" ref="H18" si="18">H19+H20</f>
        <v>351.32</v>
      </c>
      <c r="I18" s="667">
        <f t="shared" ref="I18" si="19">I19+I20</f>
        <v>256.21000000000004</v>
      </c>
      <c r="J18" s="667">
        <f t="shared" ref="J18" si="20">J19+J20</f>
        <v>216.67</v>
      </c>
      <c r="K18" s="667">
        <f t="shared" ref="K18" si="21">K19+K20</f>
        <v>258.52</v>
      </c>
      <c r="L18" s="667">
        <f t="shared" ref="L18" si="22">L19+L20</f>
        <v>385.99</v>
      </c>
      <c r="M18" s="667">
        <f t="shared" ref="M18" si="23">M19+M20</f>
        <v>319.23</v>
      </c>
      <c r="N18" s="667">
        <f t="shared" ref="N18" si="24">N19+N20</f>
        <v>370.27000000000004</v>
      </c>
      <c r="O18" s="667">
        <f t="shared" ref="O18" si="25">O19+O20</f>
        <v>0</v>
      </c>
      <c r="P18" s="667">
        <f t="shared" ref="P18" si="26">P19+P20</f>
        <v>306.22000000000003</v>
      </c>
      <c r="Q18" s="667">
        <f t="shared" ref="Q18" si="27">Q19+Q20</f>
        <v>0</v>
      </c>
      <c r="R18" s="667">
        <f t="shared" ref="R18" si="28">R19+R20</f>
        <v>278.45999999999998</v>
      </c>
      <c r="S18" s="667">
        <f t="shared" ref="S18" si="29">S19+S20</f>
        <v>0</v>
      </c>
      <c r="T18" s="667">
        <f t="shared" ref="T18" si="30">T19+T20</f>
        <v>389</v>
      </c>
      <c r="U18" s="667">
        <f t="shared" ref="U18" si="31">U19+U20</f>
        <v>0</v>
      </c>
      <c r="V18" s="667">
        <f t="shared" ref="V18" si="32">V19+V20</f>
        <v>171.6</v>
      </c>
      <c r="W18" s="667">
        <f t="shared" ref="W18" si="33">W19+W20</f>
        <v>0</v>
      </c>
      <c r="X18" s="667">
        <f t="shared" ref="X18" si="34">X19+X20</f>
        <v>150.26</v>
      </c>
      <c r="Y18" s="667">
        <f t="shared" ref="Y18" si="35">Y19+Y20</f>
        <v>0</v>
      </c>
      <c r="Z18" s="667">
        <f>Z19+Z20</f>
        <v>234.16000000000003</v>
      </c>
      <c r="AA18" s="667">
        <f t="shared" ref="AA18" si="36">AA19+AA20</f>
        <v>0</v>
      </c>
      <c r="AB18" s="667">
        <f t="shared" ref="AB18" si="37">AB19+AB20</f>
        <v>171.61</v>
      </c>
      <c r="AC18" s="667">
        <f t="shared" ref="AC18" si="38">AC19+AC20</f>
        <v>0</v>
      </c>
      <c r="AD18" s="667">
        <f t="shared" ref="AD18" si="39">AD19+AD20</f>
        <v>225.83</v>
      </c>
      <c r="AE18" s="667">
        <f t="shared" ref="AE18" si="40">AE19+AE20</f>
        <v>0</v>
      </c>
      <c r="AF18" s="29"/>
      <c r="AG18" s="757"/>
    </row>
    <row r="19" spans="1:33" ht="105.75" x14ac:dyDescent="0.3">
      <c r="A19" s="13" t="s">
        <v>97</v>
      </c>
      <c r="B19" s="47">
        <f t="shared" ref="B19" si="41">H19+J19+L19+N19+P19+R19+T19+V19+X19+Z19+AB19+AD19</f>
        <v>3177.1900000000005</v>
      </c>
      <c r="C19" s="47">
        <f>H19+J19+L19</f>
        <v>946.43</v>
      </c>
      <c r="D19" s="47">
        <f>E19</f>
        <v>577.75</v>
      </c>
      <c r="E19" s="47">
        <f>K19+M19+O19+Q19+S19+U19+W19+Y19+AA19+AC19+AE19</f>
        <v>577.75</v>
      </c>
      <c r="F19" s="32">
        <f t="shared" ref="F19" si="42">E19/B19*100</f>
        <v>18.184307517019754</v>
      </c>
      <c r="G19" s="32">
        <f t="shared" ref="G19" si="43">E19/C19*100</f>
        <v>61.045190875183586</v>
      </c>
      <c r="H19" s="667">
        <v>343.77</v>
      </c>
      <c r="I19" s="667">
        <v>248.71</v>
      </c>
      <c r="J19" s="667">
        <v>216.67</v>
      </c>
      <c r="K19" s="667">
        <v>258.52</v>
      </c>
      <c r="L19" s="667">
        <v>385.99</v>
      </c>
      <c r="M19" s="667">
        <v>319.23</v>
      </c>
      <c r="N19" s="667">
        <v>312.72000000000003</v>
      </c>
      <c r="O19" s="667"/>
      <c r="P19" s="667">
        <v>306.22000000000003</v>
      </c>
      <c r="Q19" s="667"/>
      <c r="R19" s="667">
        <v>278.45999999999998</v>
      </c>
      <c r="S19" s="667"/>
      <c r="T19" s="667">
        <v>383.45</v>
      </c>
      <c r="U19" s="667"/>
      <c r="V19" s="667">
        <v>171.6</v>
      </c>
      <c r="W19" s="667"/>
      <c r="X19" s="667">
        <v>150.26</v>
      </c>
      <c r="Y19" s="667"/>
      <c r="Z19" s="667">
        <v>230.61</v>
      </c>
      <c r="AA19" s="667"/>
      <c r="AB19" s="667">
        <v>171.61</v>
      </c>
      <c r="AC19" s="667"/>
      <c r="AD19" s="667">
        <v>225.83</v>
      </c>
      <c r="AE19" s="667"/>
      <c r="AF19" s="845" t="s">
        <v>600</v>
      </c>
      <c r="AG19" s="757"/>
    </row>
    <row r="20" spans="1:33" ht="18.75" x14ac:dyDescent="0.3">
      <c r="A20" s="17" t="s">
        <v>33</v>
      </c>
      <c r="B20" s="47">
        <f>H20+N20+T20+Z20</f>
        <v>74.199999999999989</v>
      </c>
      <c r="C20" s="47">
        <f>H20</f>
        <v>7.55</v>
      </c>
      <c r="D20" s="47">
        <f>E20</f>
        <v>7.5</v>
      </c>
      <c r="E20" s="47">
        <f>K20+M20+O20+Q20+S20+U20+W20+Y20+AA20+AC20+AE20+I20</f>
        <v>7.5</v>
      </c>
      <c r="F20" s="32">
        <f t="shared" ref="F20" si="44">E20/B20*100</f>
        <v>10.107816711590297</v>
      </c>
      <c r="G20" s="32">
        <f t="shared" ref="G20" si="45">E20/C20*100</f>
        <v>99.337748344370866</v>
      </c>
      <c r="H20" s="667">
        <v>7.55</v>
      </c>
      <c r="I20" s="667">
        <v>7.5</v>
      </c>
      <c r="J20" s="667"/>
      <c r="K20" s="667"/>
      <c r="L20" s="667"/>
      <c r="M20" s="667"/>
      <c r="N20" s="667">
        <v>57.55</v>
      </c>
      <c r="O20" s="667"/>
      <c r="P20" s="667"/>
      <c r="Q20" s="667"/>
      <c r="R20" s="667"/>
      <c r="S20" s="667"/>
      <c r="T20" s="667">
        <v>5.55</v>
      </c>
      <c r="U20" s="667"/>
      <c r="V20" s="667"/>
      <c r="W20" s="667"/>
      <c r="X20" s="667"/>
      <c r="Y20" s="667"/>
      <c r="Z20" s="667">
        <v>3.55</v>
      </c>
      <c r="AA20" s="667"/>
      <c r="AB20" s="667"/>
      <c r="AC20" s="667"/>
      <c r="AD20" s="667"/>
      <c r="AE20" s="667"/>
      <c r="AF20" s="29"/>
      <c r="AG20" s="757"/>
    </row>
    <row r="21" spans="1:33" ht="112.5" x14ac:dyDescent="0.3">
      <c r="A21" s="70" t="s">
        <v>101</v>
      </c>
      <c r="B21" s="667"/>
      <c r="C21" s="667"/>
      <c r="D21" s="667"/>
      <c r="E21" s="667"/>
      <c r="F21" s="32"/>
      <c r="G21" s="32"/>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29"/>
      <c r="AG21" s="757"/>
    </row>
    <row r="22" spans="1:33" ht="18.75" x14ac:dyDescent="0.3">
      <c r="A22" s="13" t="s">
        <v>31</v>
      </c>
      <c r="B22" s="667">
        <f>B23</f>
        <v>2.8</v>
      </c>
      <c r="C22" s="827">
        <f t="shared" ref="C22:E22" si="46">C23</f>
        <v>0</v>
      </c>
      <c r="D22" s="827">
        <f>I22+K22+M22+O22+Q22+S22+U22+W22+Y22+AA22+AC22+AE22</f>
        <v>0</v>
      </c>
      <c r="E22" s="827">
        <f t="shared" si="46"/>
        <v>0</v>
      </c>
      <c r="F22" s="752">
        <f t="shared" ref="F22" si="47">E22/B22*100</f>
        <v>0</v>
      </c>
      <c r="G22" s="32" t="e">
        <f t="shared" ref="G22" si="48">E22/C22*100</f>
        <v>#DIV/0!</v>
      </c>
      <c r="H22" s="827">
        <f>H23</f>
        <v>0</v>
      </c>
      <c r="I22" s="827">
        <f t="shared" ref="I22:AE23" si="49">I23</f>
        <v>0</v>
      </c>
      <c r="J22" s="827">
        <f t="shared" si="49"/>
        <v>0</v>
      </c>
      <c r="K22" s="827">
        <f t="shared" si="49"/>
        <v>0</v>
      </c>
      <c r="L22" s="827">
        <f t="shared" si="49"/>
        <v>0</v>
      </c>
      <c r="M22" s="827">
        <f t="shared" si="49"/>
        <v>0</v>
      </c>
      <c r="N22" s="827">
        <f t="shared" si="49"/>
        <v>0</v>
      </c>
      <c r="O22" s="827">
        <f t="shared" si="49"/>
        <v>0</v>
      </c>
      <c r="P22" s="667">
        <f t="shared" si="49"/>
        <v>2.8</v>
      </c>
      <c r="Q22" s="827">
        <f t="shared" si="49"/>
        <v>0</v>
      </c>
      <c r="R22" s="827">
        <f t="shared" si="49"/>
        <v>0</v>
      </c>
      <c r="S22" s="827">
        <f t="shared" si="49"/>
        <v>0</v>
      </c>
      <c r="T22" s="827">
        <f t="shared" si="49"/>
        <v>0</v>
      </c>
      <c r="U22" s="827">
        <f t="shared" si="49"/>
        <v>0</v>
      </c>
      <c r="V22" s="827">
        <f t="shared" si="49"/>
        <v>0</v>
      </c>
      <c r="W22" s="827">
        <f t="shared" si="49"/>
        <v>0</v>
      </c>
      <c r="X22" s="827">
        <f t="shared" si="49"/>
        <v>0</v>
      </c>
      <c r="Y22" s="827">
        <f t="shared" si="49"/>
        <v>0</v>
      </c>
      <c r="Z22" s="827">
        <f t="shared" si="49"/>
        <v>0</v>
      </c>
      <c r="AA22" s="827">
        <f t="shared" si="49"/>
        <v>0</v>
      </c>
      <c r="AB22" s="827">
        <f t="shared" si="49"/>
        <v>0</v>
      </c>
      <c r="AC22" s="827">
        <f t="shared" si="49"/>
        <v>0</v>
      </c>
      <c r="AD22" s="827">
        <f t="shared" si="49"/>
        <v>0</v>
      </c>
      <c r="AE22" s="827">
        <f t="shared" si="49"/>
        <v>0</v>
      </c>
      <c r="AF22" s="29"/>
      <c r="AG22" s="757"/>
    </row>
    <row r="23" spans="1:33" ht="18.75" x14ac:dyDescent="0.3">
      <c r="A23" s="13" t="s">
        <v>102</v>
      </c>
      <c r="B23" s="47">
        <f>H23+J23+L23+N23+P23+R23+T23+V23+X23+Z23+AB23+AD23</f>
        <v>2.8</v>
      </c>
      <c r="C23" s="751">
        <f>H23+J23+L23</f>
        <v>0</v>
      </c>
      <c r="D23" s="751">
        <f>I23+K23+M23+O23+Q23+S23+U23+W23+Y23+AA23+AC23+AE23</f>
        <v>0</v>
      </c>
      <c r="E23" s="751">
        <f>K23+M23+O23+Q23+S23+U23+W23+Y23+AA23+AC23+AE23</f>
        <v>0</v>
      </c>
      <c r="F23" s="752">
        <f t="shared" ref="F23" si="50">E23/B23*100</f>
        <v>0</v>
      </c>
      <c r="G23" s="32" t="e">
        <f t="shared" ref="G23" si="51">E23/C23*100</f>
        <v>#DIV/0!</v>
      </c>
      <c r="H23" s="827">
        <f>H24</f>
        <v>0</v>
      </c>
      <c r="I23" s="827">
        <f t="shared" si="49"/>
        <v>0</v>
      </c>
      <c r="J23" s="827">
        <f t="shared" si="49"/>
        <v>0</v>
      </c>
      <c r="K23" s="827">
        <f t="shared" si="49"/>
        <v>0</v>
      </c>
      <c r="L23" s="827">
        <f t="shared" si="49"/>
        <v>0</v>
      </c>
      <c r="M23" s="827">
        <f t="shared" si="49"/>
        <v>0</v>
      </c>
      <c r="N23" s="827">
        <f t="shared" si="49"/>
        <v>0</v>
      </c>
      <c r="O23" s="827">
        <f t="shared" si="49"/>
        <v>0</v>
      </c>
      <c r="P23" s="667">
        <v>2.8</v>
      </c>
      <c r="Q23" s="827">
        <f t="shared" si="49"/>
        <v>0</v>
      </c>
      <c r="R23" s="827">
        <f t="shared" si="49"/>
        <v>0</v>
      </c>
      <c r="S23" s="827">
        <f t="shared" si="49"/>
        <v>0</v>
      </c>
      <c r="T23" s="827">
        <f t="shared" si="49"/>
        <v>0</v>
      </c>
      <c r="U23" s="827">
        <f t="shared" si="49"/>
        <v>0</v>
      </c>
      <c r="V23" s="827">
        <f t="shared" si="49"/>
        <v>0</v>
      </c>
      <c r="W23" s="827">
        <f t="shared" si="49"/>
        <v>0</v>
      </c>
      <c r="X23" s="827">
        <f t="shared" si="49"/>
        <v>0</v>
      </c>
      <c r="Y23" s="827">
        <f t="shared" si="49"/>
        <v>0</v>
      </c>
      <c r="Z23" s="827">
        <f t="shared" si="49"/>
        <v>0</v>
      </c>
      <c r="AA23" s="827">
        <f t="shared" si="49"/>
        <v>0</v>
      </c>
      <c r="AB23" s="827">
        <f t="shared" si="49"/>
        <v>0</v>
      </c>
      <c r="AC23" s="827">
        <f t="shared" si="49"/>
        <v>0</v>
      </c>
      <c r="AD23" s="827">
        <f t="shared" si="49"/>
        <v>0</v>
      </c>
      <c r="AE23" s="827">
        <f t="shared" si="49"/>
        <v>0</v>
      </c>
      <c r="AF23" s="29"/>
      <c r="AG23" s="757"/>
    </row>
    <row r="24" spans="1:33" ht="93.75" x14ac:dyDescent="0.3">
      <c r="A24" s="48" t="s">
        <v>103</v>
      </c>
      <c r="B24" s="667"/>
      <c r="C24" s="667"/>
      <c r="D24" s="667"/>
      <c r="E24" s="667"/>
      <c r="F24" s="32"/>
      <c r="G24" s="32"/>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29"/>
      <c r="AG24" s="757"/>
    </row>
    <row r="25" spans="1:33" ht="18.75" x14ac:dyDescent="0.3">
      <c r="A25" s="13" t="s">
        <v>31</v>
      </c>
      <c r="B25" s="667">
        <f>B26</f>
        <v>264.5</v>
      </c>
      <c r="C25" s="827">
        <f t="shared" ref="C25:E25" si="52">C26</f>
        <v>0</v>
      </c>
      <c r="D25" s="827">
        <f t="shared" si="52"/>
        <v>0</v>
      </c>
      <c r="E25" s="827">
        <f t="shared" si="52"/>
        <v>0</v>
      </c>
      <c r="F25" s="752">
        <f t="shared" ref="F25" si="53">E25/B25*100</f>
        <v>0</v>
      </c>
      <c r="G25" s="32" t="e">
        <f t="shared" ref="G25" si="54">E25/C25*100</f>
        <v>#DIV/0!</v>
      </c>
      <c r="H25" s="827">
        <f>H26</f>
        <v>0</v>
      </c>
      <c r="I25" s="827">
        <f t="shared" ref="I25:AE25" si="55">I26</f>
        <v>0</v>
      </c>
      <c r="J25" s="827">
        <f t="shared" si="55"/>
        <v>0</v>
      </c>
      <c r="K25" s="827">
        <f t="shared" si="55"/>
        <v>0</v>
      </c>
      <c r="L25" s="827">
        <f t="shared" si="55"/>
        <v>0</v>
      </c>
      <c r="M25" s="827">
        <f t="shared" si="55"/>
        <v>0</v>
      </c>
      <c r="N25" s="827">
        <f t="shared" si="55"/>
        <v>0</v>
      </c>
      <c r="O25" s="827">
        <f t="shared" si="55"/>
        <v>0</v>
      </c>
      <c r="P25" s="667">
        <f t="shared" si="55"/>
        <v>10.17</v>
      </c>
      <c r="Q25" s="667">
        <f t="shared" si="55"/>
        <v>0</v>
      </c>
      <c r="R25" s="667">
        <f t="shared" si="55"/>
        <v>10.18</v>
      </c>
      <c r="S25" s="667">
        <f t="shared" si="55"/>
        <v>0</v>
      </c>
      <c r="T25" s="667">
        <f t="shared" si="55"/>
        <v>10.18</v>
      </c>
      <c r="U25" s="667">
        <f t="shared" si="55"/>
        <v>0</v>
      </c>
      <c r="V25" s="667">
        <f t="shared" si="55"/>
        <v>10.18</v>
      </c>
      <c r="W25" s="667">
        <f t="shared" si="55"/>
        <v>0</v>
      </c>
      <c r="X25" s="667">
        <f t="shared" si="55"/>
        <v>10.18</v>
      </c>
      <c r="Y25" s="667">
        <f t="shared" si="55"/>
        <v>0</v>
      </c>
      <c r="Z25" s="667">
        <f t="shared" si="55"/>
        <v>10.17</v>
      </c>
      <c r="AA25" s="667">
        <f t="shared" si="55"/>
        <v>0</v>
      </c>
      <c r="AB25" s="667">
        <f t="shared" si="55"/>
        <v>10.17</v>
      </c>
      <c r="AC25" s="667">
        <f t="shared" si="55"/>
        <v>0</v>
      </c>
      <c r="AD25" s="667">
        <f t="shared" si="55"/>
        <v>193.26999999999998</v>
      </c>
      <c r="AE25" s="667">
        <f t="shared" si="55"/>
        <v>0</v>
      </c>
      <c r="AF25" s="29"/>
      <c r="AG25" s="757"/>
    </row>
    <row r="26" spans="1:33" ht="18.75" x14ac:dyDescent="0.3">
      <c r="A26" s="17" t="s">
        <v>33</v>
      </c>
      <c r="B26" s="47">
        <f>B29+B32+B35+B38</f>
        <v>264.5</v>
      </c>
      <c r="C26" s="751">
        <f>H26</f>
        <v>0</v>
      </c>
      <c r="D26" s="751">
        <f t="shared" ref="D26" si="56">D29+D32+D35+D38</f>
        <v>0</v>
      </c>
      <c r="E26" s="751">
        <f>E29+E32+E35+E38</f>
        <v>0</v>
      </c>
      <c r="F26" s="752">
        <f t="shared" ref="F26" si="57">E26/B26*100</f>
        <v>0</v>
      </c>
      <c r="G26" s="32" t="e">
        <f t="shared" ref="G26" si="58">E26/C26*100</f>
        <v>#DIV/0!</v>
      </c>
      <c r="H26" s="751">
        <f>H29+H32+H35+H38</f>
        <v>0</v>
      </c>
      <c r="I26" s="751">
        <f t="shared" ref="I26:AE26" si="59">I29+I32+I35+I38</f>
        <v>0</v>
      </c>
      <c r="J26" s="751">
        <f t="shared" si="59"/>
        <v>0</v>
      </c>
      <c r="K26" s="751">
        <f t="shared" si="59"/>
        <v>0</v>
      </c>
      <c r="L26" s="751">
        <f t="shared" si="59"/>
        <v>0</v>
      </c>
      <c r="M26" s="751">
        <f t="shared" si="59"/>
        <v>0</v>
      </c>
      <c r="N26" s="751">
        <f t="shared" si="59"/>
        <v>0</v>
      </c>
      <c r="O26" s="751">
        <f t="shared" si="59"/>
        <v>0</v>
      </c>
      <c r="P26" s="47">
        <f t="shared" si="59"/>
        <v>10.17</v>
      </c>
      <c r="Q26" s="47">
        <f t="shared" si="59"/>
        <v>0</v>
      </c>
      <c r="R26" s="47">
        <f t="shared" si="59"/>
        <v>10.18</v>
      </c>
      <c r="S26" s="47">
        <f t="shared" si="59"/>
        <v>0</v>
      </c>
      <c r="T26" s="47">
        <f t="shared" si="59"/>
        <v>10.18</v>
      </c>
      <c r="U26" s="47">
        <f t="shared" si="59"/>
        <v>0</v>
      </c>
      <c r="V26" s="47">
        <f t="shared" si="59"/>
        <v>10.18</v>
      </c>
      <c r="W26" s="47">
        <f t="shared" si="59"/>
        <v>0</v>
      </c>
      <c r="X26" s="47">
        <f t="shared" si="59"/>
        <v>10.18</v>
      </c>
      <c r="Y26" s="47">
        <f t="shared" si="59"/>
        <v>0</v>
      </c>
      <c r="Z26" s="47">
        <f t="shared" si="59"/>
        <v>10.17</v>
      </c>
      <c r="AA26" s="47">
        <f t="shared" si="59"/>
        <v>0</v>
      </c>
      <c r="AB26" s="47">
        <f t="shared" si="59"/>
        <v>10.17</v>
      </c>
      <c r="AC26" s="47">
        <f t="shared" si="59"/>
        <v>0</v>
      </c>
      <c r="AD26" s="47">
        <f t="shared" si="59"/>
        <v>193.26999999999998</v>
      </c>
      <c r="AE26" s="47">
        <f t="shared" si="59"/>
        <v>0</v>
      </c>
      <c r="AF26" s="29"/>
      <c r="AG26" s="757"/>
    </row>
    <row r="27" spans="1:33" ht="112.5" x14ac:dyDescent="0.3">
      <c r="A27" s="17" t="s">
        <v>104</v>
      </c>
      <c r="B27" s="667"/>
      <c r="C27" s="667"/>
      <c r="D27" s="667"/>
      <c r="E27" s="667"/>
      <c r="F27" s="32"/>
      <c r="G27" s="32"/>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29"/>
      <c r="AG27" s="757"/>
    </row>
    <row r="28" spans="1:33" ht="18.75" x14ac:dyDescent="0.3">
      <c r="A28" s="13" t="s">
        <v>31</v>
      </c>
      <c r="B28" s="667">
        <f>B29</f>
        <v>100</v>
      </c>
      <c r="C28" s="827">
        <f t="shared" ref="C28" si="60">C29</f>
        <v>0</v>
      </c>
      <c r="D28" s="832"/>
      <c r="E28" s="832">
        <f>E29</f>
        <v>0</v>
      </c>
      <c r="F28" s="754"/>
      <c r="G28" s="754"/>
      <c r="H28" s="827">
        <f t="shared" ref="H28:AC29" si="61">H29</f>
        <v>0</v>
      </c>
      <c r="I28" s="827">
        <f t="shared" si="61"/>
        <v>0</v>
      </c>
      <c r="J28" s="827">
        <f t="shared" si="61"/>
        <v>0</v>
      </c>
      <c r="K28" s="827">
        <f t="shared" si="61"/>
        <v>0</v>
      </c>
      <c r="L28" s="827">
        <f t="shared" si="61"/>
        <v>0</v>
      </c>
      <c r="M28" s="827">
        <f t="shared" si="61"/>
        <v>0</v>
      </c>
      <c r="N28" s="827">
        <f t="shared" si="61"/>
        <v>0</v>
      </c>
      <c r="O28" s="827">
        <f t="shared" si="61"/>
        <v>0</v>
      </c>
      <c r="P28" s="827">
        <f t="shared" si="61"/>
        <v>0</v>
      </c>
      <c r="Q28" s="827">
        <f t="shared" si="61"/>
        <v>0</v>
      </c>
      <c r="R28" s="827">
        <f t="shared" si="61"/>
        <v>0</v>
      </c>
      <c r="S28" s="827">
        <f t="shared" si="61"/>
        <v>0</v>
      </c>
      <c r="T28" s="827">
        <f t="shared" si="61"/>
        <v>0</v>
      </c>
      <c r="U28" s="827">
        <f t="shared" si="61"/>
        <v>0</v>
      </c>
      <c r="V28" s="827">
        <f t="shared" si="61"/>
        <v>0</v>
      </c>
      <c r="W28" s="827">
        <f t="shared" si="61"/>
        <v>0</v>
      </c>
      <c r="X28" s="827">
        <f t="shared" si="61"/>
        <v>0</v>
      </c>
      <c r="Y28" s="827">
        <f t="shared" si="61"/>
        <v>0</v>
      </c>
      <c r="Z28" s="827">
        <f t="shared" si="61"/>
        <v>0</v>
      </c>
      <c r="AA28" s="827">
        <f t="shared" si="61"/>
        <v>0</v>
      </c>
      <c r="AB28" s="827">
        <f t="shared" si="61"/>
        <v>0</v>
      </c>
      <c r="AC28" s="827">
        <f t="shared" si="61"/>
        <v>0</v>
      </c>
      <c r="AD28" s="667">
        <f>AD29</f>
        <v>100</v>
      </c>
      <c r="AE28" s="667"/>
      <c r="AF28" s="29"/>
      <c r="AG28" s="757"/>
    </row>
    <row r="29" spans="1:33" ht="18.75" x14ac:dyDescent="0.3">
      <c r="A29" s="17" t="s">
        <v>33</v>
      </c>
      <c r="B29" s="47">
        <f>H29+J29+L29+N29+P29+R29+T29+V29+X29+Z29+AB29+AD29</f>
        <v>100</v>
      </c>
      <c r="C29" s="751">
        <f>H29</f>
        <v>0</v>
      </c>
      <c r="D29" s="600"/>
      <c r="E29" s="751">
        <f>K29+M29+O29+Q29+S29+U29+W29+Y29+AA29+AC29+AE29</f>
        <v>0</v>
      </c>
      <c r="F29" s="752">
        <f t="shared" ref="F29" si="62">E29/B29*100</f>
        <v>0</v>
      </c>
      <c r="G29" s="32" t="e">
        <f t="shared" ref="G29" si="63">E29/C29*100</f>
        <v>#DIV/0!</v>
      </c>
      <c r="H29" s="827">
        <f t="shared" si="61"/>
        <v>0</v>
      </c>
      <c r="I29" s="827">
        <f t="shared" si="61"/>
        <v>0</v>
      </c>
      <c r="J29" s="827">
        <f t="shared" si="61"/>
        <v>0</v>
      </c>
      <c r="K29" s="827">
        <f t="shared" si="61"/>
        <v>0</v>
      </c>
      <c r="L29" s="827">
        <f t="shared" si="61"/>
        <v>0</v>
      </c>
      <c r="M29" s="827">
        <f t="shared" si="61"/>
        <v>0</v>
      </c>
      <c r="N29" s="827">
        <f t="shared" si="61"/>
        <v>0</v>
      </c>
      <c r="O29" s="827">
        <f t="shared" si="61"/>
        <v>0</v>
      </c>
      <c r="P29" s="827">
        <f t="shared" si="61"/>
        <v>0</v>
      </c>
      <c r="Q29" s="827">
        <f t="shared" si="61"/>
        <v>0</v>
      </c>
      <c r="R29" s="827">
        <f t="shared" si="61"/>
        <v>0</v>
      </c>
      <c r="S29" s="827">
        <f t="shared" si="61"/>
        <v>0</v>
      </c>
      <c r="T29" s="827">
        <f t="shared" si="61"/>
        <v>0</v>
      </c>
      <c r="U29" s="827">
        <f t="shared" si="61"/>
        <v>0</v>
      </c>
      <c r="V29" s="827">
        <f t="shared" si="61"/>
        <v>0</v>
      </c>
      <c r="W29" s="827">
        <f t="shared" si="61"/>
        <v>0</v>
      </c>
      <c r="X29" s="827">
        <f t="shared" si="61"/>
        <v>0</v>
      </c>
      <c r="Y29" s="827">
        <f t="shared" si="61"/>
        <v>0</v>
      </c>
      <c r="Z29" s="827">
        <f t="shared" si="61"/>
        <v>0</v>
      </c>
      <c r="AA29" s="827">
        <f t="shared" si="61"/>
        <v>0</v>
      </c>
      <c r="AB29" s="827">
        <f t="shared" si="61"/>
        <v>0</v>
      </c>
      <c r="AC29" s="827">
        <f t="shared" si="61"/>
        <v>0</v>
      </c>
      <c r="AD29" s="667">
        <v>100</v>
      </c>
      <c r="AE29" s="667"/>
      <c r="AF29" s="29"/>
      <c r="AG29" s="757"/>
    </row>
    <row r="30" spans="1:33" ht="262.5" x14ac:dyDescent="0.3">
      <c r="A30" s="17" t="s">
        <v>105</v>
      </c>
      <c r="B30" s="667"/>
      <c r="C30" s="667"/>
      <c r="D30" s="667"/>
      <c r="E30" s="667"/>
      <c r="F30" s="32"/>
      <c r="G30" s="32"/>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29"/>
      <c r="AG30" s="757"/>
    </row>
    <row r="31" spans="1:33" ht="18.75" x14ac:dyDescent="0.3">
      <c r="A31" s="13" t="s">
        <v>31</v>
      </c>
      <c r="B31" s="667">
        <f>B32</f>
        <v>83.1</v>
      </c>
      <c r="C31" s="667">
        <f t="shared" ref="C31" si="64">C32</f>
        <v>0</v>
      </c>
      <c r="D31" s="667"/>
      <c r="E31" s="667">
        <f>E32</f>
        <v>0</v>
      </c>
      <c r="F31" s="32"/>
      <c r="G31" s="32"/>
      <c r="H31" s="667">
        <f>H32</f>
        <v>0</v>
      </c>
      <c r="I31" s="667">
        <f t="shared" ref="I31:AE31" si="65">I32</f>
        <v>0</v>
      </c>
      <c r="J31" s="667">
        <f t="shared" si="65"/>
        <v>0</v>
      </c>
      <c r="K31" s="667">
        <f t="shared" si="65"/>
        <v>0</v>
      </c>
      <c r="L31" s="667">
        <f t="shared" si="65"/>
        <v>0</v>
      </c>
      <c r="M31" s="667">
        <f t="shared" si="65"/>
        <v>0</v>
      </c>
      <c r="N31" s="667">
        <f t="shared" si="65"/>
        <v>0</v>
      </c>
      <c r="O31" s="667">
        <f t="shared" si="65"/>
        <v>0</v>
      </c>
      <c r="P31" s="667">
        <f t="shared" si="65"/>
        <v>0</v>
      </c>
      <c r="Q31" s="667">
        <f t="shared" si="65"/>
        <v>0</v>
      </c>
      <c r="R31" s="667">
        <f t="shared" si="65"/>
        <v>0</v>
      </c>
      <c r="S31" s="667">
        <f t="shared" si="65"/>
        <v>0</v>
      </c>
      <c r="T31" s="667">
        <f t="shared" si="65"/>
        <v>0</v>
      </c>
      <c r="U31" s="667">
        <f t="shared" si="65"/>
        <v>0</v>
      </c>
      <c r="V31" s="667">
        <f t="shared" si="65"/>
        <v>0</v>
      </c>
      <c r="W31" s="667">
        <f t="shared" si="65"/>
        <v>0</v>
      </c>
      <c r="X31" s="667">
        <f t="shared" si="65"/>
        <v>0</v>
      </c>
      <c r="Y31" s="667">
        <f t="shared" si="65"/>
        <v>0</v>
      </c>
      <c r="Z31" s="667">
        <f t="shared" si="65"/>
        <v>0</v>
      </c>
      <c r="AA31" s="667">
        <f t="shared" si="65"/>
        <v>0</v>
      </c>
      <c r="AB31" s="667">
        <f t="shared" si="65"/>
        <v>0</v>
      </c>
      <c r="AC31" s="667">
        <f t="shared" si="65"/>
        <v>0</v>
      </c>
      <c r="AD31" s="667">
        <f t="shared" si="65"/>
        <v>83.1</v>
      </c>
      <c r="AE31" s="667">
        <f t="shared" si="65"/>
        <v>0</v>
      </c>
      <c r="AF31" s="29"/>
      <c r="AG31" s="757"/>
    </row>
    <row r="32" spans="1:33" ht="18.75" x14ac:dyDescent="0.3">
      <c r="A32" s="17" t="s">
        <v>33</v>
      </c>
      <c r="B32" s="47">
        <f>H32+J32+L32+N32+P32+R32+T32+V32+X32+Z32+AB32+AD32</f>
        <v>83.1</v>
      </c>
      <c r="C32" s="47">
        <f>H32</f>
        <v>0</v>
      </c>
      <c r="D32" s="47"/>
      <c r="E32" s="47">
        <f>K32+M32+O32+Q32+S32+U32+W32+Y32+AA32+AC32+AE32</f>
        <v>0</v>
      </c>
      <c r="F32" s="32">
        <f t="shared" ref="F32" si="66">E32/B32*100</f>
        <v>0</v>
      </c>
      <c r="G32" s="32" t="e">
        <f t="shared" ref="G32" si="67">E32/C32*100</f>
        <v>#DIV/0!</v>
      </c>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v>83.1</v>
      </c>
      <c r="AE32" s="667"/>
      <c r="AF32" s="29"/>
      <c r="AG32" s="757"/>
    </row>
    <row r="33" spans="1:33" ht="131.25" x14ac:dyDescent="0.3">
      <c r="A33" s="17" t="s">
        <v>106</v>
      </c>
      <c r="B33" s="667"/>
      <c r="C33" s="667"/>
      <c r="D33" s="667"/>
      <c r="E33" s="667"/>
      <c r="F33" s="32"/>
      <c r="G33" s="32"/>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29"/>
      <c r="AG33" s="757"/>
    </row>
    <row r="34" spans="1:33" ht="18.75" x14ac:dyDescent="0.3">
      <c r="A34" s="13" t="s">
        <v>31</v>
      </c>
      <c r="B34" s="827">
        <f>B35</f>
        <v>0</v>
      </c>
      <c r="C34" s="827">
        <f>H34+J34+L34</f>
        <v>0</v>
      </c>
      <c r="D34" s="827">
        <f>D35</f>
        <v>0</v>
      </c>
      <c r="E34" s="827">
        <f>E35</f>
        <v>0</v>
      </c>
      <c r="F34" s="753">
        <v>0</v>
      </c>
      <c r="G34" s="753">
        <v>0</v>
      </c>
      <c r="H34" s="833">
        <f>H35</f>
        <v>0</v>
      </c>
      <c r="I34" s="833">
        <f t="shared" ref="I34:Z34" si="68">I35</f>
        <v>0</v>
      </c>
      <c r="J34" s="833">
        <f t="shared" si="68"/>
        <v>0</v>
      </c>
      <c r="K34" s="833">
        <f t="shared" si="68"/>
        <v>0</v>
      </c>
      <c r="L34" s="833">
        <f t="shared" si="68"/>
        <v>0</v>
      </c>
      <c r="M34" s="833">
        <f t="shared" si="68"/>
        <v>0</v>
      </c>
      <c r="N34" s="833">
        <f t="shared" si="68"/>
        <v>0</v>
      </c>
      <c r="O34" s="833">
        <f t="shared" si="68"/>
        <v>0</v>
      </c>
      <c r="P34" s="833">
        <f t="shared" si="68"/>
        <v>0</v>
      </c>
      <c r="Q34" s="833">
        <f t="shared" si="68"/>
        <v>0</v>
      </c>
      <c r="R34" s="833">
        <f t="shared" si="68"/>
        <v>0</v>
      </c>
      <c r="S34" s="833">
        <f t="shared" si="68"/>
        <v>0</v>
      </c>
      <c r="T34" s="833">
        <f t="shared" si="68"/>
        <v>0</v>
      </c>
      <c r="U34" s="833">
        <f t="shared" si="68"/>
        <v>0</v>
      </c>
      <c r="V34" s="833">
        <f t="shared" si="68"/>
        <v>0</v>
      </c>
      <c r="W34" s="833">
        <f t="shared" si="68"/>
        <v>0</v>
      </c>
      <c r="X34" s="833">
        <f t="shared" si="68"/>
        <v>0</v>
      </c>
      <c r="Y34" s="833">
        <f t="shared" si="68"/>
        <v>0</v>
      </c>
      <c r="Z34" s="833">
        <f t="shared" si="68"/>
        <v>0</v>
      </c>
      <c r="AA34" s="833">
        <f t="shared" ref="AA34:AE34" si="69">AA35</f>
        <v>0</v>
      </c>
      <c r="AB34" s="833">
        <f t="shared" si="69"/>
        <v>0</v>
      </c>
      <c r="AC34" s="833">
        <f t="shared" si="69"/>
        <v>0</v>
      </c>
      <c r="AD34" s="833">
        <f t="shared" si="69"/>
        <v>0</v>
      </c>
      <c r="AE34" s="833">
        <f t="shared" si="69"/>
        <v>0</v>
      </c>
      <c r="AF34" s="29"/>
      <c r="AG34" s="757"/>
    </row>
    <row r="35" spans="1:33" ht="18.75" x14ac:dyDescent="0.3">
      <c r="A35" s="17" t="s">
        <v>33</v>
      </c>
      <c r="B35" s="751">
        <v>0</v>
      </c>
      <c r="C35" s="751">
        <f>N34</f>
        <v>0</v>
      </c>
      <c r="D35" s="751">
        <f>I35+K35+M35+O35+Q35</f>
        <v>0</v>
      </c>
      <c r="E35" s="47">
        <f>K35+M35+O35+Q35+S35+U35+W35+Y35+AA35+AC35+AE35</f>
        <v>0</v>
      </c>
      <c r="F35" s="753">
        <v>0</v>
      </c>
      <c r="G35" s="753">
        <v>0</v>
      </c>
      <c r="H35" s="833">
        <v>0</v>
      </c>
      <c r="I35" s="833">
        <v>0</v>
      </c>
      <c r="J35" s="833">
        <v>0</v>
      </c>
      <c r="K35" s="833">
        <v>0</v>
      </c>
      <c r="L35" s="833">
        <v>0</v>
      </c>
      <c r="M35" s="833">
        <v>0</v>
      </c>
      <c r="N35" s="833">
        <v>0</v>
      </c>
      <c r="O35" s="833">
        <v>0</v>
      </c>
      <c r="P35" s="833">
        <v>0</v>
      </c>
      <c r="Q35" s="833">
        <v>0</v>
      </c>
      <c r="R35" s="833">
        <v>0</v>
      </c>
      <c r="S35" s="833">
        <v>0</v>
      </c>
      <c r="T35" s="833">
        <v>0</v>
      </c>
      <c r="U35" s="833">
        <v>0</v>
      </c>
      <c r="V35" s="833">
        <v>0</v>
      </c>
      <c r="W35" s="833">
        <v>0</v>
      </c>
      <c r="X35" s="833">
        <v>0</v>
      </c>
      <c r="Y35" s="833">
        <v>0</v>
      </c>
      <c r="Z35" s="833">
        <v>0</v>
      </c>
      <c r="AA35" s="833">
        <v>0</v>
      </c>
      <c r="AB35" s="833">
        <v>0</v>
      </c>
      <c r="AC35" s="833">
        <v>0</v>
      </c>
      <c r="AD35" s="833">
        <v>0</v>
      </c>
      <c r="AE35" s="833">
        <v>0</v>
      </c>
      <c r="AF35" s="29"/>
      <c r="AG35" s="757"/>
    </row>
    <row r="36" spans="1:33" ht="131.25" x14ac:dyDescent="0.3">
      <c r="A36" s="17" t="s">
        <v>107</v>
      </c>
      <c r="B36" s="667"/>
      <c r="C36" s="667"/>
      <c r="D36" s="667"/>
      <c r="E36" s="667"/>
      <c r="F36" s="32"/>
      <c r="G36" s="32"/>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29"/>
      <c r="AG36" s="757"/>
    </row>
    <row r="37" spans="1:33" ht="18.75" x14ac:dyDescent="0.3">
      <c r="A37" s="13" t="s">
        <v>31</v>
      </c>
      <c r="B37" s="667">
        <f>B38</f>
        <v>81.400000000000006</v>
      </c>
      <c r="C37" s="827">
        <f>C38</f>
        <v>0</v>
      </c>
      <c r="D37" s="827">
        <f>D38</f>
        <v>0</v>
      </c>
      <c r="E37" s="827">
        <f>E38</f>
        <v>0</v>
      </c>
      <c r="F37" s="752">
        <f t="shared" ref="F37" si="70">E37/B37*100</f>
        <v>0</v>
      </c>
      <c r="G37" s="32" t="e">
        <f t="shared" ref="G37" si="71">E37/C37*100</f>
        <v>#DIV/0!</v>
      </c>
      <c r="H37" s="827">
        <f>H38</f>
        <v>0</v>
      </c>
      <c r="I37" s="827">
        <f t="shared" ref="I37:AE38" si="72">I38</f>
        <v>0</v>
      </c>
      <c r="J37" s="827">
        <f t="shared" si="72"/>
        <v>0</v>
      </c>
      <c r="K37" s="827">
        <f t="shared" si="72"/>
        <v>0</v>
      </c>
      <c r="L37" s="827">
        <f t="shared" si="72"/>
        <v>0</v>
      </c>
      <c r="M37" s="827">
        <f t="shared" si="72"/>
        <v>0</v>
      </c>
      <c r="N37" s="827">
        <f t="shared" si="72"/>
        <v>0</v>
      </c>
      <c r="O37" s="827">
        <f t="shared" si="72"/>
        <v>0</v>
      </c>
      <c r="P37" s="667">
        <f t="shared" si="72"/>
        <v>10.17</v>
      </c>
      <c r="Q37" s="667">
        <f t="shared" si="72"/>
        <v>0</v>
      </c>
      <c r="R37" s="667">
        <f t="shared" si="72"/>
        <v>10.18</v>
      </c>
      <c r="S37" s="667">
        <f t="shared" si="72"/>
        <v>0</v>
      </c>
      <c r="T37" s="667">
        <f t="shared" si="72"/>
        <v>10.18</v>
      </c>
      <c r="U37" s="667">
        <f t="shared" si="72"/>
        <v>0</v>
      </c>
      <c r="V37" s="667">
        <f t="shared" si="72"/>
        <v>10.18</v>
      </c>
      <c r="W37" s="667">
        <f t="shared" si="72"/>
        <v>0</v>
      </c>
      <c r="X37" s="667">
        <f t="shared" si="72"/>
        <v>10.18</v>
      </c>
      <c r="Y37" s="667">
        <f t="shared" si="72"/>
        <v>0</v>
      </c>
      <c r="Z37" s="667">
        <f t="shared" si="72"/>
        <v>10.17</v>
      </c>
      <c r="AA37" s="667">
        <f t="shared" si="72"/>
        <v>0</v>
      </c>
      <c r="AB37" s="667">
        <f t="shared" si="72"/>
        <v>10.17</v>
      </c>
      <c r="AC37" s="667">
        <f t="shared" si="72"/>
        <v>0</v>
      </c>
      <c r="AD37" s="667">
        <f t="shared" si="72"/>
        <v>10.17</v>
      </c>
      <c r="AE37" s="667">
        <f t="shared" si="72"/>
        <v>0</v>
      </c>
      <c r="AF37" s="29"/>
      <c r="AG37" s="757"/>
    </row>
    <row r="38" spans="1:33" ht="18.75" x14ac:dyDescent="0.3">
      <c r="A38" s="17" t="s">
        <v>33</v>
      </c>
      <c r="B38" s="47">
        <f>H38+J38+L38+N38+P38+R38+T38+V38+X38+Z38+AB38+AD38</f>
        <v>81.400000000000006</v>
      </c>
      <c r="C38" s="751">
        <f>H38</f>
        <v>0</v>
      </c>
      <c r="D38" s="827">
        <f>D39</f>
        <v>0</v>
      </c>
      <c r="E38" s="47">
        <f>K38+M38+O38+Q38+S38+U38+W38+Y38+AA38+AC38+AE38</f>
        <v>0</v>
      </c>
      <c r="F38" s="752">
        <f t="shared" ref="F38" si="73">E38/B38*100</f>
        <v>0</v>
      </c>
      <c r="G38" s="32" t="e">
        <f t="shared" ref="G38" si="74">E38/C38*100</f>
        <v>#DIV/0!</v>
      </c>
      <c r="H38" s="827">
        <f>H39</f>
        <v>0</v>
      </c>
      <c r="I38" s="827">
        <f t="shared" si="72"/>
        <v>0</v>
      </c>
      <c r="J38" s="827">
        <f t="shared" si="72"/>
        <v>0</v>
      </c>
      <c r="K38" s="827">
        <f t="shared" si="72"/>
        <v>0</v>
      </c>
      <c r="L38" s="827">
        <f t="shared" si="72"/>
        <v>0</v>
      </c>
      <c r="M38" s="827">
        <f t="shared" si="72"/>
        <v>0</v>
      </c>
      <c r="N38" s="827">
        <f t="shared" si="72"/>
        <v>0</v>
      </c>
      <c r="O38" s="827">
        <f t="shared" si="72"/>
        <v>0</v>
      </c>
      <c r="P38" s="667">
        <v>10.17</v>
      </c>
      <c r="Q38" s="667"/>
      <c r="R38" s="667">
        <v>10.18</v>
      </c>
      <c r="S38" s="667"/>
      <c r="T38" s="667">
        <v>10.18</v>
      </c>
      <c r="U38" s="667"/>
      <c r="V38" s="667">
        <v>10.18</v>
      </c>
      <c r="W38" s="667"/>
      <c r="X38" s="667">
        <v>10.18</v>
      </c>
      <c r="Y38" s="667"/>
      <c r="Z38" s="667">
        <v>10.17</v>
      </c>
      <c r="AA38" s="667"/>
      <c r="AB38" s="667">
        <v>10.17</v>
      </c>
      <c r="AC38" s="667"/>
      <c r="AD38" s="667">
        <v>10.17</v>
      </c>
      <c r="AE38" s="667"/>
      <c r="AF38" s="29"/>
      <c r="AG38" s="757"/>
    </row>
    <row r="39" spans="1:33" ht="56.25" x14ac:dyDescent="0.3">
      <c r="A39" s="70" t="s">
        <v>108</v>
      </c>
      <c r="B39" s="667"/>
      <c r="C39" s="667"/>
      <c r="D39" s="667"/>
      <c r="E39" s="667"/>
      <c r="F39" s="32"/>
      <c r="G39" s="32"/>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29"/>
      <c r="AG39" s="757"/>
    </row>
    <row r="40" spans="1:33" ht="18.75" x14ac:dyDescent="0.3">
      <c r="A40" s="13" t="s">
        <v>31</v>
      </c>
      <c r="B40" s="667">
        <f>B41</f>
        <v>514.6</v>
      </c>
      <c r="C40" s="667">
        <f>C41</f>
        <v>316.3</v>
      </c>
      <c r="D40" s="667">
        <f t="shared" ref="D40:E40" si="75">D41</f>
        <v>316.3</v>
      </c>
      <c r="E40" s="667">
        <f t="shared" si="75"/>
        <v>316.3</v>
      </c>
      <c r="F40" s="32">
        <f t="shared" ref="F40" si="76">E40/B40*100</f>
        <v>61.465215701515739</v>
      </c>
      <c r="G40" s="32">
        <f>E40/C40*100</f>
        <v>100</v>
      </c>
      <c r="H40" s="667">
        <f>H41</f>
        <v>266.3</v>
      </c>
      <c r="I40" s="667">
        <f t="shared" ref="I40:AE40" si="77">I41</f>
        <v>108</v>
      </c>
      <c r="J40" s="667">
        <f t="shared" si="77"/>
        <v>50</v>
      </c>
      <c r="K40" s="667">
        <f t="shared" si="77"/>
        <v>208.3</v>
      </c>
      <c r="L40" s="827">
        <f t="shared" si="77"/>
        <v>0</v>
      </c>
      <c r="M40" s="827">
        <f t="shared" si="77"/>
        <v>0</v>
      </c>
      <c r="N40" s="827">
        <f t="shared" si="77"/>
        <v>0</v>
      </c>
      <c r="O40" s="827">
        <f t="shared" si="77"/>
        <v>0</v>
      </c>
      <c r="P40" s="667">
        <f t="shared" si="77"/>
        <v>165</v>
      </c>
      <c r="Q40" s="827">
        <f t="shared" si="77"/>
        <v>0</v>
      </c>
      <c r="R40" s="827">
        <f t="shared" si="77"/>
        <v>0</v>
      </c>
      <c r="S40" s="827">
        <f t="shared" si="77"/>
        <v>0</v>
      </c>
      <c r="T40" s="827">
        <f t="shared" si="77"/>
        <v>0</v>
      </c>
      <c r="U40" s="827">
        <f t="shared" si="77"/>
        <v>0</v>
      </c>
      <c r="V40" s="827">
        <f t="shared" si="77"/>
        <v>0</v>
      </c>
      <c r="W40" s="827">
        <f t="shared" si="77"/>
        <v>0</v>
      </c>
      <c r="X40" s="827">
        <f t="shared" si="77"/>
        <v>0</v>
      </c>
      <c r="Y40" s="827">
        <f t="shared" si="77"/>
        <v>0</v>
      </c>
      <c r="Z40" s="827">
        <f t="shared" si="77"/>
        <v>0</v>
      </c>
      <c r="AA40" s="827">
        <f t="shared" si="77"/>
        <v>0</v>
      </c>
      <c r="AB40" s="827">
        <f t="shared" si="77"/>
        <v>0</v>
      </c>
      <c r="AC40" s="827">
        <f t="shared" si="77"/>
        <v>0</v>
      </c>
      <c r="AD40" s="667">
        <f t="shared" si="77"/>
        <v>33.299999999999997</v>
      </c>
      <c r="AE40" s="827">
        <f t="shared" si="77"/>
        <v>0</v>
      </c>
      <c r="AF40" s="29"/>
      <c r="AG40" s="757"/>
    </row>
    <row r="41" spans="1:33" ht="18.75" x14ac:dyDescent="0.3">
      <c r="A41" s="17" t="s">
        <v>33</v>
      </c>
      <c r="B41" s="667">
        <f>B44+B47</f>
        <v>514.6</v>
      </c>
      <c r="C41" s="667">
        <f>C44+C47</f>
        <v>316.3</v>
      </c>
      <c r="D41" s="667">
        <f>D44+D47</f>
        <v>316.3</v>
      </c>
      <c r="E41" s="834">
        <f>E43</f>
        <v>316.3</v>
      </c>
      <c r="F41" s="32">
        <f t="shared" ref="F41" si="78">E41/B41*100</f>
        <v>61.465215701515739</v>
      </c>
      <c r="G41" s="32">
        <f>E41/C41*100</f>
        <v>100</v>
      </c>
      <c r="H41" s="667">
        <f t="shared" ref="H41:AE41" si="79">H44+H47</f>
        <v>266.3</v>
      </c>
      <c r="I41" s="667">
        <f t="shared" si="79"/>
        <v>108</v>
      </c>
      <c r="J41" s="667">
        <f t="shared" si="79"/>
        <v>50</v>
      </c>
      <c r="K41" s="667">
        <f t="shared" si="79"/>
        <v>208.3</v>
      </c>
      <c r="L41" s="827">
        <f t="shared" si="79"/>
        <v>0</v>
      </c>
      <c r="M41" s="827">
        <f t="shared" si="79"/>
        <v>0</v>
      </c>
      <c r="N41" s="827">
        <f t="shared" si="79"/>
        <v>0</v>
      </c>
      <c r="O41" s="827">
        <f t="shared" si="79"/>
        <v>0</v>
      </c>
      <c r="P41" s="667">
        <f t="shared" si="79"/>
        <v>165</v>
      </c>
      <c r="Q41" s="827">
        <f t="shared" si="79"/>
        <v>0</v>
      </c>
      <c r="R41" s="827">
        <f t="shared" si="79"/>
        <v>0</v>
      </c>
      <c r="S41" s="827">
        <f t="shared" si="79"/>
        <v>0</v>
      </c>
      <c r="T41" s="827">
        <f t="shared" si="79"/>
        <v>0</v>
      </c>
      <c r="U41" s="827">
        <f t="shared" si="79"/>
        <v>0</v>
      </c>
      <c r="V41" s="827">
        <f t="shared" si="79"/>
        <v>0</v>
      </c>
      <c r="W41" s="827">
        <f t="shared" si="79"/>
        <v>0</v>
      </c>
      <c r="X41" s="827">
        <f t="shared" si="79"/>
        <v>0</v>
      </c>
      <c r="Y41" s="827">
        <f t="shared" si="79"/>
        <v>0</v>
      </c>
      <c r="Z41" s="827">
        <f t="shared" si="79"/>
        <v>0</v>
      </c>
      <c r="AA41" s="827">
        <f t="shared" si="79"/>
        <v>0</v>
      </c>
      <c r="AB41" s="827">
        <f t="shared" si="79"/>
        <v>0</v>
      </c>
      <c r="AC41" s="827">
        <f t="shared" si="79"/>
        <v>0</v>
      </c>
      <c r="AD41" s="667">
        <f t="shared" si="79"/>
        <v>33.299999999999997</v>
      </c>
      <c r="AE41" s="827">
        <f t="shared" si="79"/>
        <v>0</v>
      </c>
      <c r="AF41" s="844"/>
      <c r="AG41" s="757"/>
    </row>
    <row r="42" spans="1:33" ht="206.25" x14ac:dyDescent="0.3">
      <c r="A42" s="17" t="s">
        <v>109</v>
      </c>
      <c r="B42" s="667"/>
      <c r="C42" s="667"/>
      <c r="D42" s="667"/>
      <c r="E42" s="667"/>
      <c r="F42" s="32"/>
      <c r="G42" s="32"/>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29"/>
      <c r="AG42" s="757"/>
    </row>
    <row r="43" spans="1:33" ht="18.75" x14ac:dyDescent="0.3">
      <c r="A43" s="13" t="s">
        <v>31</v>
      </c>
      <c r="B43" s="667">
        <f>B44</f>
        <v>349.6</v>
      </c>
      <c r="C43" s="667">
        <f>C44</f>
        <v>316.3</v>
      </c>
      <c r="D43" s="667">
        <f>D44</f>
        <v>316.3</v>
      </c>
      <c r="E43" s="667">
        <f>E44</f>
        <v>316.3</v>
      </c>
      <c r="F43" s="32">
        <f>E43/B43*100</f>
        <v>90.474828375286037</v>
      </c>
      <c r="G43" s="32">
        <f>G44</f>
        <v>100</v>
      </c>
      <c r="H43" s="667">
        <f>H44</f>
        <v>266.3</v>
      </c>
      <c r="I43" s="667">
        <f t="shared" ref="I43:AE44" si="80">I44</f>
        <v>108</v>
      </c>
      <c r="J43" s="667">
        <f t="shared" si="80"/>
        <v>50</v>
      </c>
      <c r="K43" s="667">
        <f t="shared" si="80"/>
        <v>208.3</v>
      </c>
      <c r="L43" s="827">
        <f t="shared" si="80"/>
        <v>0</v>
      </c>
      <c r="M43" s="827">
        <f t="shared" si="80"/>
        <v>0</v>
      </c>
      <c r="N43" s="827">
        <f t="shared" si="80"/>
        <v>0</v>
      </c>
      <c r="O43" s="827">
        <f t="shared" si="80"/>
        <v>0</v>
      </c>
      <c r="P43" s="827">
        <f t="shared" si="80"/>
        <v>0</v>
      </c>
      <c r="Q43" s="827">
        <f t="shared" si="80"/>
        <v>0</v>
      </c>
      <c r="R43" s="827">
        <f t="shared" si="80"/>
        <v>0</v>
      </c>
      <c r="S43" s="827">
        <f t="shared" si="80"/>
        <v>0</v>
      </c>
      <c r="T43" s="827">
        <f t="shared" si="80"/>
        <v>0</v>
      </c>
      <c r="U43" s="827">
        <f t="shared" si="80"/>
        <v>0</v>
      </c>
      <c r="V43" s="827">
        <f t="shared" si="80"/>
        <v>0</v>
      </c>
      <c r="W43" s="827">
        <f t="shared" si="80"/>
        <v>0</v>
      </c>
      <c r="X43" s="827">
        <f t="shared" si="80"/>
        <v>0</v>
      </c>
      <c r="Y43" s="827">
        <f t="shared" si="80"/>
        <v>0</v>
      </c>
      <c r="Z43" s="827">
        <f t="shared" si="80"/>
        <v>0</v>
      </c>
      <c r="AA43" s="827">
        <f t="shared" si="80"/>
        <v>0</v>
      </c>
      <c r="AB43" s="827">
        <f t="shared" si="80"/>
        <v>0</v>
      </c>
      <c r="AC43" s="827">
        <f t="shared" si="80"/>
        <v>0</v>
      </c>
      <c r="AD43" s="667">
        <f t="shared" si="80"/>
        <v>33.299999999999997</v>
      </c>
      <c r="AE43" s="667">
        <f t="shared" si="80"/>
        <v>0</v>
      </c>
      <c r="AF43" s="29"/>
      <c r="AG43" s="757"/>
    </row>
    <row r="44" spans="1:33" ht="18.75" x14ac:dyDescent="0.3">
      <c r="A44" s="17" t="s">
        <v>33</v>
      </c>
      <c r="B44" s="47">
        <f>H44+J44+L44+N44+P44+R44+T44+V44+X44+Z44+AB44+AD44</f>
        <v>349.6</v>
      </c>
      <c r="C44" s="47">
        <f>H44+J44+L44</f>
        <v>316.3</v>
      </c>
      <c r="D44" s="47">
        <f>E44</f>
        <v>316.3</v>
      </c>
      <c r="E44" s="47">
        <f>I44+K44</f>
        <v>316.3</v>
      </c>
      <c r="F44" s="32">
        <f>E44/B44*100</f>
        <v>90.474828375286037</v>
      </c>
      <c r="G44" s="32">
        <f>E44/C44*100</f>
        <v>100</v>
      </c>
      <c r="H44" s="667">
        <v>266.3</v>
      </c>
      <c r="I44" s="667">
        <v>108</v>
      </c>
      <c r="J44" s="667">
        <v>50</v>
      </c>
      <c r="K44" s="667">
        <v>208.3</v>
      </c>
      <c r="L44" s="827">
        <f t="shared" si="80"/>
        <v>0</v>
      </c>
      <c r="M44" s="827">
        <f t="shared" si="80"/>
        <v>0</v>
      </c>
      <c r="N44" s="827">
        <f t="shared" si="80"/>
        <v>0</v>
      </c>
      <c r="O44" s="827">
        <f t="shared" si="80"/>
        <v>0</v>
      </c>
      <c r="P44" s="827">
        <f t="shared" si="80"/>
        <v>0</v>
      </c>
      <c r="Q44" s="827">
        <f t="shared" si="80"/>
        <v>0</v>
      </c>
      <c r="R44" s="827">
        <f t="shared" si="80"/>
        <v>0</v>
      </c>
      <c r="S44" s="827">
        <f t="shared" si="80"/>
        <v>0</v>
      </c>
      <c r="T44" s="827">
        <f t="shared" si="80"/>
        <v>0</v>
      </c>
      <c r="U44" s="827">
        <f t="shared" si="80"/>
        <v>0</v>
      </c>
      <c r="V44" s="827">
        <f t="shared" si="80"/>
        <v>0</v>
      </c>
      <c r="W44" s="827">
        <f t="shared" si="80"/>
        <v>0</v>
      </c>
      <c r="X44" s="827">
        <f t="shared" si="80"/>
        <v>0</v>
      </c>
      <c r="Y44" s="827">
        <f t="shared" si="80"/>
        <v>0</v>
      </c>
      <c r="Z44" s="827">
        <f t="shared" si="80"/>
        <v>0</v>
      </c>
      <c r="AA44" s="827">
        <f t="shared" si="80"/>
        <v>0</v>
      </c>
      <c r="AB44" s="827">
        <f t="shared" si="80"/>
        <v>0</v>
      </c>
      <c r="AC44" s="827">
        <f t="shared" si="80"/>
        <v>0</v>
      </c>
      <c r="AD44" s="667">
        <v>33.299999999999997</v>
      </c>
      <c r="AE44" s="667"/>
      <c r="AF44" s="29"/>
      <c r="AG44" s="757"/>
    </row>
    <row r="45" spans="1:33" ht="93.75" x14ac:dyDescent="0.3">
      <c r="A45" s="17" t="s">
        <v>110</v>
      </c>
      <c r="B45" s="667"/>
      <c r="C45" s="667"/>
      <c r="D45" s="667"/>
      <c r="E45" s="667"/>
      <c r="F45" s="32"/>
      <c r="G45" s="32"/>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29"/>
      <c r="AG45" s="757"/>
    </row>
    <row r="46" spans="1:33" ht="18.75" x14ac:dyDescent="0.3">
      <c r="A46" s="13" t="s">
        <v>31</v>
      </c>
      <c r="B46" s="667">
        <f>B47</f>
        <v>165</v>
      </c>
      <c r="C46" s="667">
        <f t="shared" ref="C46" si="81">C47</f>
        <v>0</v>
      </c>
      <c r="D46" s="667"/>
      <c r="E46" s="667">
        <f>E47</f>
        <v>0</v>
      </c>
      <c r="F46" s="32"/>
      <c r="G46" s="32" t="e">
        <f>G47</f>
        <v>#DIV/0!</v>
      </c>
      <c r="H46" s="667">
        <f>H47</f>
        <v>0</v>
      </c>
      <c r="I46" s="667">
        <f t="shared" ref="I46:AE46" si="82">I47</f>
        <v>0</v>
      </c>
      <c r="J46" s="667">
        <f t="shared" si="82"/>
        <v>0</v>
      </c>
      <c r="K46" s="667">
        <f t="shared" si="82"/>
        <v>0</v>
      </c>
      <c r="L46" s="667">
        <f t="shared" si="82"/>
        <v>0</v>
      </c>
      <c r="M46" s="667">
        <f t="shared" si="82"/>
        <v>0</v>
      </c>
      <c r="N46" s="667">
        <f t="shared" si="82"/>
        <v>0</v>
      </c>
      <c r="O46" s="667">
        <f t="shared" si="82"/>
        <v>0</v>
      </c>
      <c r="P46" s="667">
        <f t="shared" si="82"/>
        <v>165</v>
      </c>
      <c r="Q46" s="667">
        <f t="shared" si="82"/>
        <v>0</v>
      </c>
      <c r="R46" s="667">
        <f t="shared" si="82"/>
        <v>0</v>
      </c>
      <c r="S46" s="667">
        <f t="shared" si="82"/>
        <v>0</v>
      </c>
      <c r="T46" s="667">
        <f t="shared" si="82"/>
        <v>0</v>
      </c>
      <c r="U46" s="667">
        <f t="shared" si="82"/>
        <v>0</v>
      </c>
      <c r="V46" s="667">
        <f t="shared" si="82"/>
        <v>0</v>
      </c>
      <c r="W46" s="667">
        <f t="shared" si="82"/>
        <v>0</v>
      </c>
      <c r="X46" s="667">
        <f t="shared" si="82"/>
        <v>0</v>
      </c>
      <c r="Y46" s="667">
        <f t="shared" si="82"/>
        <v>0</v>
      </c>
      <c r="Z46" s="667">
        <f t="shared" si="82"/>
        <v>0</v>
      </c>
      <c r="AA46" s="667">
        <f t="shared" si="82"/>
        <v>0</v>
      </c>
      <c r="AB46" s="667">
        <f t="shared" si="82"/>
        <v>0</v>
      </c>
      <c r="AC46" s="667">
        <f t="shared" si="82"/>
        <v>0</v>
      </c>
      <c r="AD46" s="667">
        <f t="shared" si="82"/>
        <v>0</v>
      </c>
      <c r="AE46" s="667">
        <f t="shared" si="82"/>
        <v>0</v>
      </c>
      <c r="AF46" s="29"/>
      <c r="AG46" s="757"/>
    </row>
    <row r="47" spans="1:33" ht="18.75" x14ac:dyDescent="0.3">
      <c r="A47" s="17" t="s">
        <v>33</v>
      </c>
      <c r="B47" s="47">
        <f>H47+J47+L47+N47+P47+R47+T47+V47+X47+Z47+AB47+AD47</f>
        <v>165</v>
      </c>
      <c r="C47" s="47">
        <f>H47</f>
        <v>0</v>
      </c>
      <c r="D47" s="47"/>
      <c r="E47" s="47">
        <f>K47+M47+O47+Q47+S47+U47+W47+Y47+AA47+AC47+AE47+I47</f>
        <v>0</v>
      </c>
      <c r="F47" s="32">
        <f t="shared" ref="F47" si="83">E47/B47*100</f>
        <v>0</v>
      </c>
      <c r="G47" s="32" t="e">
        <f>E47/C47*100</f>
        <v>#DIV/0!</v>
      </c>
      <c r="H47" s="667"/>
      <c r="I47" s="667"/>
      <c r="J47" s="667"/>
      <c r="K47" s="667"/>
      <c r="L47" s="667"/>
      <c r="M47" s="667"/>
      <c r="N47" s="667"/>
      <c r="O47" s="667"/>
      <c r="P47" s="667">
        <v>165</v>
      </c>
      <c r="Q47" s="667"/>
      <c r="R47" s="667"/>
      <c r="S47" s="667"/>
      <c r="T47" s="667"/>
      <c r="U47" s="667"/>
      <c r="V47" s="667"/>
      <c r="W47" s="667"/>
      <c r="X47" s="667"/>
      <c r="Y47" s="667"/>
      <c r="Z47" s="667"/>
      <c r="AA47" s="667"/>
      <c r="AB47" s="667"/>
      <c r="AC47" s="667"/>
      <c r="AD47" s="667"/>
      <c r="AE47" s="667"/>
      <c r="AF47" s="29"/>
      <c r="AG47" s="757"/>
    </row>
    <row r="48" spans="1:33" ht="56.25" x14ac:dyDescent="0.3">
      <c r="A48" s="70" t="s">
        <v>129</v>
      </c>
      <c r="B48" s="667"/>
      <c r="C48" s="667"/>
      <c r="D48" s="667"/>
      <c r="E48" s="667"/>
      <c r="F48" s="32"/>
      <c r="G48" s="32"/>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29"/>
      <c r="AG48" s="757"/>
    </row>
    <row r="49" spans="1:33" ht="18.75" x14ac:dyDescent="0.3">
      <c r="A49" s="13" t="s">
        <v>31</v>
      </c>
      <c r="B49" s="667">
        <f>B50</f>
        <v>810.6</v>
      </c>
      <c r="C49" s="667">
        <f t="shared" ref="C49" si="84">C50</f>
        <v>0</v>
      </c>
      <c r="D49" s="667"/>
      <c r="E49" s="667">
        <f>E50</f>
        <v>0</v>
      </c>
      <c r="F49" s="32"/>
      <c r="G49" s="32"/>
      <c r="H49" s="667">
        <f>H50</f>
        <v>0</v>
      </c>
      <c r="I49" s="667">
        <f t="shared" ref="I49:AE49" si="85">I50</f>
        <v>0</v>
      </c>
      <c r="J49" s="667">
        <f t="shared" si="85"/>
        <v>0</v>
      </c>
      <c r="K49" s="667">
        <f t="shared" si="85"/>
        <v>0</v>
      </c>
      <c r="L49" s="667">
        <f t="shared" si="85"/>
        <v>0</v>
      </c>
      <c r="M49" s="667">
        <f t="shared" si="85"/>
        <v>0</v>
      </c>
      <c r="N49" s="667">
        <f t="shared" si="85"/>
        <v>0</v>
      </c>
      <c r="O49" s="667">
        <f t="shared" si="85"/>
        <v>0</v>
      </c>
      <c r="P49" s="667">
        <f t="shared" si="85"/>
        <v>0</v>
      </c>
      <c r="Q49" s="667">
        <f t="shared" si="85"/>
        <v>0</v>
      </c>
      <c r="R49" s="667">
        <f t="shared" si="85"/>
        <v>0</v>
      </c>
      <c r="S49" s="667">
        <f t="shared" si="85"/>
        <v>0</v>
      </c>
      <c r="T49" s="667">
        <f t="shared" si="85"/>
        <v>0</v>
      </c>
      <c r="U49" s="667">
        <f t="shared" si="85"/>
        <v>0</v>
      </c>
      <c r="V49" s="667">
        <f t="shared" si="85"/>
        <v>0</v>
      </c>
      <c r="W49" s="667">
        <f t="shared" si="85"/>
        <v>0</v>
      </c>
      <c r="X49" s="667">
        <f t="shared" si="85"/>
        <v>0</v>
      </c>
      <c r="Y49" s="667">
        <f t="shared" si="85"/>
        <v>0</v>
      </c>
      <c r="Z49" s="667">
        <f t="shared" si="85"/>
        <v>810.6</v>
      </c>
      <c r="AA49" s="667">
        <f t="shared" si="85"/>
        <v>0</v>
      </c>
      <c r="AB49" s="667">
        <f t="shared" si="85"/>
        <v>0</v>
      </c>
      <c r="AC49" s="667">
        <f t="shared" si="85"/>
        <v>0</v>
      </c>
      <c r="AD49" s="667">
        <f t="shared" si="85"/>
        <v>0</v>
      </c>
      <c r="AE49" s="667">
        <f t="shared" si="85"/>
        <v>0</v>
      </c>
      <c r="AF49" s="29"/>
      <c r="AG49" s="757"/>
    </row>
    <row r="50" spans="1:33" ht="18.75" x14ac:dyDescent="0.3">
      <c r="A50" s="17" t="s">
        <v>33</v>
      </c>
      <c r="B50" s="47">
        <f>H50+J50+L50+N50+P50+R50+T50+V50+X50+Z50+AB50+AD50</f>
        <v>810.6</v>
      </c>
      <c r="C50" s="47">
        <f>H50+J50+L50</f>
        <v>0</v>
      </c>
      <c r="D50" s="47"/>
      <c r="E50" s="47">
        <f>K50+M50+O50+Q50+S50+U50+W50+Y50+AA50+AC50+AE50+I50</f>
        <v>0</v>
      </c>
      <c r="F50" s="32">
        <f t="shared" ref="F50" si="86">E50/B50*100</f>
        <v>0</v>
      </c>
      <c r="G50" s="32" t="e">
        <f>E50/C50*100</f>
        <v>#DIV/0!</v>
      </c>
      <c r="H50" s="667"/>
      <c r="I50" s="667"/>
      <c r="J50" s="667"/>
      <c r="K50" s="667"/>
      <c r="L50" s="667"/>
      <c r="M50" s="667"/>
      <c r="N50" s="667"/>
      <c r="O50" s="667"/>
      <c r="P50" s="667"/>
      <c r="Q50" s="667"/>
      <c r="R50" s="667"/>
      <c r="S50" s="667"/>
      <c r="T50" s="667"/>
      <c r="U50" s="667"/>
      <c r="V50" s="667"/>
      <c r="W50" s="667"/>
      <c r="X50" s="667"/>
      <c r="Y50" s="667"/>
      <c r="Z50" s="667">
        <v>810.6</v>
      </c>
      <c r="AA50" s="667"/>
      <c r="AB50" s="667"/>
      <c r="AC50" s="667"/>
      <c r="AD50" s="667"/>
      <c r="AE50" s="667"/>
      <c r="AF50" s="29"/>
      <c r="AG50" s="757"/>
    </row>
    <row r="51" spans="1:33" ht="18.75" x14ac:dyDescent="0.3">
      <c r="A51" s="54" t="s">
        <v>53</v>
      </c>
      <c r="B51" s="667"/>
      <c r="C51" s="667"/>
      <c r="D51" s="667"/>
      <c r="E51" s="667"/>
      <c r="F51" s="32"/>
      <c r="G51" s="32"/>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29"/>
      <c r="AG51" s="757"/>
    </row>
    <row r="52" spans="1:33" ht="18.75" x14ac:dyDescent="0.3">
      <c r="A52" s="13" t="s">
        <v>31</v>
      </c>
      <c r="B52" s="667">
        <f>B9+B15+B18+B22+B25+B40+B49</f>
        <v>15472.490000000002</v>
      </c>
      <c r="C52" s="667">
        <f t="shared" ref="C52:D52" si="87">C53+C54+C55</f>
        <v>3706.32</v>
      </c>
      <c r="D52" s="667">
        <f t="shared" si="87"/>
        <v>2928.8900000000003</v>
      </c>
      <c r="E52" s="667">
        <f>E53+E54+E55</f>
        <v>2928.8900000000003</v>
      </c>
      <c r="F52" s="32">
        <f t="shared" ref="F52:G52" si="88">D52/B52*100</f>
        <v>18.929661612319673</v>
      </c>
      <c r="G52" s="32">
        <f t="shared" si="88"/>
        <v>79.024207299963308</v>
      </c>
      <c r="H52" s="667">
        <f>H53+H54+H55</f>
        <v>1376.28</v>
      </c>
      <c r="I52" s="667">
        <f t="shared" ref="I52:AE52" si="89">I53+I54+I55</f>
        <v>1098.06</v>
      </c>
      <c r="J52" s="667">
        <f t="shared" si="89"/>
        <v>1105.46</v>
      </c>
      <c r="K52" s="667">
        <f t="shared" si="89"/>
        <v>1113.21</v>
      </c>
      <c r="L52" s="667">
        <f t="shared" si="89"/>
        <v>1224.58</v>
      </c>
      <c r="M52" s="667">
        <f t="shared" si="89"/>
        <v>966.33</v>
      </c>
      <c r="N52" s="667">
        <f t="shared" si="89"/>
        <v>1370.14</v>
      </c>
      <c r="O52" s="667">
        <f t="shared" si="89"/>
        <v>0</v>
      </c>
      <c r="P52" s="667">
        <f t="shared" si="89"/>
        <v>1322.78</v>
      </c>
      <c r="Q52" s="667">
        <f t="shared" si="89"/>
        <v>0</v>
      </c>
      <c r="R52" s="667">
        <f t="shared" si="89"/>
        <v>1127.23</v>
      </c>
      <c r="S52" s="667">
        <f t="shared" si="89"/>
        <v>0</v>
      </c>
      <c r="T52" s="667">
        <f t="shared" si="89"/>
        <v>1399.05</v>
      </c>
      <c r="U52" s="667">
        <f t="shared" si="89"/>
        <v>0</v>
      </c>
      <c r="V52" s="667">
        <f t="shared" si="89"/>
        <v>1020.37</v>
      </c>
      <c r="W52" s="667">
        <f t="shared" si="89"/>
        <v>0</v>
      </c>
      <c r="X52" s="667">
        <f t="shared" si="89"/>
        <v>999.03</v>
      </c>
      <c r="Y52" s="667">
        <f t="shared" si="89"/>
        <v>0</v>
      </c>
      <c r="Z52" s="667">
        <f t="shared" si="89"/>
        <v>2054.79</v>
      </c>
      <c r="AA52" s="667">
        <f t="shared" si="89"/>
        <v>0</v>
      </c>
      <c r="AB52" s="667">
        <f t="shared" si="89"/>
        <v>1020.36</v>
      </c>
      <c r="AC52" s="667">
        <f t="shared" si="89"/>
        <v>0</v>
      </c>
      <c r="AD52" s="667">
        <f t="shared" si="89"/>
        <v>1452.42</v>
      </c>
      <c r="AE52" s="667">
        <f t="shared" si="89"/>
        <v>0</v>
      </c>
      <c r="AF52" s="29"/>
      <c r="AG52" s="757"/>
    </row>
    <row r="53" spans="1:33" ht="18.75" x14ac:dyDescent="0.3">
      <c r="A53" s="13" t="s">
        <v>102</v>
      </c>
      <c r="B53" s="667">
        <f>B23</f>
        <v>2.8</v>
      </c>
      <c r="C53" s="667">
        <f>C23</f>
        <v>0</v>
      </c>
      <c r="D53" s="667">
        <f>D23</f>
        <v>0</v>
      </c>
      <c r="E53" s="667">
        <f>E23</f>
        <v>0</v>
      </c>
      <c r="F53" s="32">
        <f t="shared" ref="F53:F55" si="90">D53/B53*100</f>
        <v>0</v>
      </c>
      <c r="G53" s="32" t="e">
        <f t="shared" ref="G53:G55" si="91">E53/C53*100</f>
        <v>#DIV/0!</v>
      </c>
      <c r="H53" s="667">
        <f>H23</f>
        <v>0</v>
      </c>
      <c r="I53" s="667">
        <f t="shared" ref="I53:AE53" si="92">I23</f>
        <v>0</v>
      </c>
      <c r="J53" s="667">
        <f t="shared" si="92"/>
        <v>0</v>
      </c>
      <c r="K53" s="667">
        <f t="shared" si="92"/>
        <v>0</v>
      </c>
      <c r="L53" s="667">
        <f t="shared" si="92"/>
        <v>0</v>
      </c>
      <c r="M53" s="667">
        <f t="shared" si="92"/>
        <v>0</v>
      </c>
      <c r="N53" s="667">
        <f t="shared" si="92"/>
        <v>0</v>
      </c>
      <c r="O53" s="667">
        <f t="shared" si="92"/>
        <v>0</v>
      </c>
      <c r="P53" s="667">
        <f t="shared" si="92"/>
        <v>2.8</v>
      </c>
      <c r="Q53" s="667">
        <f t="shared" si="92"/>
        <v>0</v>
      </c>
      <c r="R53" s="667">
        <f t="shared" si="92"/>
        <v>0</v>
      </c>
      <c r="S53" s="667">
        <f t="shared" si="92"/>
        <v>0</v>
      </c>
      <c r="T53" s="667">
        <f t="shared" si="92"/>
        <v>0</v>
      </c>
      <c r="U53" s="667">
        <f t="shared" si="92"/>
        <v>0</v>
      </c>
      <c r="V53" s="667">
        <f t="shared" si="92"/>
        <v>0</v>
      </c>
      <c r="W53" s="667">
        <f t="shared" si="92"/>
        <v>0</v>
      </c>
      <c r="X53" s="667">
        <f t="shared" si="92"/>
        <v>0</v>
      </c>
      <c r="Y53" s="667">
        <f t="shared" si="92"/>
        <v>0</v>
      </c>
      <c r="Z53" s="667">
        <f t="shared" si="92"/>
        <v>0</v>
      </c>
      <c r="AA53" s="667">
        <f t="shared" si="92"/>
        <v>0</v>
      </c>
      <c r="AB53" s="667">
        <f t="shared" si="92"/>
        <v>0</v>
      </c>
      <c r="AC53" s="667">
        <f t="shared" si="92"/>
        <v>0</v>
      </c>
      <c r="AD53" s="667">
        <f t="shared" si="92"/>
        <v>0</v>
      </c>
      <c r="AE53" s="667">
        <f t="shared" si="92"/>
        <v>0</v>
      </c>
      <c r="AF53" s="29"/>
      <c r="AG53" s="757"/>
    </row>
    <row r="54" spans="1:33" ht="18.75" x14ac:dyDescent="0.3">
      <c r="A54" s="13" t="s">
        <v>97</v>
      </c>
      <c r="B54" s="667">
        <f>B11+B19</f>
        <v>3329.4900000000007</v>
      </c>
      <c r="C54" s="667">
        <f>C11+C19</f>
        <v>946.43</v>
      </c>
      <c r="D54" s="667">
        <f>D11+D19</f>
        <v>577.75</v>
      </c>
      <c r="E54" s="667">
        <f>E11+E19</f>
        <v>577.75</v>
      </c>
      <c r="F54" s="32">
        <f t="shared" si="90"/>
        <v>17.352507441079563</v>
      </c>
      <c r="G54" s="32">
        <f t="shared" si="91"/>
        <v>61.045190875183586</v>
      </c>
      <c r="H54" s="667">
        <f>H11+H19</f>
        <v>343.77</v>
      </c>
      <c r="I54" s="667">
        <f t="shared" ref="I54:AE54" si="93">I11+I19</f>
        <v>248.71</v>
      </c>
      <c r="J54" s="667">
        <f t="shared" si="93"/>
        <v>216.67</v>
      </c>
      <c r="K54" s="667">
        <f t="shared" si="93"/>
        <v>258.52</v>
      </c>
      <c r="L54" s="667">
        <f t="shared" si="93"/>
        <v>385.99</v>
      </c>
      <c r="M54" s="667">
        <f t="shared" si="93"/>
        <v>319.23</v>
      </c>
      <c r="N54" s="667">
        <f t="shared" si="93"/>
        <v>350.8</v>
      </c>
      <c r="O54" s="667">
        <f t="shared" si="93"/>
        <v>0</v>
      </c>
      <c r="P54" s="667">
        <f t="shared" si="93"/>
        <v>306.22000000000003</v>
      </c>
      <c r="Q54" s="667">
        <f t="shared" si="93"/>
        <v>0</v>
      </c>
      <c r="R54" s="667">
        <f t="shared" si="93"/>
        <v>278.45999999999998</v>
      </c>
      <c r="S54" s="667">
        <f t="shared" si="93"/>
        <v>0</v>
      </c>
      <c r="T54" s="667">
        <f t="shared" si="93"/>
        <v>421.53</v>
      </c>
      <c r="U54" s="667">
        <f t="shared" si="93"/>
        <v>0</v>
      </c>
      <c r="V54" s="667">
        <f t="shared" si="93"/>
        <v>171.6</v>
      </c>
      <c r="W54" s="667">
        <f t="shared" si="93"/>
        <v>0</v>
      </c>
      <c r="X54" s="667">
        <f t="shared" si="93"/>
        <v>150.26</v>
      </c>
      <c r="Y54" s="667">
        <f t="shared" si="93"/>
        <v>0</v>
      </c>
      <c r="Z54" s="667">
        <f t="shared" si="93"/>
        <v>268.68</v>
      </c>
      <c r="AA54" s="667">
        <f t="shared" si="93"/>
        <v>0</v>
      </c>
      <c r="AB54" s="667">
        <f t="shared" si="93"/>
        <v>171.61</v>
      </c>
      <c r="AC54" s="667">
        <f t="shared" si="93"/>
        <v>0</v>
      </c>
      <c r="AD54" s="667">
        <f t="shared" si="93"/>
        <v>263.90000000000003</v>
      </c>
      <c r="AE54" s="667">
        <f t="shared" si="93"/>
        <v>0</v>
      </c>
      <c r="AF54" s="29"/>
      <c r="AG54" s="757"/>
    </row>
    <row r="55" spans="1:33" ht="18.75" x14ac:dyDescent="0.3">
      <c r="A55" s="17" t="s">
        <v>33</v>
      </c>
      <c r="B55" s="667">
        <f>B12+B16+B20+B26+B41+B50</f>
        <v>12140.2</v>
      </c>
      <c r="C55" s="667">
        <f>C12+C16+C20+C26+C41</f>
        <v>2759.8900000000003</v>
      </c>
      <c r="D55" s="667">
        <f>D12+D16+D20+D26+D41</f>
        <v>2351.1400000000003</v>
      </c>
      <c r="E55" s="667">
        <f>E12+E16+E20+E26+E41</f>
        <v>2351.1400000000003</v>
      </c>
      <c r="F55" s="32">
        <f t="shared" si="90"/>
        <v>19.366567272367838</v>
      </c>
      <c r="G55" s="32">
        <f t="shared" si="91"/>
        <v>85.189627122820113</v>
      </c>
      <c r="H55" s="667">
        <f>H12+H16+H20+H26+H41+H50</f>
        <v>1032.51</v>
      </c>
      <c r="I55" s="667">
        <f t="shared" ref="I55:AE55" si="94">I12+I16+I20+I26+I41+I50</f>
        <v>849.35</v>
      </c>
      <c r="J55" s="667">
        <f t="shared" si="94"/>
        <v>888.79</v>
      </c>
      <c r="K55" s="667">
        <f t="shared" si="94"/>
        <v>854.69</v>
      </c>
      <c r="L55" s="667">
        <f t="shared" si="94"/>
        <v>838.59</v>
      </c>
      <c r="M55" s="667">
        <f t="shared" si="94"/>
        <v>647.1</v>
      </c>
      <c r="N55" s="667">
        <f t="shared" si="94"/>
        <v>1019.34</v>
      </c>
      <c r="O55" s="667">
        <f t="shared" si="94"/>
        <v>0</v>
      </c>
      <c r="P55" s="667">
        <f t="shared" si="94"/>
        <v>1013.76</v>
      </c>
      <c r="Q55" s="667">
        <f t="shared" si="94"/>
        <v>0</v>
      </c>
      <c r="R55" s="667">
        <f t="shared" si="94"/>
        <v>848.77</v>
      </c>
      <c r="S55" s="667">
        <f t="shared" si="94"/>
        <v>0</v>
      </c>
      <c r="T55" s="667">
        <f t="shared" si="94"/>
        <v>977.52</v>
      </c>
      <c r="U55" s="667">
        <f t="shared" si="94"/>
        <v>0</v>
      </c>
      <c r="V55" s="667">
        <f t="shared" si="94"/>
        <v>848.77</v>
      </c>
      <c r="W55" s="667">
        <f t="shared" si="94"/>
        <v>0</v>
      </c>
      <c r="X55" s="667">
        <f t="shared" si="94"/>
        <v>848.77</v>
      </c>
      <c r="Y55" s="667">
        <f t="shared" si="94"/>
        <v>0</v>
      </c>
      <c r="Z55" s="667">
        <f t="shared" si="94"/>
        <v>1786.1100000000001</v>
      </c>
      <c r="AA55" s="667">
        <f t="shared" si="94"/>
        <v>0</v>
      </c>
      <c r="AB55" s="667">
        <f t="shared" si="94"/>
        <v>848.75</v>
      </c>
      <c r="AC55" s="667">
        <f t="shared" si="94"/>
        <v>0</v>
      </c>
      <c r="AD55" s="667">
        <f t="shared" si="94"/>
        <v>1188.52</v>
      </c>
      <c r="AE55" s="667">
        <f t="shared" si="94"/>
        <v>0</v>
      </c>
      <c r="AF55" s="29"/>
      <c r="AG55" s="757"/>
    </row>
    <row r="56" spans="1:33" ht="37.5" x14ac:dyDescent="0.3">
      <c r="A56" s="73" t="s">
        <v>130</v>
      </c>
      <c r="B56" s="667">
        <f>B13</f>
        <v>65.319999999999993</v>
      </c>
      <c r="C56" s="667">
        <f>C13</f>
        <v>0</v>
      </c>
      <c r="D56" s="667">
        <f t="shared" ref="D56:E56" si="95">D13</f>
        <v>0</v>
      </c>
      <c r="E56" s="667">
        <f t="shared" si="95"/>
        <v>0</v>
      </c>
      <c r="F56" s="32">
        <f t="shared" ref="F56" si="96">D56/B56*100</f>
        <v>0</v>
      </c>
      <c r="G56" s="32" t="e">
        <f t="shared" ref="G56" si="97">E56/C56*100</f>
        <v>#DIV/0!</v>
      </c>
      <c r="H56" s="667">
        <f>H13</f>
        <v>0</v>
      </c>
      <c r="I56" s="667">
        <f t="shared" ref="I56:AE56" si="98">I13</f>
        <v>0</v>
      </c>
      <c r="J56" s="667">
        <f t="shared" si="98"/>
        <v>0</v>
      </c>
      <c r="K56" s="667">
        <f t="shared" si="98"/>
        <v>0</v>
      </c>
      <c r="L56" s="667">
        <f t="shared" si="98"/>
        <v>0</v>
      </c>
      <c r="M56" s="667">
        <f t="shared" si="98"/>
        <v>0</v>
      </c>
      <c r="N56" s="667">
        <f t="shared" si="98"/>
        <v>16.329999999999998</v>
      </c>
      <c r="O56" s="667">
        <f t="shared" si="98"/>
        <v>0</v>
      </c>
      <c r="P56" s="667">
        <f t="shared" si="98"/>
        <v>0</v>
      </c>
      <c r="Q56" s="667">
        <f t="shared" si="98"/>
        <v>0</v>
      </c>
      <c r="R56" s="667">
        <f t="shared" si="98"/>
        <v>0</v>
      </c>
      <c r="S56" s="667">
        <f t="shared" si="98"/>
        <v>0</v>
      </c>
      <c r="T56" s="667">
        <f t="shared" si="98"/>
        <v>16.329999999999998</v>
      </c>
      <c r="U56" s="667">
        <f t="shared" si="98"/>
        <v>0</v>
      </c>
      <c r="V56" s="667">
        <f t="shared" si="98"/>
        <v>0</v>
      </c>
      <c r="W56" s="667">
        <f t="shared" si="98"/>
        <v>0</v>
      </c>
      <c r="X56" s="667">
        <f t="shared" si="98"/>
        <v>0</v>
      </c>
      <c r="Y56" s="667">
        <f t="shared" si="98"/>
        <v>0</v>
      </c>
      <c r="Z56" s="667">
        <f t="shared" si="98"/>
        <v>16.329999999999998</v>
      </c>
      <c r="AA56" s="667">
        <f t="shared" si="98"/>
        <v>0</v>
      </c>
      <c r="AB56" s="667">
        <f t="shared" si="98"/>
        <v>0</v>
      </c>
      <c r="AC56" s="667">
        <f t="shared" si="98"/>
        <v>0</v>
      </c>
      <c r="AD56" s="667">
        <f t="shared" si="98"/>
        <v>16.329999999999998</v>
      </c>
      <c r="AE56" s="667">
        <f t="shared" si="98"/>
        <v>0</v>
      </c>
      <c r="AF56" s="29"/>
      <c r="AG56" s="757"/>
    </row>
    <row r="57" spans="1:33" ht="37.5" x14ac:dyDescent="0.3">
      <c r="A57" s="28" t="s">
        <v>72</v>
      </c>
      <c r="B57" s="635"/>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29"/>
      <c r="AG57" s="757"/>
    </row>
    <row r="58" spans="1:33" ht="18.75" x14ac:dyDescent="0.3">
      <c r="A58" s="8" t="s">
        <v>31</v>
      </c>
      <c r="B58" s="667">
        <f>B61+B59+B60</f>
        <v>15472.490000000002</v>
      </c>
      <c r="C58" s="667">
        <f t="shared" ref="C58:E58" si="99">C61+C59+C60</f>
        <v>3706.32</v>
      </c>
      <c r="D58" s="667">
        <f t="shared" si="99"/>
        <v>2928.8900000000003</v>
      </c>
      <c r="E58" s="667">
        <f t="shared" si="99"/>
        <v>2928.8900000000003</v>
      </c>
      <c r="F58" s="32">
        <f>E58/B58*100</f>
        <v>18.929661612319673</v>
      </c>
      <c r="G58" s="32">
        <f>E58/C58*100</f>
        <v>79.024207299963308</v>
      </c>
      <c r="H58" s="667">
        <f>H61+H59+H60</f>
        <v>1376.28</v>
      </c>
      <c r="I58" s="667">
        <f t="shared" ref="I58:AE58" si="100">I61+I59+I60</f>
        <v>1098.06</v>
      </c>
      <c r="J58" s="667">
        <f t="shared" si="100"/>
        <v>1105.46</v>
      </c>
      <c r="K58" s="667">
        <f t="shared" si="100"/>
        <v>1113.21</v>
      </c>
      <c r="L58" s="667">
        <f t="shared" si="100"/>
        <v>1224.58</v>
      </c>
      <c r="M58" s="667">
        <f t="shared" si="100"/>
        <v>966.33</v>
      </c>
      <c r="N58" s="667">
        <f t="shared" si="100"/>
        <v>1370.14</v>
      </c>
      <c r="O58" s="667">
        <f t="shared" si="100"/>
        <v>0</v>
      </c>
      <c r="P58" s="667">
        <f t="shared" si="100"/>
        <v>1322.78</v>
      </c>
      <c r="Q58" s="667">
        <f t="shared" si="100"/>
        <v>0</v>
      </c>
      <c r="R58" s="667">
        <f t="shared" si="100"/>
        <v>1127.23</v>
      </c>
      <c r="S58" s="667">
        <f t="shared" si="100"/>
        <v>0</v>
      </c>
      <c r="T58" s="667">
        <f t="shared" si="100"/>
        <v>1399.05</v>
      </c>
      <c r="U58" s="667">
        <f t="shared" si="100"/>
        <v>0</v>
      </c>
      <c r="V58" s="667">
        <f t="shared" si="100"/>
        <v>1020.37</v>
      </c>
      <c r="W58" s="667">
        <f t="shared" si="100"/>
        <v>0</v>
      </c>
      <c r="X58" s="667">
        <f t="shared" si="100"/>
        <v>999.03</v>
      </c>
      <c r="Y58" s="667">
        <f t="shared" si="100"/>
        <v>0</v>
      </c>
      <c r="Z58" s="667">
        <f t="shared" si="100"/>
        <v>2054.79</v>
      </c>
      <c r="AA58" s="667">
        <f t="shared" si="100"/>
        <v>0</v>
      </c>
      <c r="AB58" s="667">
        <f t="shared" si="100"/>
        <v>1020.36</v>
      </c>
      <c r="AC58" s="667">
        <f t="shared" si="100"/>
        <v>0</v>
      </c>
      <c r="AD58" s="667">
        <f t="shared" si="100"/>
        <v>1452.42</v>
      </c>
      <c r="AE58" s="667">
        <f t="shared" si="100"/>
        <v>0</v>
      </c>
      <c r="AF58" s="29"/>
      <c r="AG58" s="757"/>
    </row>
    <row r="59" spans="1:33" ht="18.75" x14ac:dyDescent="0.3">
      <c r="A59" s="13" t="s">
        <v>102</v>
      </c>
      <c r="B59" s="667">
        <f>B53</f>
        <v>2.8</v>
      </c>
      <c r="C59" s="667">
        <f t="shared" ref="C59:E59" si="101">C53</f>
        <v>0</v>
      </c>
      <c r="D59" s="667">
        <f>D53</f>
        <v>0</v>
      </c>
      <c r="E59" s="667">
        <f t="shared" si="101"/>
        <v>0</v>
      </c>
      <c r="F59" s="32">
        <f t="shared" ref="F59:F60" si="102">E59/B59*100</f>
        <v>0</v>
      </c>
      <c r="G59" s="32" t="e">
        <f t="shared" ref="G59:G60" si="103">E59/C59*100</f>
        <v>#DIV/0!</v>
      </c>
      <c r="H59" s="667">
        <f>H53</f>
        <v>0</v>
      </c>
      <c r="I59" s="667">
        <f t="shared" ref="I59:AE59" si="104">I53</f>
        <v>0</v>
      </c>
      <c r="J59" s="667">
        <f t="shared" si="104"/>
        <v>0</v>
      </c>
      <c r="K59" s="667">
        <f t="shared" si="104"/>
        <v>0</v>
      </c>
      <c r="L59" s="667">
        <f t="shared" si="104"/>
        <v>0</v>
      </c>
      <c r="M59" s="667">
        <f t="shared" si="104"/>
        <v>0</v>
      </c>
      <c r="N59" s="667">
        <f t="shared" si="104"/>
        <v>0</v>
      </c>
      <c r="O59" s="667">
        <f t="shared" si="104"/>
        <v>0</v>
      </c>
      <c r="P59" s="667">
        <f t="shared" si="104"/>
        <v>2.8</v>
      </c>
      <c r="Q59" s="667">
        <f t="shared" si="104"/>
        <v>0</v>
      </c>
      <c r="R59" s="667">
        <f t="shared" si="104"/>
        <v>0</v>
      </c>
      <c r="S59" s="667">
        <f t="shared" si="104"/>
        <v>0</v>
      </c>
      <c r="T59" s="667">
        <f t="shared" si="104"/>
        <v>0</v>
      </c>
      <c r="U59" s="667">
        <f t="shared" si="104"/>
        <v>0</v>
      </c>
      <c r="V59" s="667">
        <f t="shared" si="104"/>
        <v>0</v>
      </c>
      <c r="W59" s="667">
        <f t="shared" si="104"/>
        <v>0</v>
      </c>
      <c r="X59" s="667">
        <f t="shared" si="104"/>
        <v>0</v>
      </c>
      <c r="Y59" s="667">
        <f t="shared" si="104"/>
        <v>0</v>
      </c>
      <c r="Z59" s="667">
        <f t="shared" si="104"/>
        <v>0</v>
      </c>
      <c r="AA59" s="667">
        <f t="shared" si="104"/>
        <v>0</v>
      </c>
      <c r="AB59" s="667">
        <f t="shared" si="104"/>
        <v>0</v>
      </c>
      <c r="AC59" s="667">
        <f t="shared" si="104"/>
        <v>0</v>
      </c>
      <c r="AD59" s="667">
        <f t="shared" si="104"/>
        <v>0</v>
      </c>
      <c r="AE59" s="667">
        <f t="shared" si="104"/>
        <v>0</v>
      </c>
      <c r="AF59" s="29"/>
      <c r="AG59" s="757"/>
    </row>
    <row r="60" spans="1:33" ht="18.75" x14ac:dyDescent="0.3">
      <c r="A60" s="13" t="s">
        <v>97</v>
      </c>
      <c r="B60" s="667">
        <f>B54</f>
        <v>3329.4900000000007</v>
      </c>
      <c r="C60" s="667">
        <f t="shared" ref="C60:E60" si="105">C54</f>
        <v>946.43</v>
      </c>
      <c r="D60" s="667">
        <f t="shared" si="105"/>
        <v>577.75</v>
      </c>
      <c r="E60" s="667">
        <f t="shared" si="105"/>
        <v>577.75</v>
      </c>
      <c r="F60" s="32">
        <f t="shared" si="102"/>
        <v>17.352507441079563</v>
      </c>
      <c r="G60" s="32">
        <f t="shared" si="103"/>
        <v>61.045190875183586</v>
      </c>
      <c r="H60" s="667">
        <f>H54</f>
        <v>343.77</v>
      </c>
      <c r="I60" s="667">
        <f t="shared" ref="I60:AE60" si="106">I54</f>
        <v>248.71</v>
      </c>
      <c r="J60" s="667">
        <f t="shared" si="106"/>
        <v>216.67</v>
      </c>
      <c r="K60" s="667">
        <f t="shared" si="106"/>
        <v>258.52</v>
      </c>
      <c r="L60" s="667">
        <f t="shared" si="106"/>
        <v>385.99</v>
      </c>
      <c r="M60" s="667">
        <f t="shared" si="106"/>
        <v>319.23</v>
      </c>
      <c r="N60" s="667">
        <f t="shared" si="106"/>
        <v>350.8</v>
      </c>
      <c r="O60" s="667">
        <f t="shared" si="106"/>
        <v>0</v>
      </c>
      <c r="P60" s="667">
        <f t="shared" si="106"/>
        <v>306.22000000000003</v>
      </c>
      <c r="Q60" s="667">
        <f t="shared" si="106"/>
        <v>0</v>
      </c>
      <c r="R60" s="667">
        <f t="shared" si="106"/>
        <v>278.45999999999998</v>
      </c>
      <c r="S60" s="667">
        <f t="shared" si="106"/>
        <v>0</v>
      </c>
      <c r="T60" s="667">
        <f t="shared" si="106"/>
        <v>421.53</v>
      </c>
      <c r="U60" s="667">
        <f t="shared" si="106"/>
        <v>0</v>
      </c>
      <c r="V60" s="667">
        <f t="shared" si="106"/>
        <v>171.6</v>
      </c>
      <c r="W60" s="667">
        <f t="shared" si="106"/>
        <v>0</v>
      </c>
      <c r="X60" s="667">
        <f t="shared" si="106"/>
        <v>150.26</v>
      </c>
      <c r="Y60" s="667">
        <f t="shared" si="106"/>
        <v>0</v>
      </c>
      <c r="Z60" s="667">
        <f t="shared" si="106"/>
        <v>268.68</v>
      </c>
      <c r="AA60" s="667">
        <f t="shared" si="106"/>
        <v>0</v>
      </c>
      <c r="AB60" s="667">
        <f t="shared" si="106"/>
        <v>171.61</v>
      </c>
      <c r="AC60" s="667">
        <f t="shared" si="106"/>
        <v>0</v>
      </c>
      <c r="AD60" s="667">
        <f t="shared" si="106"/>
        <v>263.90000000000003</v>
      </c>
      <c r="AE60" s="667">
        <f t="shared" si="106"/>
        <v>0</v>
      </c>
      <c r="AF60" s="29"/>
      <c r="AG60" s="757"/>
    </row>
    <row r="61" spans="1:33" ht="18.75" x14ac:dyDescent="0.3">
      <c r="A61" s="17" t="s">
        <v>33</v>
      </c>
      <c r="B61" s="667">
        <f>B55</f>
        <v>12140.2</v>
      </c>
      <c r="C61" s="667">
        <f t="shared" ref="C61:E61" si="107">C55</f>
        <v>2759.8900000000003</v>
      </c>
      <c r="D61" s="667">
        <f t="shared" si="107"/>
        <v>2351.1400000000003</v>
      </c>
      <c r="E61" s="667">
        <f t="shared" si="107"/>
        <v>2351.1400000000003</v>
      </c>
      <c r="F61" s="32">
        <f>E61/B61*100</f>
        <v>19.366567272367838</v>
      </c>
      <c r="G61" s="32">
        <f>E61/C61*100</f>
        <v>85.189627122820113</v>
      </c>
      <c r="H61" s="667">
        <f>H55</f>
        <v>1032.51</v>
      </c>
      <c r="I61" s="667">
        <f t="shared" ref="I61:AE61" si="108">I55</f>
        <v>849.35</v>
      </c>
      <c r="J61" s="667">
        <f t="shared" si="108"/>
        <v>888.79</v>
      </c>
      <c r="K61" s="667">
        <f t="shared" si="108"/>
        <v>854.69</v>
      </c>
      <c r="L61" s="667">
        <f t="shared" si="108"/>
        <v>838.59</v>
      </c>
      <c r="M61" s="667">
        <f t="shared" si="108"/>
        <v>647.1</v>
      </c>
      <c r="N61" s="667">
        <f t="shared" si="108"/>
        <v>1019.34</v>
      </c>
      <c r="O61" s="667">
        <f t="shared" si="108"/>
        <v>0</v>
      </c>
      <c r="P61" s="667">
        <f t="shared" si="108"/>
        <v>1013.76</v>
      </c>
      <c r="Q61" s="667">
        <f t="shared" si="108"/>
        <v>0</v>
      </c>
      <c r="R61" s="667">
        <f t="shared" si="108"/>
        <v>848.77</v>
      </c>
      <c r="S61" s="667">
        <f t="shared" si="108"/>
        <v>0</v>
      </c>
      <c r="T61" s="667">
        <f t="shared" si="108"/>
        <v>977.52</v>
      </c>
      <c r="U61" s="667">
        <f t="shared" si="108"/>
        <v>0</v>
      </c>
      <c r="V61" s="667">
        <f t="shared" si="108"/>
        <v>848.77</v>
      </c>
      <c r="W61" s="667">
        <f t="shared" si="108"/>
        <v>0</v>
      </c>
      <c r="X61" s="667">
        <f t="shared" si="108"/>
        <v>848.77</v>
      </c>
      <c r="Y61" s="667">
        <f t="shared" si="108"/>
        <v>0</v>
      </c>
      <c r="Z61" s="667">
        <f t="shared" si="108"/>
        <v>1786.1100000000001</v>
      </c>
      <c r="AA61" s="667">
        <f t="shared" si="108"/>
        <v>0</v>
      </c>
      <c r="AB61" s="667">
        <f t="shared" si="108"/>
        <v>848.75</v>
      </c>
      <c r="AC61" s="667">
        <f t="shared" si="108"/>
        <v>0</v>
      </c>
      <c r="AD61" s="667">
        <f t="shared" si="108"/>
        <v>1188.52</v>
      </c>
      <c r="AE61" s="667">
        <f t="shared" si="108"/>
        <v>0</v>
      </c>
      <c r="AF61" s="29"/>
      <c r="AG61" s="757"/>
    </row>
    <row r="62" spans="1:33" ht="93.75" x14ac:dyDescent="0.3">
      <c r="A62" s="55" t="s">
        <v>111</v>
      </c>
      <c r="B62" s="635"/>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29"/>
      <c r="AG62" s="757"/>
    </row>
    <row r="63" spans="1:33" ht="18.75" x14ac:dyDescent="0.3">
      <c r="A63" s="52" t="s">
        <v>54</v>
      </c>
      <c r="B63" s="635"/>
      <c r="C63" s="635"/>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29"/>
      <c r="AG63" s="757"/>
    </row>
    <row r="64" spans="1:33" ht="75" x14ac:dyDescent="0.3">
      <c r="A64" s="51" t="s">
        <v>112</v>
      </c>
      <c r="B64" s="667"/>
      <c r="C64" s="667"/>
      <c r="D64" s="667"/>
      <c r="E64" s="667"/>
      <c r="F64" s="667"/>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29"/>
      <c r="AG64" s="757"/>
    </row>
    <row r="65" spans="1:33" ht="18.75" x14ac:dyDescent="0.3">
      <c r="A65" s="13" t="s">
        <v>31</v>
      </c>
      <c r="B65" s="47">
        <f>B66</f>
        <v>150.38999999999999</v>
      </c>
      <c r="C65" s="47">
        <f t="shared" ref="C65:E65" si="109">C66</f>
        <v>150.38999999999999</v>
      </c>
      <c r="D65" s="47">
        <f t="shared" si="109"/>
        <v>150.38</v>
      </c>
      <c r="E65" s="47">
        <f t="shared" si="109"/>
        <v>150.38</v>
      </c>
      <c r="F65" s="32">
        <f t="shared" ref="F65:F66" si="110">E65/B65*100</f>
        <v>99.993350621716885</v>
      </c>
      <c r="G65" s="32">
        <f t="shared" ref="G65:G66" si="111">E65/C65*100</f>
        <v>99.993350621716885</v>
      </c>
      <c r="H65" s="832">
        <f>H66</f>
        <v>0</v>
      </c>
      <c r="I65" s="832">
        <f t="shared" ref="I65:AE65" si="112">I66</f>
        <v>0</v>
      </c>
      <c r="J65" s="635">
        <f t="shared" si="112"/>
        <v>150.38999999999999</v>
      </c>
      <c r="K65" s="635">
        <f t="shared" si="112"/>
        <v>150.38</v>
      </c>
      <c r="L65" s="832">
        <f t="shared" si="112"/>
        <v>0</v>
      </c>
      <c r="M65" s="832">
        <f t="shared" si="112"/>
        <v>0</v>
      </c>
      <c r="N65" s="832">
        <f t="shared" si="112"/>
        <v>0</v>
      </c>
      <c r="O65" s="832">
        <f t="shared" si="112"/>
        <v>0</v>
      </c>
      <c r="P65" s="832">
        <f t="shared" si="112"/>
        <v>0</v>
      </c>
      <c r="Q65" s="832">
        <f t="shared" si="112"/>
        <v>0</v>
      </c>
      <c r="R65" s="832">
        <f t="shared" si="112"/>
        <v>0</v>
      </c>
      <c r="S65" s="832">
        <f t="shared" si="112"/>
        <v>0</v>
      </c>
      <c r="T65" s="832">
        <f t="shared" si="112"/>
        <v>0</v>
      </c>
      <c r="U65" s="832">
        <f t="shared" si="112"/>
        <v>0</v>
      </c>
      <c r="V65" s="832">
        <f t="shared" si="112"/>
        <v>0</v>
      </c>
      <c r="W65" s="832">
        <f t="shared" si="112"/>
        <v>0</v>
      </c>
      <c r="X65" s="832">
        <f t="shared" si="112"/>
        <v>0</v>
      </c>
      <c r="Y65" s="832">
        <f t="shared" si="112"/>
        <v>0</v>
      </c>
      <c r="Z65" s="832">
        <f t="shared" si="112"/>
        <v>0</v>
      </c>
      <c r="AA65" s="832">
        <f t="shared" si="112"/>
        <v>0</v>
      </c>
      <c r="AB65" s="832">
        <f t="shared" si="112"/>
        <v>0</v>
      </c>
      <c r="AC65" s="832">
        <f t="shared" si="112"/>
        <v>0</v>
      </c>
      <c r="AD65" s="832">
        <f t="shared" si="112"/>
        <v>0</v>
      </c>
      <c r="AE65" s="832">
        <f t="shared" si="112"/>
        <v>0</v>
      </c>
      <c r="AF65" s="29"/>
      <c r="AG65" s="757"/>
    </row>
    <row r="66" spans="1:33" ht="18.75" x14ac:dyDescent="0.3">
      <c r="A66" s="13" t="s">
        <v>33</v>
      </c>
      <c r="B66" s="47">
        <f>B68</f>
        <v>150.38999999999999</v>
      </c>
      <c r="C66" s="47">
        <f>C68</f>
        <v>150.38999999999999</v>
      </c>
      <c r="D66" s="47">
        <f>D68</f>
        <v>150.38</v>
      </c>
      <c r="E66" s="47">
        <f>D66</f>
        <v>150.38</v>
      </c>
      <c r="F66" s="32">
        <f t="shared" si="110"/>
        <v>99.993350621716885</v>
      </c>
      <c r="G66" s="32">
        <f t="shared" si="111"/>
        <v>99.993350621716885</v>
      </c>
      <c r="H66" s="832">
        <f>H68</f>
        <v>0</v>
      </c>
      <c r="I66" s="832">
        <f t="shared" ref="I66:AE66" si="113">I68</f>
        <v>0</v>
      </c>
      <c r="J66" s="635">
        <f t="shared" si="113"/>
        <v>150.38999999999999</v>
      </c>
      <c r="K66" s="635">
        <f t="shared" si="113"/>
        <v>150.38</v>
      </c>
      <c r="L66" s="832">
        <f t="shared" si="113"/>
        <v>0</v>
      </c>
      <c r="M66" s="832">
        <f t="shared" si="113"/>
        <v>0</v>
      </c>
      <c r="N66" s="832">
        <f t="shared" si="113"/>
        <v>0</v>
      </c>
      <c r="O66" s="832">
        <f t="shared" si="113"/>
        <v>0</v>
      </c>
      <c r="P66" s="832">
        <f t="shared" si="113"/>
        <v>0</v>
      </c>
      <c r="Q66" s="832">
        <f t="shared" si="113"/>
        <v>0</v>
      </c>
      <c r="R66" s="832">
        <f t="shared" si="113"/>
        <v>0</v>
      </c>
      <c r="S66" s="832">
        <f t="shared" si="113"/>
        <v>0</v>
      </c>
      <c r="T66" s="832">
        <f t="shared" si="113"/>
        <v>0</v>
      </c>
      <c r="U66" s="832">
        <f t="shared" si="113"/>
        <v>0</v>
      </c>
      <c r="V66" s="832">
        <f t="shared" si="113"/>
        <v>0</v>
      </c>
      <c r="W66" s="832">
        <f t="shared" si="113"/>
        <v>0</v>
      </c>
      <c r="X66" s="832">
        <f t="shared" si="113"/>
        <v>0</v>
      </c>
      <c r="Y66" s="832">
        <f t="shared" si="113"/>
        <v>0</v>
      </c>
      <c r="Z66" s="832">
        <f t="shared" si="113"/>
        <v>0</v>
      </c>
      <c r="AA66" s="832">
        <f t="shared" si="113"/>
        <v>0</v>
      </c>
      <c r="AB66" s="832">
        <f t="shared" si="113"/>
        <v>0</v>
      </c>
      <c r="AC66" s="832">
        <f t="shared" si="113"/>
        <v>0</v>
      </c>
      <c r="AD66" s="832">
        <f t="shared" si="113"/>
        <v>0</v>
      </c>
      <c r="AE66" s="832">
        <f t="shared" si="113"/>
        <v>0</v>
      </c>
      <c r="AF66" s="29"/>
      <c r="AG66" s="757"/>
    </row>
    <row r="67" spans="1:33" ht="318.75" x14ac:dyDescent="0.3">
      <c r="A67" s="72" t="s">
        <v>113</v>
      </c>
      <c r="B67" s="635"/>
      <c r="C67" s="635"/>
      <c r="D67" s="635"/>
      <c r="E67" s="635"/>
      <c r="F67" s="635"/>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29"/>
      <c r="AG67" s="757"/>
    </row>
    <row r="68" spans="1:33" ht="18.75" x14ac:dyDescent="0.3">
      <c r="A68" s="13" t="s">
        <v>31</v>
      </c>
      <c r="B68" s="47">
        <f>B69</f>
        <v>150.38999999999999</v>
      </c>
      <c r="C68" s="32">
        <f>C69</f>
        <v>150.38999999999999</v>
      </c>
      <c r="D68" s="32">
        <f>D69</f>
        <v>150.38</v>
      </c>
      <c r="E68" s="47">
        <f t="shared" ref="E68" si="114">E69</f>
        <v>150.38</v>
      </c>
      <c r="F68" s="32">
        <f t="shared" ref="F68:F69" si="115">E68/B68*100</f>
        <v>99.993350621716885</v>
      </c>
      <c r="G68" s="32">
        <f t="shared" ref="G68:G69" si="116">E68/C68*100</f>
        <v>99.993350621716885</v>
      </c>
      <c r="H68" s="832">
        <f>H69</f>
        <v>0</v>
      </c>
      <c r="I68" s="832">
        <f t="shared" ref="I68:AE68" si="117">I69</f>
        <v>0</v>
      </c>
      <c r="J68" s="832">
        <f t="shared" si="117"/>
        <v>150.38999999999999</v>
      </c>
      <c r="K68" s="635">
        <f t="shared" si="117"/>
        <v>150.38</v>
      </c>
      <c r="L68" s="832">
        <f t="shared" si="117"/>
        <v>0</v>
      </c>
      <c r="M68" s="832">
        <f t="shared" si="117"/>
        <v>0</v>
      </c>
      <c r="N68" s="832">
        <f t="shared" si="117"/>
        <v>0</v>
      </c>
      <c r="O68" s="832">
        <f t="shared" si="117"/>
        <v>0</v>
      </c>
      <c r="P68" s="832">
        <f t="shared" si="117"/>
        <v>0</v>
      </c>
      <c r="Q68" s="832">
        <f t="shared" si="117"/>
        <v>0</v>
      </c>
      <c r="R68" s="832">
        <f t="shared" si="117"/>
        <v>0</v>
      </c>
      <c r="S68" s="832">
        <f t="shared" si="117"/>
        <v>0</v>
      </c>
      <c r="T68" s="832">
        <f t="shared" si="117"/>
        <v>0</v>
      </c>
      <c r="U68" s="832">
        <f t="shared" si="117"/>
        <v>0</v>
      </c>
      <c r="V68" s="832">
        <f t="shared" si="117"/>
        <v>0</v>
      </c>
      <c r="W68" s="832">
        <f t="shared" si="117"/>
        <v>0</v>
      </c>
      <c r="X68" s="832">
        <f t="shared" si="117"/>
        <v>0</v>
      </c>
      <c r="Y68" s="832">
        <f t="shared" si="117"/>
        <v>0</v>
      </c>
      <c r="Z68" s="832">
        <f t="shared" si="117"/>
        <v>0</v>
      </c>
      <c r="AA68" s="832">
        <f t="shared" si="117"/>
        <v>0</v>
      </c>
      <c r="AB68" s="832">
        <f t="shared" si="117"/>
        <v>0</v>
      </c>
      <c r="AC68" s="832">
        <f t="shared" si="117"/>
        <v>0</v>
      </c>
      <c r="AD68" s="832">
        <f t="shared" si="117"/>
        <v>0</v>
      </c>
      <c r="AE68" s="832">
        <f t="shared" si="117"/>
        <v>0</v>
      </c>
      <c r="AF68" s="29"/>
      <c r="AG68" s="757"/>
    </row>
    <row r="69" spans="1:33" ht="18.75" x14ac:dyDescent="0.3">
      <c r="A69" s="13" t="s">
        <v>33</v>
      </c>
      <c r="B69" s="47">
        <f>H69+J69+L69+N69+P69+R69+T69+V69+X69+Z69+AB69+AD69</f>
        <v>150.38999999999999</v>
      </c>
      <c r="C69" s="32">
        <f>J69+H69+L69</f>
        <v>150.38999999999999</v>
      </c>
      <c r="D69" s="32">
        <f>K69</f>
        <v>150.38</v>
      </c>
      <c r="E69" s="32">
        <f>I69+K69+M69+O69+Q69+S69+U69+W69+Y69+AA69+AC69+AE69</f>
        <v>150.38</v>
      </c>
      <c r="F69" s="32">
        <f t="shared" si="115"/>
        <v>99.993350621716885</v>
      </c>
      <c r="G69" s="32">
        <f t="shared" si="116"/>
        <v>99.993350621716885</v>
      </c>
      <c r="H69" s="832">
        <v>0</v>
      </c>
      <c r="I69" s="832">
        <v>0</v>
      </c>
      <c r="J69" s="832">
        <v>150.38999999999999</v>
      </c>
      <c r="K69" s="635">
        <v>150.38</v>
      </c>
      <c r="L69" s="832">
        <v>0</v>
      </c>
      <c r="M69" s="832">
        <v>0</v>
      </c>
      <c r="N69" s="832">
        <v>0</v>
      </c>
      <c r="O69" s="832">
        <v>0</v>
      </c>
      <c r="P69" s="832">
        <v>0</v>
      </c>
      <c r="Q69" s="832">
        <v>0</v>
      </c>
      <c r="R69" s="832">
        <v>0</v>
      </c>
      <c r="S69" s="832">
        <v>0</v>
      </c>
      <c r="T69" s="832">
        <v>0</v>
      </c>
      <c r="U69" s="832">
        <v>0</v>
      </c>
      <c r="V69" s="832">
        <v>0</v>
      </c>
      <c r="W69" s="832">
        <v>0</v>
      </c>
      <c r="X69" s="832">
        <v>0</v>
      </c>
      <c r="Y69" s="832">
        <v>0</v>
      </c>
      <c r="Z69" s="832">
        <v>0</v>
      </c>
      <c r="AA69" s="832">
        <v>0</v>
      </c>
      <c r="AB69" s="832">
        <v>0</v>
      </c>
      <c r="AC69" s="832">
        <v>0</v>
      </c>
      <c r="AD69" s="832">
        <v>0</v>
      </c>
      <c r="AE69" s="832">
        <v>0</v>
      </c>
      <c r="AF69" s="29"/>
      <c r="AG69" s="757"/>
    </row>
    <row r="70" spans="1:33" ht="56.25" x14ac:dyDescent="0.3">
      <c r="A70" s="48" t="s">
        <v>114</v>
      </c>
      <c r="B70" s="47"/>
      <c r="C70" s="32"/>
      <c r="D70" s="32"/>
      <c r="E70" s="32"/>
      <c r="F70" s="32"/>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757"/>
    </row>
    <row r="71" spans="1:33" ht="18.75" x14ac:dyDescent="0.3">
      <c r="A71" s="13" t="s">
        <v>31</v>
      </c>
      <c r="B71" s="47">
        <f>B72</f>
        <v>84.800000000000011</v>
      </c>
      <c r="C71" s="751">
        <f t="shared" ref="C71:E71" si="118">C72</f>
        <v>0</v>
      </c>
      <c r="D71" s="751">
        <f t="shared" si="118"/>
        <v>0</v>
      </c>
      <c r="E71" s="751">
        <f t="shared" si="118"/>
        <v>0</v>
      </c>
      <c r="F71" s="751">
        <f t="shared" ref="F71:F72" si="119">D71/B71*100</f>
        <v>0</v>
      </c>
      <c r="G71" s="47" t="e">
        <f t="shared" ref="G71:G72" si="120">E71/C71*100</f>
        <v>#DIV/0!</v>
      </c>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757"/>
    </row>
    <row r="72" spans="1:33" ht="18.75" x14ac:dyDescent="0.3">
      <c r="A72" s="13" t="s">
        <v>33</v>
      </c>
      <c r="B72" s="47">
        <f>B75</f>
        <v>84.800000000000011</v>
      </c>
      <c r="C72" s="751">
        <f t="shared" ref="C72:D72" si="121">C75</f>
        <v>0</v>
      </c>
      <c r="D72" s="751">
        <f t="shared" si="121"/>
        <v>0</v>
      </c>
      <c r="E72" s="751">
        <f>E75</f>
        <v>0</v>
      </c>
      <c r="F72" s="751">
        <f t="shared" si="119"/>
        <v>0</v>
      </c>
      <c r="G72" s="47" t="e">
        <f t="shared" si="120"/>
        <v>#DIV/0!</v>
      </c>
      <c r="H72" s="47">
        <v>0</v>
      </c>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757"/>
    </row>
    <row r="73" spans="1:33" ht="150" x14ac:dyDescent="0.3">
      <c r="A73" s="13" t="s">
        <v>115</v>
      </c>
      <c r="B73" s="47"/>
      <c r="C73" s="32"/>
      <c r="D73" s="32"/>
      <c r="E73" s="32"/>
      <c r="F73" s="32"/>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757"/>
    </row>
    <row r="74" spans="1:33" ht="18.75" x14ac:dyDescent="0.3">
      <c r="A74" s="13" t="s">
        <v>31</v>
      </c>
      <c r="B74" s="32">
        <f>B75</f>
        <v>84.800000000000011</v>
      </c>
      <c r="C74" s="752">
        <f t="shared" ref="C74:E74" si="122">C75</f>
        <v>0</v>
      </c>
      <c r="D74" s="752">
        <f t="shared" si="122"/>
        <v>0</v>
      </c>
      <c r="E74" s="752">
        <f t="shared" si="122"/>
        <v>0</v>
      </c>
      <c r="F74" s="752">
        <f>E74/B74*100</f>
        <v>0</v>
      </c>
      <c r="G74" s="47" t="e">
        <f>E74/C74*100</f>
        <v>#DIV/0!</v>
      </c>
      <c r="H74" s="751">
        <f>H75</f>
        <v>0</v>
      </c>
      <c r="I74" s="751">
        <f t="shared" ref="I74:AE75" si="123">I75</f>
        <v>0</v>
      </c>
      <c r="J74" s="751">
        <f t="shared" si="123"/>
        <v>0</v>
      </c>
      <c r="K74" s="751">
        <f t="shared" si="123"/>
        <v>0</v>
      </c>
      <c r="L74" s="751">
        <f t="shared" si="123"/>
        <v>0</v>
      </c>
      <c r="M74" s="751">
        <f t="shared" si="123"/>
        <v>0</v>
      </c>
      <c r="N74" s="751">
        <f t="shared" si="123"/>
        <v>0</v>
      </c>
      <c r="O74" s="751">
        <f t="shared" si="123"/>
        <v>0</v>
      </c>
      <c r="P74" s="47">
        <f t="shared" si="123"/>
        <v>10.199999999999999</v>
      </c>
      <c r="Q74" s="47">
        <f t="shared" si="123"/>
        <v>0</v>
      </c>
      <c r="R74" s="47">
        <f t="shared" si="123"/>
        <v>10.199999999999999</v>
      </c>
      <c r="S74" s="47">
        <f t="shared" si="123"/>
        <v>0</v>
      </c>
      <c r="T74" s="47">
        <f t="shared" si="123"/>
        <v>10.199999999999999</v>
      </c>
      <c r="U74" s="47">
        <f t="shared" si="123"/>
        <v>0</v>
      </c>
      <c r="V74" s="47">
        <f t="shared" si="123"/>
        <v>13.4</v>
      </c>
      <c r="W74" s="47">
        <f t="shared" si="123"/>
        <v>0</v>
      </c>
      <c r="X74" s="47">
        <f t="shared" si="123"/>
        <v>10.199999999999999</v>
      </c>
      <c r="Y74" s="47">
        <f t="shared" si="123"/>
        <v>0</v>
      </c>
      <c r="Z74" s="47">
        <f t="shared" si="123"/>
        <v>10.199999999999999</v>
      </c>
      <c r="AA74" s="47">
        <f t="shared" si="123"/>
        <v>0</v>
      </c>
      <c r="AB74" s="47">
        <f t="shared" si="123"/>
        <v>10.199999999999999</v>
      </c>
      <c r="AC74" s="47">
        <f t="shared" si="123"/>
        <v>0</v>
      </c>
      <c r="AD74" s="47">
        <f t="shared" si="123"/>
        <v>10.199999999999999</v>
      </c>
      <c r="AE74" s="47">
        <f t="shared" si="123"/>
        <v>0</v>
      </c>
      <c r="AF74" s="47"/>
      <c r="AG74" s="757"/>
    </row>
    <row r="75" spans="1:33" ht="18.75" x14ac:dyDescent="0.3">
      <c r="A75" s="13" t="s">
        <v>33</v>
      </c>
      <c r="B75" s="32">
        <f>H75+J75+L75+N75+P75+R75+T75+V75+X75+Z75+AB75+AD75</f>
        <v>84.800000000000011</v>
      </c>
      <c r="C75" s="752">
        <f>H75+J75+L75</f>
        <v>0</v>
      </c>
      <c r="D75" s="752">
        <f>I75+K75+M75+O75+Q75+S75+U75+W75+Y75++AA75+AC75+AE75</f>
        <v>0</v>
      </c>
      <c r="E75" s="32">
        <f>I75+K75+M75+O75+Q75+S75+U75+W75+Y75+AA75+AC75+AE75</f>
        <v>0</v>
      </c>
      <c r="F75" s="751">
        <f t="shared" ref="F75:G75" si="124">D75/B75*100</f>
        <v>0</v>
      </c>
      <c r="G75" s="47" t="e">
        <f t="shared" si="124"/>
        <v>#DIV/0!</v>
      </c>
      <c r="H75" s="751">
        <f>H76</f>
        <v>0</v>
      </c>
      <c r="I75" s="751">
        <f t="shared" si="123"/>
        <v>0</v>
      </c>
      <c r="J75" s="751">
        <f t="shared" si="123"/>
        <v>0</v>
      </c>
      <c r="K75" s="751">
        <f t="shared" si="123"/>
        <v>0</v>
      </c>
      <c r="L75" s="751">
        <f t="shared" si="123"/>
        <v>0</v>
      </c>
      <c r="M75" s="751">
        <f t="shared" si="123"/>
        <v>0</v>
      </c>
      <c r="N75" s="751">
        <f t="shared" si="123"/>
        <v>0</v>
      </c>
      <c r="O75" s="751">
        <f t="shared" si="123"/>
        <v>0</v>
      </c>
      <c r="P75" s="47">
        <v>10.199999999999999</v>
      </c>
      <c r="Q75" s="47"/>
      <c r="R75" s="47">
        <v>10.199999999999999</v>
      </c>
      <c r="S75" s="47"/>
      <c r="T75" s="47">
        <v>10.199999999999999</v>
      </c>
      <c r="U75" s="47"/>
      <c r="V75" s="47">
        <v>13.4</v>
      </c>
      <c r="W75" s="47"/>
      <c r="X75" s="47">
        <v>10.199999999999999</v>
      </c>
      <c r="Y75" s="47"/>
      <c r="Z75" s="47">
        <v>10.199999999999999</v>
      </c>
      <c r="AA75" s="47"/>
      <c r="AB75" s="47">
        <v>10.199999999999999</v>
      </c>
      <c r="AC75" s="47"/>
      <c r="AD75" s="47">
        <v>10.199999999999999</v>
      </c>
      <c r="AE75" s="47"/>
      <c r="AF75" s="47"/>
      <c r="AG75" s="757"/>
    </row>
    <row r="76" spans="1:33" ht="56.25" x14ac:dyDescent="0.3">
      <c r="A76" s="48" t="s">
        <v>116</v>
      </c>
      <c r="B76" s="47"/>
      <c r="C76" s="32"/>
      <c r="D76" s="32"/>
      <c r="E76" s="32"/>
      <c r="F76" s="32"/>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757"/>
    </row>
    <row r="77" spans="1:33" ht="18.75" x14ac:dyDescent="0.3">
      <c r="A77" s="13" t="s">
        <v>31</v>
      </c>
      <c r="B77" s="32">
        <f>B78</f>
        <v>626</v>
      </c>
      <c r="C77" s="32">
        <f t="shared" ref="C77:E77" si="125">C78</f>
        <v>16.829999999999998</v>
      </c>
      <c r="D77" s="32">
        <f t="shared" si="125"/>
        <v>16.829999999999998</v>
      </c>
      <c r="E77" s="32">
        <f t="shared" si="125"/>
        <v>0</v>
      </c>
      <c r="F77" s="32">
        <f>E77/B77*100</f>
        <v>0</v>
      </c>
      <c r="G77" s="47">
        <f>E77/C77*100</f>
        <v>0</v>
      </c>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757"/>
    </row>
    <row r="78" spans="1:33" ht="18.75" x14ac:dyDescent="0.3">
      <c r="A78" s="13" t="s">
        <v>33</v>
      </c>
      <c r="B78" s="32">
        <f>B81+B84+B87+B90+B93+B96</f>
        <v>626</v>
      </c>
      <c r="C78" s="32">
        <f>C81+C84+C87+C90+C93+C96</f>
        <v>16.829999999999998</v>
      </c>
      <c r="D78" s="32">
        <f t="shared" ref="D78" si="126">D81+D84+D87+D90+D93+D96</f>
        <v>16.829999999999998</v>
      </c>
      <c r="E78" s="32">
        <f>I78+K78+M78+O78+Q78+S78+U78+W78+Y78+AA78+AC78+AE78</f>
        <v>0</v>
      </c>
      <c r="F78" s="47">
        <f t="shared" ref="F78:G78" si="127">D78/B78*100</f>
        <v>2.6884984025559104</v>
      </c>
      <c r="G78" s="47">
        <f t="shared" si="127"/>
        <v>0</v>
      </c>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757"/>
    </row>
    <row r="79" spans="1:33" s="10" customFormat="1" ht="56.25" x14ac:dyDescent="0.3">
      <c r="A79" s="14" t="s">
        <v>117</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757"/>
    </row>
    <row r="80" spans="1:33" s="10" customFormat="1" ht="18.75" x14ac:dyDescent="0.3">
      <c r="A80" s="13" t="s">
        <v>31</v>
      </c>
      <c r="B80" s="47">
        <f>B81</f>
        <v>109</v>
      </c>
      <c r="C80" s="47">
        <f>J80+L80+N80+P80+R80+T80+V80+X80+Z80+AB80+AD80</f>
        <v>109</v>
      </c>
      <c r="D80" s="751">
        <f t="shared" ref="D80" si="128">D81</f>
        <v>1</v>
      </c>
      <c r="E80" s="47">
        <f>E81</f>
        <v>1</v>
      </c>
      <c r="F80" s="47">
        <f>E80/B80*100</f>
        <v>0.91743119266055051</v>
      </c>
      <c r="G80" s="47">
        <f>E80/C80*100</f>
        <v>0.91743119266055051</v>
      </c>
      <c r="H80" s="47">
        <f t="shared" ref="H80:J80" si="129">H81</f>
        <v>0</v>
      </c>
      <c r="I80" s="47">
        <f t="shared" si="129"/>
        <v>0</v>
      </c>
      <c r="J80" s="47">
        <f t="shared" si="129"/>
        <v>1</v>
      </c>
      <c r="K80" s="47">
        <f>K81</f>
        <v>1</v>
      </c>
      <c r="L80" s="47">
        <f t="shared" ref="L80:O80" si="130">L81</f>
        <v>0</v>
      </c>
      <c r="M80" s="47">
        <f>M81</f>
        <v>0</v>
      </c>
      <c r="N80" s="47">
        <f t="shared" si="130"/>
        <v>0</v>
      </c>
      <c r="O80" s="47">
        <f t="shared" si="130"/>
        <v>0</v>
      </c>
      <c r="P80" s="47">
        <f t="shared" ref="P80:AE80" si="131">P81</f>
        <v>108</v>
      </c>
      <c r="Q80" s="47">
        <f t="shared" si="131"/>
        <v>0</v>
      </c>
      <c r="R80" s="47">
        <f t="shared" si="131"/>
        <v>0</v>
      </c>
      <c r="S80" s="47">
        <f t="shared" si="131"/>
        <v>0</v>
      </c>
      <c r="T80" s="47">
        <f t="shared" si="131"/>
        <v>0</v>
      </c>
      <c r="U80" s="47">
        <f t="shared" si="131"/>
        <v>0</v>
      </c>
      <c r="V80" s="47">
        <f t="shared" si="131"/>
        <v>0</v>
      </c>
      <c r="W80" s="47">
        <f t="shared" si="131"/>
        <v>0</v>
      </c>
      <c r="X80" s="47">
        <f t="shared" si="131"/>
        <v>0</v>
      </c>
      <c r="Y80" s="47">
        <f t="shared" si="131"/>
        <v>0</v>
      </c>
      <c r="Z80" s="47">
        <f t="shared" si="131"/>
        <v>0</v>
      </c>
      <c r="AA80" s="47">
        <f t="shared" si="131"/>
        <v>0</v>
      </c>
      <c r="AB80" s="47">
        <f t="shared" si="131"/>
        <v>0</v>
      </c>
      <c r="AC80" s="47">
        <f t="shared" si="131"/>
        <v>0</v>
      </c>
      <c r="AD80" s="47">
        <f t="shared" si="131"/>
        <v>0</v>
      </c>
      <c r="AE80" s="47">
        <f t="shared" si="131"/>
        <v>0</v>
      </c>
      <c r="AF80" s="829"/>
      <c r="AG80" s="757"/>
    </row>
    <row r="81" spans="1:33" s="10" customFormat="1" ht="18.75" x14ac:dyDescent="0.3">
      <c r="A81" s="13" t="s">
        <v>33</v>
      </c>
      <c r="B81" s="47">
        <f>J81+P81</f>
        <v>109</v>
      </c>
      <c r="C81" s="47">
        <f>H81+J81+L81</f>
        <v>1</v>
      </c>
      <c r="D81" s="751">
        <f>K81+M81+O81+Q81+S81+U81+W81+Y81+AA81+AC81+AE81</f>
        <v>1</v>
      </c>
      <c r="E81" s="32">
        <f>I81+K81+M81+O81+Q81+S81+U81+W81+Y81+AA81+AC81+AE81</f>
        <v>1</v>
      </c>
      <c r="F81" s="47">
        <f>E81/B81*100</f>
        <v>0.91743119266055051</v>
      </c>
      <c r="G81" s="47">
        <f t="shared" ref="G81" si="132">E81/C81*100</f>
        <v>100</v>
      </c>
      <c r="H81" s="751">
        <f>H82</f>
        <v>0</v>
      </c>
      <c r="I81" s="751">
        <f t="shared" ref="I81:AE81" si="133">I82</f>
        <v>0</v>
      </c>
      <c r="J81" s="47">
        <v>1</v>
      </c>
      <c r="K81" s="47">
        <v>1</v>
      </c>
      <c r="L81" s="751">
        <v>0</v>
      </c>
      <c r="M81" s="751">
        <f t="shared" si="133"/>
        <v>0</v>
      </c>
      <c r="N81" s="751">
        <f t="shared" si="133"/>
        <v>0</v>
      </c>
      <c r="O81" s="751">
        <f t="shared" si="133"/>
        <v>0</v>
      </c>
      <c r="P81" s="47">
        <v>108</v>
      </c>
      <c r="Q81" s="47"/>
      <c r="R81" s="751">
        <f t="shared" si="133"/>
        <v>0</v>
      </c>
      <c r="S81" s="751">
        <f t="shared" si="133"/>
        <v>0</v>
      </c>
      <c r="T81" s="751">
        <f t="shared" si="133"/>
        <v>0</v>
      </c>
      <c r="U81" s="751">
        <f t="shared" si="133"/>
        <v>0</v>
      </c>
      <c r="V81" s="751">
        <f t="shared" si="133"/>
        <v>0</v>
      </c>
      <c r="W81" s="751">
        <f t="shared" si="133"/>
        <v>0</v>
      </c>
      <c r="X81" s="751">
        <f t="shared" si="133"/>
        <v>0</v>
      </c>
      <c r="Y81" s="751">
        <f t="shared" si="133"/>
        <v>0</v>
      </c>
      <c r="Z81" s="751">
        <f t="shared" si="133"/>
        <v>0</v>
      </c>
      <c r="AA81" s="751">
        <f t="shared" si="133"/>
        <v>0</v>
      </c>
      <c r="AB81" s="751">
        <f t="shared" si="133"/>
        <v>0</v>
      </c>
      <c r="AC81" s="751">
        <f t="shared" si="133"/>
        <v>0</v>
      </c>
      <c r="AD81" s="751">
        <f t="shared" si="133"/>
        <v>0</v>
      </c>
      <c r="AE81" s="751">
        <f t="shared" si="133"/>
        <v>0</v>
      </c>
      <c r="AF81" s="47"/>
      <c r="AG81" s="757"/>
    </row>
    <row r="82" spans="1:33" s="10" customFormat="1" ht="56.25" x14ac:dyDescent="0.3">
      <c r="A82" s="14" t="s">
        <v>118</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757">
        <f>C81-E81</f>
        <v>0</v>
      </c>
    </row>
    <row r="83" spans="1:33" s="10" customFormat="1" ht="18.75" x14ac:dyDescent="0.3">
      <c r="A83" s="13" t="s">
        <v>31</v>
      </c>
      <c r="B83" s="47">
        <f>B84</f>
        <v>81.099999999999994</v>
      </c>
      <c r="C83" s="751">
        <f t="shared" ref="C83:E83" si="134">C84</f>
        <v>0</v>
      </c>
      <c r="D83" s="751">
        <f t="shared" si="134"/>
        <v>0</v>
      </c>
      <c r="E83" s="751">
        <f t="shared" si="134"/>
        <v>0</v>
      </c>
      <c r="F83" s="751">
        <f>E83/B83*100</f>
        <v>0</v>
      </c>
      <c r="G83" s="47" t="e">
        <f>E83/C83*100</f>
        <v>#DIV/0!</v>
      </c>
      <c r="H83" s="751">
        <f>H84</f>
        <v>0</v>
      </c>
      <c r="I83" s="751">
        <f t="shared" ref="I83:AE84" si="135">I84</f>
        <v>0</v>
      </c>
      <c r="J83" s="751">
        <f t="shared" si="135"/>
        <v>0</v>
      </c>
      <c r="K83" s="751">
        <f t="shared" si="135"/>
        <v>0</v>
      </c>
      <c r="L83" s="751">
        <f t="shared" si="135"/>
        <v>0</v>
      </c>
      <c r="M83" s="751">
        <f t="shared" si="135"/>
        <v>0</v>
      </c>
      <c r="N83" s="751">
        <f t="shared" si="135"/>
        <v>0</v>
      </c>
      <c r="O83" s="751">
        <f t="shared" si="135"/>
        <v>0</v>
      </c>
      <c r="P83" s="751">
        <f t="shared" si="135"/>
        <v>0</v>
      </c>
      <c r="Q83" s="751">
        <f t="shared" si="135"/>
        <v>0</v>
      </c>
      <c r="R83" s="751">
        <f t="shared" si="135"/>
        <v>0</v>
      </c>
      <c r="S83" s="751">
        <f t="shared" si="135"/>
        <v>0</v>
      </c>
      <c r="T83" s="751">
        <f t="shared" si="135"/>
        <v>0</v>
      </c>
      <c r="U83" s="751">
        <f t="shared" si="135"/>
        <v>0</v>
      </c>
      <c r="V83" s="751">
        <f t="shared" si="135"/>
        <v>0</v>
      </c>
      <c r="W83" s="751">
        <f t="shared" si="135"/>
        <v>0</v>
      </c>
      <c r="X83" s="751">
        <f t="shared" si="135"/>
        <v>0</v>
      </c>
      <c r="Y83" s="751">
        <f t="shared" si="135"/>
        <v>0</v>
      </c>
      <c r="Z83" s="47">
        <f t="shared" si="135"/>
        <v>81.099999999999994</v>
      </c>
      <c r="AA83" s="47">
        <f t="shared" si="135"/>
        <v>0</v>
      </c>
      <c r="AB83" s="751">
        <f t="shared" si="135"/>
        <v>0</v>
      </c>
      <c r="AC83" s="751">
        <f t="shared" si="135"/>
        <v>0</v>
      </c>
      <c r="AD83" s="751">
        <f t="shared" si="135"/>
        <v>0</v>
      </c>
      <c r="AE83" s="751">
        <f t="shared" si="135"/>
        <v>0</v>
      </c>
      <c r="AF83" s="47"/>
      <c r="AG83" s="757"/>
    </row>
    <row r="84" spans="1:33" s="10" customFormat="1" ht="18.75" x14ac:dyDescent="0.3">
      <c r="A84" s="13" t="s">
        <v>33</v>
      </c>
      <c r="B84" s="47">
        <f>H84+J84+L84+N84+P84+R84+T84+V84+X84+Z84+AB84+AD84</f>
        <v>81.099999999999994</v>
      </c>
      <c r="C84" s="751">
        <f>H84</f>
        <v>0</v>
      </c>
      <c r="D84" s="751">
        <f>I84+K84+M84+O84+Q84+S84+U84+W84+Y84+AA84+AC84+AE84</f>
        <v>0</v>
      </c>
      <c r="E84" s="32">
        <f>I84+K84+M84+O84+Q84+S84+U84+W84+Y84+AA84+AC84+AE84</f>
        <v>0</v>
      </c>
      <c r="F84" s="751">
        <f t="shared" ref="F84" si="136">D84/B84*100</f>
        <v>0</v>
      </c>
      <c r="G84" s="47" t="e">
        <f t="shared" ref="G84" si="137">E84/C84*100</f>
        <v>#DIV/0!</v>
      </c>
      <c r="H84" s="751">
        <f>H85</f>
        <v>0</v>
      </c>
      <c r="I84" s="751">
        <f t="shared" si="135"/>
        <v>0</v>
      </c>
      <c r="J84" s="751">
        <f t="shared" si="135"/>
        <v>0</v>
      </c>
      <c r="K84" s="751">
        <f t="shared" si="135"/>
        <v>0</v>
      </c>
      <c r="L84" s="751">
        <f t="shared" si="135"/>
        <v>0</v>
      </c>
      <c r="M84" s="751">
        <f t="shared" si="135"/>
        <v>0</v>
      </c>
      <c r="N84" s="751">
        <f t="shared" si="135"/>
        <v>0</v>
      </c>
      <c r="O84" s="751">
        <f t="shared" si="135"/>
        <v>0</v>
      </c>
      <c r="P84" s="751">
        <f t="shared" si="135"/>
        <v>0</v>
      </c>
      <c r="Q84" s="751">
        <f t="shared" si="135"/>
        <v>0</v>
      </c>
      <c r="R84" s="751">
        <f t="shared" si="135"/>
        <v>0</v>
      </c>
      <c r="S84" s="751">
        <f t="shared" si="135"/>
        <v>0</v>
      </c>
      <c r="T84" s="751">
        <f t="shared" si="135"/>
        <v>0</v>
      </c>
      <c r="U84" s="751">
        <f t="shared" si="135"/>
        <v>0</v>
      </c>
      <c r="V84" s="751">
        <f t="shared" si="135"/>
        <v>0</v>
      </c>
      <c r="W84" s="751">
        <f t="shared" si="135"/>
        <v>0</v>
      </c>
      <c r="X84" s="751">
        <f t="shared" si="135"/>
        <v>0</v>
      </c>
      <c r="Y84" s="751">
        <f t="shared" si="135"/>
        <v>0</v>
      </c>
      <c r="Z84" s="47">
        <v>81.099999999999994</v>
      </c>
      <c r="AA84" s="47"/>
      <c r="AB84" s="751">
        <f t="shared" si="135"/>
        <v>0</v>
      </c>
      <c r="AC84" s="751">
        <f t="shared" si="135"/>
        <v>0</v>
      </c>
      <c r="AD84" s="751">
        <f t="shared" si="135"/>
        <v>0</v>
      </c>
      <c r="AE84" s="751">
        <f t="shared" si="135"/>
        <v>0</v>
      </c>
      <c r="AF84" s="47"/>
      <c r="AG84" s="757"/>
    </row>
    <row r="85" spans="1:33" s="10" customFormat="1" ht="112.5" x14ac:dyDescent="0.3">
      <c r="A85" s="14" t="s">
        <v>119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757"/>
    </row>
    <row r="86" spans="1:33" s="10" customFormat="1" ht="18.75" x14ac:dyDescent="0.3">
      <c r="A86" s="13" t="s">
        <v>31</v>
      </c>
      <c r="B86" s="47">
        <f>B87</f>
        <v>170</v>
      </c>
      <c r="C86" s="751">
        <f t="shared" ref="C86:E87" si="138">C87</f>
        <v>0</v>
      </c>
      <c r="D86" s="751">
        <f t="shared" si="138"/>
        <v>0</v>
      </c>
      <c r="E86" s="751">
        <f t="shared" si="138"/>
        <v>0</v>
      </c>
      <c r="F86" s="751">
        <f>E86/B86*100</f>
        <v>0</v>
      </c>
      <c r="G86" s="47" t="e">
        <f>E86/C86*100</f>
        <v>#DIV/0!</v>
      </c>
      <c r="H86" s="751">
        <v>0</v>
      </c>
      <c r="I86" s="751">
        <v>0</v>
      </c>
      <c r="J86" s="751">
        <v>0</v>
      </c>
      <c r="K86" s="751">
        <v>0</v>
      </c>
      <c r="L86" s="751">
        <v>0</v>
      </c>
      <c r="M86" s="751">
        <v>0</v>
      </c>
      <c r="N86" s="751">
        <v>0</v>
      </c>
      <c r="O86" s="751">
        <v>0</v>
      </c>
      <c r="P86" s="751">
        <v>0</v>
      </c>
      <c r="Q86" s="751">
        <v>0</v>
      </c>
      <c r="R86" s="751">
        <v>0</v>
      </c>
      <c r="S86" s="751">
        <v>0</v>
      </c>
      <c r="T86" s="751">
        <v>0</v>
      </c>
      <c r="U86" s="751">
        <v>0</v>
      </c>
      <c r="V86" s="751">
        <v>0</v>
      </c>
      <c r="W86" s="751">
        <v>0</v>
      </c>
      <c r="X86" s="751">
        <v>0</v>
      </c>
      <c r="Y86" s="751">
        <v>0</v>
      </c>
      <c r="Z86" s="751">
        <v>0</v>
      </c>
      <c r="AA86" s="751">
        <v>0</v>
      </c>
      <c r="AB86" s="751">
        <v>0</v>
      </c>
      <c r="AC86" s="751">
        <v>0</v>
      </c>
      <c r="AD86" s="47">
        <f>AD87</f>
        <v>170</v>
      </c>
      <c r="AE86" s="47"/>
      <c r="AF86" s="47"/>
      <c r="AG86" s="757"/>
    </row>
    <row r="87" spans="1:33" s="10" customFormat="1" ht="18.75" x14ac:dyDescent="0.3">
      <c r="A87" s="13" t="s">
        <v>33</v>
      </c>
      <c r="B87" s="47">
        <f>H87+J87+L87+N87+P87+R87+T87+V87+X87+Z87+AB87+AD87</f>
        <v>170</v>
      </c>
      <c r="C87" s="751">
        <f>H87</f>
        <v>0</v>
      </c>
      <c r="D87" s="751">
        <f t="shared" si="138"/>
        <v>0</v>
      </c>
      <c r="E87" s="32">
        <f>I87+K87+M87+O87+Q87+S87+U87+W87+Y87+AA87+AC87+AE87</f>
        <v>0</v>
      </c>
      <c r="F87" s="751">
        <f t="shared" ref="F87" si="139">D87/B87*100</f>
        <v>0</v>
      </c>
      <c r="G87" s="47" t="e">
        <f t="shared" ref="G87" si="140">E87/C87*100</f>
        <v>#DIV/0!</v>
      </c>
      <c r="H87" s="751">
        <v>0</v>
      </c>
      <c r="I87" s="751">
        <v>0</v>
      </c>
      <c r="J87" s="751">
        <v>0</v>
      </c>
      <c r="K87" s="751">
        <v>0</v>
      </c>
      <c r="L87" s="751">
        <v>0</v>
      </c>
      <c r="M87" s="751">
        <v>0</v>
      </c>
      <c r="N87" s="751">
        <v>0</v>
      </c>
      <c r="O87" s="751">
        <v>0</v>
      </c>
      <c r="P87" s="751">
        <v>0</v>
      </c>
      <c r="Q87" s="751">
        <v>0</v>
      </c>
      <c r="R87" s="751">
        <v>0</v>
      </c>
      <c r="S87" s="751">
        <v>0</v>
      </c>
      <c r="T87" s="751">
        <v>0</v>
      </c>
      <c r="U87" s="751">
        <v>0</v>
      </c>
      <c r="V87" s="751">
        <v>0</v>
      </c>
      <c r="W87" s="751">
        <v>0</v>
      </c>
      <c r="X87" s="751">
        <v>0</v>
      </c>
      <c r="Y87" s="751">
        <v>0</v>
      </c>
      <c r="Z87" s="751">
        <v>0</v>
      </c>
      <c r="AA87" s="751">
        <v>0</v>
      </c>
      <c r="AB87" s="751">
        <v>0</v>
      </c>
      <c r="AC87" s="751">
        <v>0</v>
      </c>
      <c r="AD87" s="47">
        <v>170</v>
      </c>
      <c r="AE87" s="47"/>
      <c r="AF87" s="47"/>
      <c r="AG87" s="757"/>
    </row>
    <row r="88" spans="1:33" s="10" customFormat="1" ht="375" x14ac:dyDescent="0.3">
      <c r="A88" s="14" t="s">
        <v>120</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757"/>
    </row>
    <row r="89" spans="1:33" s="10" customFormat="1" ht="18.75" x14ac:dyDescent="0.3">
      <c r="A89" s="13" t="s">
        <v>31</v>
      </c>
      <c r="B89" s="47">
        <f>B90</f>
        <v>20.7</v>
      </c>
      <c r="C89" s="751">
        <f t="shared" ref="C89:E89" si="141">C90</f>
        <v>10.629999999999999</v>
      </c>
      <c r="D89" s="751">
        <f t="shared" si="141"/>
        <v>10.629999999999999</v>
      </c>
      <c r="E89" s="751">
        <f t="shared" si="141"/>
        <v>10.629999999999999</v>
      </c>
      <c r="F89" s="751">
        <f>E89/B89*100</f>
        <v>51.352657004830917</v>
      </c>
      <c r="G89" s="47">
        <f>E89/C89*100</f>
        <v>100</v>
      </c>
      <c r="H89" s="751">
        <f>H90</f>
        <v>0</v>
      </c>
      <c r="I89" s="751">
        <f t="shared" ref="I89:AE90" si="142">I90</f>
        <v>0</v>
      </c>
      <c r="J89" s="47">
        <f t="shared" si="142"/>
        <v>7.27</v>
      </c>
      <c r="K89" s="47">
        <f t="shared" si="142"/>
        <v>7.27</v>
      </c>
      <c r="L89" s="47">
        <f t="shared" si="142"/>
        <v>3.36</v>
      </c>
      <c r="M89" s="47">
        <f t="shared" si="142"/>
        <v>3.36</v>
      </c>
      <c r="N89" s="751">
        <f t="shared" si="142"/>
        <v>0</v>
      </c>
      <c r="O89" s="751">
        <f t="shared" si="142"/>
        <v>0</v>
      </c>
      <c r="P89" s="751">
        <f t="shared" si="142"/>
        <v>0</v>
      </c>
      <c r="Q89" s="751">
        <f t="shared" si="142"/>
        <v>0</v>
      </c>
      <c r="R89" s="47">
        <f t="shared" si="142"/>
        <v>3.36</v>
      </c>
      <c r="S89" s="751">
        <f t="shared" si="142"/>
        <v>0</v>
      </c>
      <c r="T89" s="751">
        <f t="shared" si="142"/>
        <v>0</v>
      </c>
      <c r="U89" s="751">
        <f t="shared" si="142"/>
        <v>0</v>
      </c>
      <c r="V89" s="751">
        <f t="shared" si="142"/>
        <v>0</v>
      </c>
      <c r="W89" s="751">
        <f t="shared" si="142"/>
        <v>0</v>
      </c>
      <c r="X89" s="47">
        <f t="shared" si="142"/>
        <v>3.36</v>
      </c>
      <c r="Y89" s="751">
        <f t="shared" si="142"/>
        <v>0</v>
      </c>
      <c r="Z89" s="751">
        <f t="shared" si="142"/>
        <v>0</v>
      </c>
      <c r="AA89" s="751">
        <f t="shared" si="142"/>
        <v>0</v>
      </c>
      <c r="AB89" s="47">
        <f t="shared" si="142"/>
        <v>3.35</v>
      </c>
      <c r="AC89" s="751">
        <f t="shared" si="142"/>
        <v>0</v>
      </c>
      <c r="AD89" s="751">
        <f t="shared" si="142"/>
        <v>0</v>
      </c>
      <c r="AE89" s="751">
        <f t="shared" si="142"/>
        <v>0</v>
      </c>
      <c r="AF89" s="47"/>
      <c r="AG89" s="757"/>
    </row>
    <row r="90" spans="1:33" s="10" customFormat="1" ht="18.75" x14ac:dyDescent="0.3">
      <c r="A90" s="13" t="s">
        <v>33</v>
      </c>
      <c r="B90" s="47">
        <f>H90+J90+L90+N90+P90+R90+T90+V90+X90+Z90+AB90+AD90</f>
        <v>20.7</v>
      </c>
      <c r="C90" s="751">
        <f>H90+J90+L90</f>
        <v>10.629999999999999</v>
      </c>
      <c r="D90" s="751">
        <f>K90+M90</f>
        <v>10.629999999999999</v>
      </c>
      <c r="E90" s="32">
        <f>I90+K90+M90+O90+Q90+S90+U90+W90+Y90+AA90+AC90+AE90</f>
        <v>10.629999999999999</v>
      </c>
      <c r="F90" s="751">
        <f t="shared" ref="F90" si="143">D90/B90*100</f>
        <v>51.352657004830917</v>
      </c>
      <c r="G90" s="47">
        <f t="shared" ref="G90" si="144">E90/C90*100</f>
        <v>100</v>
      </c>
      <c r="H90" s="751">
        <f>H91</f>
        <v>0</v>
      </c>
      <c r="I90" s="751">
        <f t="shared" si="142"/>
        <v>0</v>
      </c>
      <c r="J90" s="47">
        <v>7.27</v>
      </c>
      <c r="K90" s="47">
        <v>7.27</v>
      </c>
      <c r="L90" s="47">
        <v>3.36</v>
      </c>
      <c r="M90" s="47">
        <v>3.36</v>
      </c>
      <c r="N90" s="751">
        <v>0</v>
      </c>
      <c r="O90" s="751">
        <v>0</v>
      </c>
      <c r="P90" s="751">
        <v>0</v>
      </c>
      <c r="Q90" s="751">
        <v>0</v>
      </c>
      <c r="R90" s="47">
        <v>3.36</v>
      </c>
      <c r="S90" s="751">
        <f t="shared" si="142"/>
        <v>0</v>
      </c>
      <c r="T90" s="751">
        <v>0</v>
      </c>
      <c r="U90" s="751">
        <f t="shared" si="142"/>
        <v>0</v>
      </c>
      <c r="V90" s="751">
        <v>0</v>
      </c>
      <c r="W90" s="751">
        <v>0</v>
      </c>
      <c r="X90" s="47">
        <v>3.36</v>
      </c>
      <c r="Y90" s="751">
        <v>0</v>
      </c>
      <c r="Z90" s="751">
        <v>0</v>
      </c>
      <c r="AA90" s="751">
        <v>0</v>
      </c>
      <c r="AB90" s="47">
        <v>3.35</v>
      </c>
      <c r="AC90" s="751">
        <v>0</v>
      </c>
      <c r="AD90" s="751">
        <v>0</v>
      </c>
      <c r="AE90" s="751">
        <v>0</v>
      </c>
      <c r="AF90" s="47"/>
      <c r="AG90" s="757"/>
    </row>
    <row r="91" spans="1:33" s="10" customFormat="1" ht="56.25" x14ac:dyDescent="0.3">
      <c r="A91" s="14" t="s">
        <v>121</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757"/>
    </row>
    <row r="92" spans="1:33" s="10" customFormat="1" ht="18.75" x14ac:dyDescent="0.3">
      <c r="A92" s="13" t="s">
        <v>31</v>
      </c>
      <c r="B92" s="47">
        <f>B93</f>
        <v>5.2</v>
      </c>
      <c r="C92" s="751">
        <f t="shared" ref="C92:E92" si="145">C93</f>
        <v>5.2</v>
      </c>
      <c r="D92" s="751">
        <f t="shared" si="145"/>
        <v>5.2</v>
      </c>
      <c r="E92" s="751">
        <f t="shared" si="145"/>
        <v>5.2</v>
      </c>
      <c r="F92" s="751">
        <f>E92/B92*100</f>
        <v>100</v>
      </c>
      <c r="G92" s="47">
        <f>E92/C92*100</f>
        <v>100</v>
      </c>
      <c r="H92" s="751">
        <f>H93</f>
        <v>0</v>
      </c>
      <c r="I92" s="751">
        <f t="shared" ref="I92:AE92" si="146">I93</f>
        <v>0</v>
      </c>
      <c r="J92" s="47">
        <f t="shared" si="146"/>
        <v>5.2</v>
      </c>
      <c r="K92" s="47">
        <f t="shared" si="146"/>
        <v>5.2</v>
      </c>
      <c r="L92" s="751">
        <f t="shared" si="146"/>
        <v>0</v>
      </c>
      <c r="M92" s="751">
        <f t="shared" si="146"/>
        <v>0</v>
      </c>
      <c r="N92" s="751">
        <f t="shared" si="146"/>
        <v>0</v>
      </c>
      <c r="O92" s="751">
        <f t="shared" si="146"/>
        <v>0</v>
      </c>
      <c r="P92" s="751">
        <f t="shared" si="146"/>
        <v>0</v>
      </c>
      <c r="Q92" s="751">
        <f t="shared" si="146"/>
        <v>0</v>
      </c>
      <c r="R92" s="751">
        <f t="shared" si="146"/>
        <v>0</v>
      </c>
      <c r="S92" s="751">
        <f t="shared" si="146"/>
        <v>0</v>
      </c>
      <c r="T92" s="751">
        <f t="shared" si="146"/>
        <v>0</v>
      </c>
      <c r="U92" s="751">
        <f t="shared" si="146"/>
        <v>0</v>
      </c>
      <c r="V92" s="751">
        <f t="shared" si="146"/>
        <v>0</v>
      </c>
      <c r="W92" s="751">
        <f t="shared" si="146"/>
        <v>0</v>
      </c>
      <c r="X92" s="751">
        <f t="shared" si="146"/>
        <v>0</v>
      </c>
      <c r="Y92" s="751">
        <f t="shared" si="146"/>
        <v>0</v>
      </c>
      <c r="Z92" s="751">
        <f t="shared" si="146"/>
        <v>0</v>
      </c>
      <c r="AA92" s="751">
        <f t="shared" si="146"/>
        <v>0</v>
      </c>
      <c r="AB92" s="751">
        <f t="shared" si="146"/>
        <v>0</v>
      </c>
      <c r="AC92" s="751">
        <f t="shared" si="146"/>
        <v>0</v>
      </c>
      <c r="AD92" s="751">
        <f t="shared" si="146"/>
        <v>0</v>
      </c>
      <c r="AE92" s="751">
        <f t="shared" si="146"/>
        <v>0</v>
      </c>
      <c r="AF92" s="47"/>
      <c r="AG92" s="757"/>
    </row>
    <row r="93" spans="1:33" s="10" customFormat="1" ht="18.75" x14ac:dyDescent="0.3">
      <c r="A93" s="13" t="s">
        <v>33</v>
      </c>
      <c r="B93" s="47">
        <f>H93+J93+L93+N93+P93+R93+T93+V93+X93+Z93+AB93+AD93</f>
        <v>5.2</v>
      </c>
      <c r="C93" s="751">
        <f>H93+J93+L93</f>
        <v>5.2</v>
      </c>
      <c r="D93" s="751">
        <f>K93</f>
        <v>5.2</v>
      </c>
      <c r="E93" s="32">
        <f>I93+K93+M93+O93+Q93+S93+U93+W93+Y93+AA93+AC93+AE93</f>
        <v>5.2</v>
      </c>
      <c r="F93" s="751">
        <f t="shared" ref="F93" si="147">D93/B93*100</f>
        <v>100</v>
      </c>
      <c r="G93" s="47">
        <f t="shared" ref="G93" si="148">E93/C93*100</f>
        <v>100</v>
      </c>
      <c r="H93" s="751">
        <v>0</v>
      </c>
      <c r="I93" s="751">
        <v>0</v>
      </c>
      <c r="J93" s="47">
        <v>5.2</v>
      </c>
      <c r="K93" s="47">
        <v>5.2</v>
      </c>
      <c r="L93" s="751">
        <v>0</v>
      </c>
      <c r="M93" s="751">
        <v>0</v>
      </c>
      <c r="N93" s="751">
        <v>0</v>
      </c>
      <c r="O93" s="751">
        <v>0</v>
      </c>
      <c r="P93" s="751">
        <v>0</v>
      </c>
      <c r="Q93" s="751">
        <v>0</v>
      </c>
      <c r="R93" s="751">
        <v>0</v>
      </c>
      <c r="S93" s="751">
        <v>0</v>
      </c>
      <c r="T93" s="751">
        <v>0</v>
      </c>
      <c r="U93" s="751">
        <v>0</v>
      </c>
      <c r="V93" s="751">
        <v>0</v>
      </c>
      <c r="W93" s="751">
        <v>0</v>
      </c>
      <c r="X93" s="751">
        <v>0</v>
      </c>
      <c r="Y93" s="751">
        <v>0</v>
      </c>
      <c r="Z93" s="751">
        <v>0</v>
      </c>
      <c r="AA93" s="751">
        <v>0</v>
      </c>
      <c r="AB93" s="751">
        <v>0</v>
      </c>
      <c r="AC93" s="751">
        <v>0</v>
      </c>
      <c r="AD93" s="751">
        <v>0</v>
      </c>
      <c r="AE93" s="751">
        <v>0</v>
      </c>
      <c r="AF93" s="47"/>
      <c r="AG93" s="757"/>
    </row>
    <row r="94" spans="1:33" s="10" customFormat="1" ht="56.25" x14ac:dyDescent="0.3">
      <c r="A94" s="14" t="s">
        <v>122</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757"/>
    </row>
    <row r="95" spans="1:33" s="10" customFormat="1" ht="18.75" x14ac:dyDescent="0.3">
      <c r="A95" s="13" t="s">
        <v>31</v>
      </c>
      <c r="B95" s="47">
        <f>B96</f>
        <v>240</v>
      </c>
      <c r="C95" s="751">
        <f t="shared" ref="C95:E95" si="149">C96</f>
        <v>0</v>
      </c>
      <c r="D95" s="751">
        <f t="shared" si="149"/>
        <v>0</v>
      </c>
      <c r="E95" s="751">
        <f t="shared" si="149"/>
        <v>0</v>
      </c>
      <c r="F95" s="751">
        <f>E95/B95*100</f>
        <v>0</v>
      </c>
      <c r="G95" s="47" t="e">
        <f>E95/C95*100</f>
        <v>#DIV/0!</v>
      </c>
      <c r="H95" s="751">
        <f>H96</f>
        <v>0</v>
      </c>
      <c r="I95" s="751">
        <f t="shared" ref="I95:AE96" si="150">I96</f>
        <v>0</v>
      </c>
      <c r="J95" s="751">
        <f t="shared" si="150"/>
        <v>0</v>
      </c>
      <c r="K95" s="751">
        <f t="shared" si="150"/>
        <v>0</v>
      </c>
      <c r="L95" s="751">
        <f t="shared" si="150"/>
        <v>0</v>
      </c>
      <c r="M95" s="751">
        <f t="shared" si="150"/>
        <v>0</v>
      </c>
      <c r="N95" s="751">
        <f t="shared" si="150"/>
        <v>0</v>
      </c>
      <c r="O95" s="751">
        <f t="shared" si="150"/>
        <v>0</v>
      </c>
      <c r="P95" s="751">
        <f t="shared" si="150"/>
        <v>0</v>
      </c>
      <c r="Q95" s="751">
        <f t="shared" si="150"/>
        <v>0</v>
      </c>
      <c r="R95" s="751">
        <f t="shared" si="150"/>
        <v>0</v>
      </c>
      <c r="S95" s="751">
        <f t="shared" si="150"/>
        <v>0</v>
      </c>
      <c r="T95" s="751">
        <f t="shared" si="150"/>
        <v>0</v>
      </c>
      <c r="U95" s="751">
        <f t="shared" si="150"/>
        <v>0</v>
      </c>
      <c r="V95" s="751">
        <f t="shared" si="150"/>
        <v>0</v>
      </c>
      <c r="W95" s="751">
        <f t="shared" si="150"/>
        <v>0</v>
      </c>
      <c r="X95" s="751">
        <f t="shared" si="150"/>
        <v>0</v>
      </c>
      <c r="Y95" s="751">
        <f t="shared" si="150"/>
        <v>0</v>
      </c>
      <c r="Z95" s="47">
        <f t="shared" si="150"/>
        <v>240</v>
      </c>
      <c r="AA95" s="751">
        <f t="shared" si="150"/>
        <v>0</v>
      </c>
      <c r="AB95" s="751">
        <f t="shared" si="150"/>
        <v>0</v>
      </c>
      <c r="AC95" s="751">
        <f t="shared" si="150"/>
        <v>0</v>
      </c>
      <c r="AD95" s="751">
        <f t="shared" si="150"/>
        <v>0</v>
      </c>
      <c r="AE95" s="751">
        <f t="shared" si="150"/>
        <v>0</v>
      </c>
      <c r="AF95" s="47"/>
      <c r="AG95" s="757"/>
    </row>
    <row r="96" spans="1:33" s="10" customFormat="1" ht="18.75" x14ac:dyDescent="0.3">
      <c r="A96" s="13" t="s">
        <v>33</v>
      </c>
      <c r="B96" s="47">
        <f>H96+J96+L96+N96+P96+R96+T96+V96+X96+Z96+AB96+AD96</f>
        <v>240</v>
      </c>
      <c r="C96" s="751">
        <f>H96</f>
        <v>0</v>
      </c>
      <c r="D96" s="751">
        <f>AA96</f>
        <v>0</v>
      </c>
      <c r="E96" s="32">
        <f>I96+K96+M96+O96+Q96+S96+U96+W96+Y96+AA96+AC96+AE96</f>
        <v>0</v>
      </c>
      <c r="F96" s="751">
        <f t="shared" ref="F96" si="151">D96/B96*100</f>
        <v>0</v>
      </c>
      <c r="G96" s="47" t="e">
        <f t="shared" ref="G96" si="152">E96/C96*100</f>
        <v>#DIV/0!</v>
      </c>
      <c r="H96" s="751">
        <f>H97</f>
        <v>0</v>
      </c>
      <c r="I96" s="751">
        <f t="shared" si="150"/>
        <v>0</v>
      </c>
      <c r="J96" s="751">
        <f t="shared" si="150"/>
        <v>0</v>
      </c>
      <c r="K96" s="751">
        <f t="shared" si="150"/>
        <v>0</v>
      </c>
      <c r="L96" s="751">
        <f t="shared" si="150"/>
        <v>0</v>
      </c>
      <c r="M96" s="751">
        <f t="shared" si="150"/>
        <v>0</v>
      </c>
      <c r="N96" s="751">
        <f t="shared" si="150"/>
        <v>0</v>
      </c>
      <c r="O96" s="751">
        <f t="shared" si="150"/>
        <v>0</v>
      </c>
      <c r="P96" s="751">
        <f t="shared" si="150"/>
        <v>0</v>
      </c>
      <c r="Q96" s="751">
        <f t="shared" si="150"/>
        <v>0</v>
      </c>
      <c r="R96" s="751">
        <f t="shared" si="150"/>
        <v>0</v>
      </c>
      <c r="S96" s="751">
        <f t="shared" si="150"/>
        <v>0</v>
      </c>
      <c r="T96" s="751">
        <f t="shared" si="150"/>
        <v>0</v>
      </c>
      <c r="U96" s="751">
        <f t="shared" si="150"/>
        <v>0</v>
      </c>
      <c r="V96" s="751">
        <f t="shared" si="150"/>
        <v>0</v>
      </c>
      <c r="W96" s="751">
        <f t="shared" si="150"/>
        <v>0</v>
      </c>
      <c r="X96" s="751">
        <f t="shared" si="150"/>
        <v>0</v>
      </c>
      <c r="Y96" s="751">
        <f t="shared" si="150"/>
        <v>0</v>
      </c>
      <c r="Z96" s="47">
        <v>240</v>
      </c>
      <c r="AA96" s="751">
        <f t="shared" si="150"/>
        <v>0</v>
      </c>
      <c r="AB96" s="751">
        <f t="shared" si="150"/>
        <v>0</v>
      </c>
      <c r="AC96" s="751">
        <f t="shared" si="150"/>
        <v>0</v>
      </c>
      <c r="AD96" s="751">
        <f t="shared" si="150"/>
        <v>0</v>
      </c>
      <c r="AE96" s="751">
        <f t="shared" si="150"/>
        <v>0</v>
      </c>
      <c r="AF96" s="47"/>
      <c r="AG96" s="757"/>
    </row>
    <row r="97" spans="1:33" ht="18.75" x14ac:dyDescent="0.3">
      <c r="A97" s="56" t="s">
        <v>35</v>
      </c>
      <c r="B97" s="47"/>
      <c r="C97" s="32"/>
      <c r="D97" s="32"/>
      <c r="E97" s="32"/>
      <c r="F97" s="32"/>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757"/>
    </row>
    <row r="98" spans="1:33" ht="18.75" x14ac:dyDescent="0.3">
      <c r="A98" s="13" t="s">
        <v>31</v>
      </c>
      <c r="B98" s="47">
        <f>B99</f>
        <v>861.19</v>
      </c>
      <c r="C98" s="47">
        <f t="shared" ref="C98:E98" si="153">C99</f>
        <v>167.21999999999997</v>
      </c>
      <c r="D98" s="47">
        <f t="shared" si="153"/>
        <v>167.20999999999998</v>
      </c>
      <c r="E98" s="47">
        <f t="shared" si="153"/>
        <v>167.21</v>
      </c>
      <c r="F98" s="47">
        <f t="shared" ref="F98:F99" si="154">D98/B98*100</f>
        <v>19.416156713384964</v>
      </c>
      <c r="G98" s="47">
        <f t="shared" ref="G98:G99" si="155">E98/C98*100</f>
        <v>99.994019854084456</v>
      </c>
      <c r="H98" s="47">
        <f t="shared" ref="H98:M98" si="156">H99</f>
        <v>0</v>
      </c>
      <c r="I98" s="47">
        <f t="shared" si="156"/>
        <v>0</v>
      </c>
      <c r="J98" s="47">
        <f t="shared" si="156"/>
        <v>162.85999999999999</v>
      </c>
      <c r="K98" s="47">
        <f t="shared" si="156"/>
        <v>163.85</v>
      </c>
      <c r="L98" s="47">
        <f t="shared" si="156"/>
        <v>3.36</v>
      </c>
      <c r="M98" s="47">
        <f t="shared" si="156"/>
        <v>3.36</v>
      </c>
      <c r="N98" s="47">
        <f t="shared" ref="N98:AE98" si="157">N99</f>
        <v>0</v>
      </c>
      <c r="O98" s="47">
        <f t="shared" si="157"/>
        <v>0</v>
      </c>
      <c r="P98" s="47">
        <f t="shared" si="157"/>
        <v>108</v>
      </c>
      <c r="Q98" s="47">
        <f t="shared" si="157"/>
        <v>0</v>
      </c>
      <c r="R98" s="47">
        <f t="shared" si="157"/>
        <v>3.36</v>
      </c>
      <c r="S98" s="47">
        <f t="shared" si="157"/>
        <v>0</v>
      </c>
      <c r="T98" s="47">
        <f t="shared" si="157"/>
        <v>0</v>
      </c>
      <c r="U98" s="47">
        <f t="shared" si="157"/>
        <v>0</v>
      </c>
      <c r="V98" s="47">
        <f t="shared" si="157"/>
        <v>0</v>
      </c>
      <c r="W98" s="47">
        <f t="shared" si="157"/>
        <v>0</v>
      </c>
      <c r="X98" s="47">
        <f t="shared" si="157"/>
        <v>3.36</v>
      </c>
      <c r="Y98" s="47">
        <f t="shared" si="157"/>
        <v>0</v>
      </c>
      <c r="Z98" s="47">
        <f t="shared" si="157"/>
        <v>81.099999999999994</v>
      </c>
      <c r="AA98" s="47">
        <f t="shared" si="157"/>
        <v>0</v>
      </c>
      <c r="AB98" s="47">
        <f t="shared" si="157"/>
        <v>3.35</v>
      </c>
      <c r="AC98" s="47">
        <f t="shared" si="157"/>
        <v>0</v>
      </c>
      <c r="AD98" s="47">
        <f t="shared" si="157"/>
        <v>170</v>
      </c>
      <c r="AE98" s="47">
        <f t="shared" si="157"/>
        <v>0</v>
      </c>
      <c r="AF98" s="47"/>
      <c r="AG98" s="757"/>
    </row>
    <row r="99" spans="1:33" ht="18.75" x14ac:dyDescent="0.3">
      <c r="A99" s="13" t="s">
        <v>33</v>
      </c>
      <c r="B99" s="47">
        <f>B66+B72+B78</f>
        <v>861.19</v>
      </c>
      <c r="C99" s="47">
        <f>C66+C72+C78</f>
        <v>167.21999999999997</v>
      </c>
      <c r="D99" s="47">
        <f>D66+D72+D78</f>
        <v>167.20999999999998</v>
      </c>
      <c r="E99" s="47">
        <f>K99+M99</f>
        <v>167.21</v>
      </c>
      <c r="F99" s="47">
        <f t="shared" si="154"/>
        <v>19.416156713384964</v>
      </c>
      <c r="G99" s="47">
        <f t="shared" si="155"/>
        <v>99.994019854084456</v>
      </c>
      <c r="H99" s="47">
        <f>H66+H72+H78</f>
        <v>0</v>
      </c>
      <c r="I99" s="47"/>
      <c r="J99" s="47">
        <f>J101</f>
        <v>162.85999999999999</v>
      </c>
      <c r="K99" s="47">
        <f>K101</f>
        <v>163.85</v>
      </c>
      <c r="L99" s="47">
        <f>L101</f>
        <v>3.36</v>
      </c>
      <c r="M99" s="47">
        <f>M101</f>
        <v>3.36</v>
      </c>
      <c r="N99" s="47">
        <f>N101</f>
        <v>0</v>
      </c>
      <c r="O99" s="47">
        <f t="shared" ref="O99:AE99" si="158">O101</f>
        <v>0</v>
      </c>
      <c r="P99" s="47">
        <f t="shared" si="158"/>
        <v>108</v>
      </c>
      <c r="Q99" s="47">
        <f t="shared" si="158"/>
        <v>0</v>
      </c>
      <c r="R99" s="47">
        <f t="shared" si="158"/>
        <v>3.36</v>
      </c>
      <c r="S99" s="47">
        <f t="shared" si="158"/>
        <v>0</v>
      </c>
      <c r="T99" s="47">
        <f t="shared" si="158"/>
        <v>0</v>
      </c>
      <c r="U99" s="47">
        <f t="shared" si="158"/>
        <v>0</v>
      </c>
      <c r="V99" s="47">
        <f t="shared" si="158"/>
        <v>0</v>
      </c>
      <c r="W99" s="47">
        <f t="shared" si="158"/>
        <v>0</v>
      </c>
      <c r="X99" s="47">
        <f t="shared" si="158"/>
        <v>3.36</v>
      </c>
      <c r="Y99" s="47">
        <f t="shared" si="158"/>
        <v>0</v>
      </c>
      <c r="Z99" s="47">
        <f t="shared" si="158"/>
        <v>81.099999999999994</v>
      </c>
      <c r="AA99" s="47">
        <f t="shared" si="158"/>
        <v>0</v>
      </c>
      <c r="AB99" s="47">
        <f t="shared" si="158"/>
        <v>3.35</v>
      </c>
      <c r="AC99" s="47">
        <f t="shared" si="158"/>
        <v>0</v>
      </c>
      <c r="AD99" s="47">
        <f t="shared" si="158"/>
        <v>170</v>
      </c>
      <c r="AE99" s="47">
        <f t="shared" si="158"/>
        <v>0</v>
      </c>
      <c r="AF99" s="47"/>
      <c r="AG99" s="757"/>
    </row>
    <row r="100" spans="1:33" ht="37.5" x14ac:dyDescent="0.3">
      <c r="A100" s="28" t="s">
        <v>73</v>
      </c>
      <c r="B100" s="635"/>
      <c r="C100" s="635"/>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29"/>
      <c r="AG100" s="757"/>
    </row>
    <row r="101" spans="1:33" ht="18.75" x14ac:dyDescent="0.3">
      <c r="A101" s="8" t="s">
        <v>31</v>
      </c>
      <c r="B101" s="667">
        <f>B102</f>
        <v>861.19</v>
      </c>
      <c r="C101" s="667">
        <f t="shared" ref="C101:E101" si="159">C102</f>
        <v>167.21999999999997</v>
      </c>
      <c r="D101" s="667">
        <f t="shared" si="159"/>
        <v>167.20999999999998</v>
      </c>
      <c r="E101" s="667">
        <f t="shared" si="159"/>
        <v>167.21</v>
      </c>
      <c r="F101" s="32">
        <f t="shared" ref="F101:F102" si="160">E101/B101*100</f>
        <v>19.416156713384964</v>
      </c>
      <c r="G101" s="47">
        <f t="shared" ref="G101:G102" si="161">E101/C101*100</f>
        <v>99.994019854084456</v>
      </c>
      <c r="H101" s="667">
        <f t="shared" ref="H101:N101" si="162">H102</f>
        <v>0</v>
      </c>
      <c r="I101" s="667">
        <f t="shared" si="162"/>
        <v>0</v>
      </c>
      <c r="J101" s="667">
        <f t="shared" si="162"/>
        <v>162.85999999999999</v>
      </c>
      <c r="K101" s="667">
        <f t="shared" si="162"/>
        <v>163.85</v>
      </c>
      <c r="L101" s="667">
        <f t="shared" si="162"/>
        <v>3.36</v>
      </c>
      <c r="M101" s="667">
        <f t="shared" si="162"/>
        <v>3.36</v>
      </c>
      <c r="N101" s="667">
        <f t="shared" si="162"/>
        <v>0</v>
      </c>
      <c r="O101" s="667">
        <f t="shared" ref="O101:AE101" si="163">O102</f>
        <v>0</v>
      </c>
      <c r="P101" s="667">
        <f t="shared" si="163"/>
        <v>108</v>
      </c>
      <c r="Q101" s="667">
        <f t="shared" si="163"/>
        <v>0</v>
      </c>
      <c r="R101" s="667">
        <f t="shared" si="163"/>
        <v>3.36</v>
      </c>
      <c r="S101" s="667">
        <f t="shared" si="163"/>
        <v>0</v>
      </c>
      <c r="T101" s="667">
        <f t="shared" si="163"/>
        <v>0</v>
      </c>
      <c r="U101" s="667">
        <f t="shared" si="163"/>
        <v>0</v>
      </c>
      <c r="V101" s="667">
        <f t="shared" si="163"/>
        <v>0</v>
      </c>
      <c r="W101" s="667">
        <f t="shared" si="163"/>
        <v>0</v>
      </c>
      <c r="X101" s="667">
        <f t="shared" si="163"/>
        <v>3.36</v>
      </c>
      <c r="Y101" s="667">
        <f t="shared" si="163"/>
        <v>0</v>
      </c>
      <c r="Z101" s="667">
        <f t="shared" si="163"/>
        <v>81.099999999999994</v>
      </c>
      <c r="AA101" s="667">
        <f t="shared" si="163"/>
        <v>0</v>
      </c>
      <c r="AB101" s="667">
        <f t="shared" si="163"/>
        <v>3.35</v>
      </c>
      <c r="AC101" s="667">
        <f t="shared" si="163"/>
        <v>0</v>
      </c>
      <c r="AD101" s="667">
        <f t="shared" si="163"/>
        <v>170</v>
      </c>
      <c r="AE101" s="667">
        <f t="shared" si="163"/>
        <v>0</v>
      </c>
      <c r="AF101" s="29"/>
      <c r="AG101" s="757"/>
    </row>
    <row r="102" spans="1:33" ht="18.75" x14ac:dyDescent="0.3">
      <c r="A102" s="13" t="s">
        <v>33</v>
      </c>
      <c r="B102" s="667">
        <f>B99</f>
        <v>861.19</v>
      </c>
      <c r="C102" s="667">
        <f t="shared" ref="C102:D102" si="164">C99</f>
        <v>167.21999999999997</v>
      </c>
      <c r="D102" s="667">
        <f t="shared" si="164"/>
        <v>167.20999999999998</v>
      </c>
      <c r="E102" s="667">
        <f>E99</f>
        <v>167.21</v>
      </c>
      <c r="F102" s="32">
        <f t="shared" si="160"/>
        <v>19.416156713384964</v>
      </c>
      <c r="G102" s="47">
        <f t="shared" si="161"/>
        <v>99.994019854084456</v>
      </c>
      <c r="H102" s="667">
        <f>H66+H72+H78</f>
        <v>0</v>
      </c>
      <c r="I102" s="667">
        <f>I66+I75+I78</f>
        <v>0</v>
      </c>
      <c r="J102" s="667">
        <f>J69+J78+J90+J93</f>
        <v>162.85999999999999</v>
      </c>
      <c r="K102" s="667">
        <f>K66+K81+K90+K93</f>
        <v>163.85</v>
      </c>
      <c r="L102" s="667">
        <f>L81+L90</f>
        <v>3.36</v>
      </c>
      <c r="M102" s="667">
        <f>M90</f>
        <v>3.36</v>
      </c>
      <c r="N102" s="667">
        <f>N66+N69+N81+N84+N87+N90+N93</f>
        <v>0</v>
      </c>
      <c r="O102" s="667">
        <f t="shared" ref="O102:AE102" si="165">O66+O69+O81+O84+O87+O90+O93</f>
        <v>0</v>
      </c>
      <c r="P102" s="667">
        <f t="shared" si="165"/>
        <v>108</v>
      </c>
      <c r="Q102" s="667">
        <f t="shared" si="165"/>
        <v>0</v>
      </c>
      <c r="R102" s="667">
        <f t="shared" si="165"/>
        <v>3.36</v>
      </c>
      <c r="S102" s="667">
        <f t="shared" si="165"/>
        <v>0</v>
      </c>
      <c r="T102" s="667">
        <f t="shared" si="165"/>
        <v>0</v>
      </c>
      <c r="U102" s="667">
        <f t="shared" si="165"/>
        <v>0</v>
      </c>
      <c r="V102" s="667">
        <f t="shared" si="165"/>
        <v>0</v>
      </c>
      <c r="W102" s="667">
        <f t="shared" si="165"/>
        <v>0</v>
      </c>
      <c r="X102" s="667">
        <f t="shared" si="165"/>
        <v>3.36</v>
      </c>
      <c r="Y102" s="667">
        <f t="shared" si="165"/>
        <v>0</v>
      </c>
      <c r="Z102" s="667">
        <f t="shared" si="165"/>
        <v>81.099999999999994</v>
      </c>
      <c r="AA102" s="667">
        <f t="shared" si="165"/>
        <v>0</v>
      </c>
      <c r="AB102" s="667">
        <f t="shared" si="165"/>
        <v>3.35</v>
      </c>
      <c r="AC102" s="667">
        <f t="shared" si="165"/>
        <v>0</v>
      </c>
      <c r="AD102" s="667">
        <f t="shared" si="165"/>
        <v>170</v>
      </c>
      <c r="AE102" s="667">
        <f t="shared" si="165"/>
        <v>0</v>
      </c>
      <c r="AF102" s="29"/>
      <c r="AG102" s="757"/>
    </row>
    <row r="103" spans="1:33" ht="37.5" x14ac:dyDescent="0.3">
      <c r="A103" s="55" t="s">
        <v>123</v>
      </c>
      <c r="B103" s="635"/>
      <c r="C103" s="635"/>
      <c r="D103" s="635"/>
      <c r="E103" s="635"/>
      <c r="F103" s="635"/>
      <c r="G103" s="635"/>
      <c r="H103" s="635"/>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29"/>
      <c r="AG103" s="757"/>
    </row>
    <row r="104" spans="1:33" ht="18.75" x14ac:dyDescent="0.3">
      <c r="A104" s="52" t="s">
        <v>54</v>
      </c>
      <c r="B104" s="635"/>
      <c r="C104" s="635"/>
      <c r="D104" s="635"/>
      <c r="E104" s="635"/>
      <c r="F104" s="635"/>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29"/>
      <c r="AG104" s="757"/>
    </row>
    <row r="105" spans="1:33" ht="56.25" x14ac:dyDescent="0.3">
      <c r="A105" s="50" t="s">
        <v>124</v>
      </c>
      <c r="B105" s="828">
        <v>0</v>
      </c>
      <c r="C105" s="828">
        <v>0</v>
      </c>
      <c r="D105" s="828">
        <v>0</v>
      </c>
      <c r="E105" s="828">
        <v>0</v>
      </c>
      <c r="F105" s="828">
        <v>0</v>
      </c>
      <c r="G105" s="828">
        <v>0</v>
      </c>
      <c r="H105" s="828">
        <v>0</v>
      </c>
      <c r="I105" s="828">
        <v>0</v>
      </c>
      <c r="J105" s="828">
        <v>0</v>
      </c>
      <c r="K105" s="828">
        <v>0</v>
      </c>
      <c r="L105" s="828">
        <v>0</v>
      </c>
      <c r="M105" s="828">
        <v>0</v>
      </c>
      <c r="N105" s="828">
        <v>0</v>
      </c>
      <c r="O105" s="828">
        <v>0</v>
      </c>
      <c r="P105" s="828">
        <v>0</v>
      </c>
      <c r="Q105" s="828">
        <v>0</v>
      </c>
      <c r="R105" s="828">
        <v>0</v>
      </c>
      <c r="S105" s="828">
        <v>0</v>
      </c>
      <c r="T105" s="828">
        <v>0</v>
      </c>
      <c r="U105" s="828">
        <v>0</v>
      </c>
      <c r="V105" s="828">
        <v>0</v>
      </c>
      <c r="W105" s="828">
        <v>0</v>
      </c>
      <c r="X105" s="828">
        <v>0</v>
      </c>
      <c r="Y105" s="828">
        <v>0</v>
      </c>
      <c r="Z105" s="828">
        <v>0</v>
      </c>
      <c r="AA105" s="828">
        <v>0</v>
      </c>
      <c r="AB105" s="828">
        <v>0</v>
      </c>
      <c r="AC105" s="828">
        <v>0</v>
      </c>
      <c r="AD105" s="828">
        <v>0</v>
      </c>
      <c r="AE105" s="828">
        <v>0</v>
      </c>
      <c r="AF105" s="29"/>
      <c r="AG105" s="757"/>
    </row>
    <row r="106" spans="1:33" ht="18.75" x14ac:dyDescent="0.3">
      <c r="A106" s="18" t="s">
        <v>31</v>
      </c>
      <c r="B106" s="827">
        <f>B107</f>
        <v>0</v>
      </c>
      <c r="C106" s="827">
        <f t="shared" ref="C106:E107" si="166">C107</f>
        <v>0</v>
      </c>
      <c r="D106" s="827">
        <f t="shared" si="166"/>
        <v>0</v>
      </c>
      <c r="E106" s="827">
        <f t="shared" si="166"/>
        <v>0</v>
      </c>
      <c r="F106" s="32" t="e">
        <f t="shared" ref="F106:F107" si="167">E106/B106*100</f>
        <v>#DIV/0!</v>
      </c>
      <c r="G106" s="47" t="e">
        <f t="shared" ref="G106:G107" si="168">E106/C106*100</f>
        <v>#DIV/0!</v>
      </c>
      <c r="H106" s="828">
        <v>0</v>
      </c>
      <c r="I106" s="828">
        <v>0</v>
      </c>
      <c r="J106" s="828">
        <v>0</v>
      </c>
      <c r="K106" s="828">
        <v>0</v>
      </c>
      <c r="L106" s="828">
        <v>0</v>
      </c>
      <c r="M106" s="828">
        <v>0</v>
      </c>
      <c r="N106" s="828">
        <v>0</v>
      </c>
      <c r="O106" s="828">
        <v>0</v>
      </c>
      <c r="P106" s="828">
        <v>0</v>
      </c>
      <c r="Q106" s="828">
        <v>0</v>
      </c>
      <c r="R106" s="828">
        <v>0</v>
      </c>
      <c r="S106" s="828">
        <v>0</v>
      </c>
      <c r="T106" s="828">
        <v>0</v>
      </c>
      <c r="U106" s="828">
        <v>0</v>
      </c>
      <c r="V106" s="828">
        <v>0</v>
      </c>
      <c r="W106" s="828">
        <v>0</v>
      </c>
      <c r="X106" s="828">
        <v>0</v>
      </c>
      <c r="Y106" s="828">
        <v>0</v>
      </c>
      <c r="Z106" s="828">
        <v>0</v>
      </c>
      <c r="AA106" s="828">
        <v>0</v>
      </c>
      <c r="AB106" s="828">
        <v>0</v>
      </c>
      <c r="AC106" s="828">
        <v>0</v>
      </c>
      <c r="AD106" s="828">
        <v>0</v>
      </c>
      <c r="AE106" s="828">
        <v>0</v>
      </c>
      <c r="AF106" s="29"/>
      <c r="AG106" s="757"/>
    </row>
    <row r="107" spans="1:33" s="671" customFormat="1" ht="18.75" x14ac:dyDescent="0.3">
      <c r="A107" s="826" t="s">
        <v>33</v>
      </c>
      <c r="B107" s="827">
        <f>B108</f>
        <v>0</v>
      </c>
      <c r="C107" s="827">
        <f t="shared" si="166"/>
        <v>0</v>
      </c>
      <c r="D107" s="827">
        <f t="shared" si="166"/>
        <v>0</v>
      </c>
      <c r="E107" s="827">
        <f t="shared" si="166"/>
        <v>0</v>
      </c>
      <c r="F107" s="32" t="e">
        <f t="shared" si="167"/>
        <v>#DIV/0!</v>
      </c>
      <c r="G107" s="47" t="e">
        <f t="shared" si="168"/>
        <v>#DIV/0!</v>
      </c>
      <c r="H107" s="828">
        <v>0</v>
      </c>
      <c r="I107" s="828">
        <v>0</v>
      </c>
      <c r="J107" s="828">
        <v>0</v>
      </c>
      <c r="K107" s="828">
        <v>0</v>
      </c>
      <c r="L107" s="828">
        <v>0</v>
      </c>
      <c r="M107" s="828">
        <v>0</v>
      </c>
      <c r="N107" s="828">
        <v>0</v>
      </c>
      <c r="O107" s="828">
        <v>0</v>
      </c>
      <c r="P107" s="828">
        <v>0</v>
      </c>
      <c r="Q107" s="828">
        <v>0</v>
      </c>
      <c r="R107" s="828">
        <v>0</v>
      </c>
      <c r="S107" s="828">
        <v>0</v>
      </c>
      <c r="T107" s="828">
        <v>0</v>
      </c>
      <c r="U107" s="828">
        <v>0</v>
      </c>
      <c r="V107" s="828">
        <v>0</v>
      </c>
      <c r="W107" s="828">
        <v>0</v>
      </c>
      <c r="X107" s="828">
        <v>0</v>
      </c>
      <c r="Y107" s="828">
        <v>0</v>
      </c>
      <c r="Z107" s="828">
        <v>0</v>
      </c>
      <c r="AA107" s="828">
        <v>0</v>
      </c>
      <c r="AB107" s="828">
        <v>0</v>
      </c>
      <c r="AC107" s="828">
        <v>0</v>
      </c>
      <c r="AD107" s="828">
        <v>0</v>
      </c>
      <c r="AE107" s="828">
        <v>0</v>
      </c>
      <c r="AF107" s="635"/>
      <c r="AG107" s="757"/>
    </row>
    <row r="108" spans="1:33" ht="18.75" x14ac:dyDescent="0.3">
      <c r="A108" s="56" t="s">
        <v>62</v>
      </c>
      <c r="B108" s="635"/>
      <c r="C108" s="635"/>
      <c r="D108" s="635"/>
      <c r="E108" s="635"/>
      <c r="F108" s="635"/>
      <c r="G108" s="635"/>
      <c r="H108" s="635"/>
      <c r="I108" s="47"/>
      <c r="J108" s="47"/>
      <c r="K108" s="47"/>
      <c r="L108" s="47"/>
      <c r="M108" s="47"/>
      <c r="N108" s="47"/>
      <c r="O108" s="635"/>
      <c r="P108" s="635"/>
      <c r="Q108" s="635"/>
      <c r="R108" s="635"/>
      <c r="S108" s="635"/>
      <c r="T108" s="635"/>
      <c r="U108" s="635"/>
      <c r="V108" s="635"/>
      <c r="W108" s="635"/>
      <c r="X108" s="635"/>
      <c r="Y108" s="635"/>
      <c r="Z108" s="635"/>
      <c r="AA108" s="635"/>
      <c r="AB108" s="635"/>
      <c r="AC108" s="635"/>
      <c r="AD108" s="635"/>
      <c r="AE108" s="635"/>
      <c r="AF108" s="29"/>
      <c r="AG108" s="757"/>
    </row>
    <row r="109" spans="1:33" ht="18.75" x14ac:dyDescent="0.3">
      <c r="A109" s="19" t="s">
        <v>31</v>
      </c>
      <c r="B109" s="827">
        <f>B110</f>
        <v>0</v>
      </c>
      <c r="C109" s="827">
        <f t="shared" ref="C109:E109" si="169">C110</f>
        <v>0</v>
      </c>
      <c r="D109" s="827">
        <f t="shared" si="169"/>
        <v>0</v>
      </c>
      <c r="E109" s="827">
        <f t="shared" si="169"/>
        <v>0</v>
      </c>
      <c r="F109" s="32" t="e">
        <f t="shared" ref="F109:F110" si="170">E109/B109*100</f>
        <v>#DIV/0!</v>
      </c>
      <c r="G109" s="47" t="e">
        <f t="shared" ref="G109:G110" si="171">E109/C109*100</f>
        <v>#DIV/0!</v>
      </c>
      <c r="H109" s="827">
        <v>0</v>
      </c>
      <c r="I109" s="827">
        <v>0</v>
      </c>
      <c r="J109" s="827">
        <v>0</v>
      </c>
      <c r="K109" s="827">
        <v>0</v>
      </c>
      <c r="L109" s="827">
        <v>0</v>
      </c>
      <c r="M109" s="827">
        <v>0</v>
      </c>
      <c r="N109" s="827">
        <v>0</v>
      </c>
      <c r="O109" s="827">
        <v>0</v>
      </c>
      <c r="P109" s="827">
        <v>0</v>
      </c>
      <c r="Q109" s="827">
        <v>0</v>
      </c>
      <c r="R109" s="827">
        <v>0</v>
      </c>
      <c r="S109" s="827">
        <v>0</v>
      </c>
      <c r="T109" s="827">
        <v>0</v>
      </c>
      <c r="U109" s="827">
        <v>0</v>
      </c>
      <c r="V109" s="827">
        <v>0</v>
      </c>
      <c r="W109" s="827">
        <v>0</v>
      </c>
      <c r="X109" s="827">
        <v>0</v>
      </c>
      <c r="Y109" s="827">
        <v>0</v>
      </c>
      <c r="Z109" s="827">
        <v>0</v>
      </c>
      <c r="AA109" s="827">
        <v>0</v>
      </c>
      <c r="AB109" s="827">
        <v>0</v>
      </c>
      <c r="AC109" s="827">
        <v>0</v>
      </c>
      <c r="AD109" s="827">
        <v>0</v>
      </c>
      <c r="AE109" s="827">
        <v>0</v>
      </c>
      <c r="AF109" s="29"/>
      <c r="AG109" s="757"/>
    </row>
    <row r="110" spans="1:33" ht="18.75" x14ac:dyDescent="0.3">
      <c r="A110" s="15" t="s">
        <v>33</v>
      </c>
      <c r="B110" s="827">
        <f>B107</f>
        <v>0</v>
      </c>
      <c r="C110" s="827">
        <f t="shared" ref="C110:E110" si="172">C107</f>
        <v>0</v>
      </c>
      <c r="D110" s="827">
        <f t="shared" si="172"/>
        <v>0</v>
      </c>
      <c r="E110" s="827">
        <f t="shared" si="172"/>
        <v>0</v>
      </c>
      <c r="F110" s="32" t="e">
        <f t="shared" si="170"/>
        <v>#DIV/0!</v>
      </c>
      <c r="G110" s="47" t="e">
        <f t="shared" si="171"/>
        <v>#DIV/0!</v>
      </c>
      <c r="H110" s="827">
        <v>0</v>
      </c>
      <c r="I110" s="827">
        <v>0</v>
      </c>
      <c r="J110" s="827">
        <v>0</v>
      </c>
      <c r="K110" s="827">
        <v>0</v>
      </c>
      <c r="L110" s="827">
        <v>0</v>
      </c>
      <c r="M110" s="827">
        <v>0</v>
      </c>
      <c r="N110" s="827">
        <v>0</v>
      </c>
      <c r="O110" s="827">
        <v>0</v>
      </c>
      <c r="P110" s="827">
        <v>0</v>
      </c>
      <c r="Q110" s="827">
        <v>0</v>
      </c>
      <c r="R110" s="827">
        <v>0</v>
      </c>
      <c r="S110" s="827">
        <v>0</v>
      </c>
      <c r="T110" s="827">
        <v>0</v>
      </c>
      <c r="U110" s="827">
        <v>0</v>
      </c>
      <c r="V110" s="827">
        <v>0</v>
      </c>
      <c r="W110" s="827">
        <v>0</v>
      </c>
      <c r="X110" s="827">
        <v>0</v>
      </c>
      <c r="Y110" s="827">
        <v>0</v>
      </c>
      <c r="Z110" s="827">
        <v>0</v>
      </c>
      <c r="AA110" s="827">
        <v>0</v>
      </c>
      <c r="AB110" s="827">
        <v>0</v>
      </c>
      <c r="AC110" s="827">
        <v>0</v>
      </c>
      <c r="AD110" s="827">
        <v>0</v>
      </c>
      <c r="AE110" s="827">
        <v>0</v>
      </c>
      <c r="AF110" s="29"/>
      <c r="AG110" s="757"/>
    </row>
    <row r="111" spans="1:33" ht="37.5" x14ac:dyDescent="0.3">
      <c r="A111" s="28" t="s">
        <v>76</v>
      </c>
      <c r="B111" s="635"/>
      <c r="C111" s="635"/>
      <c r="D111" s="635"/>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29"/>
      <c r="AG111" s="757"/>
    </row>
    <row r="112" spans="1:33" ht="18.75" x14ac:dyDescent="0.3">
      <c r="A112" s="8" t="s">
        <v>31</v>
      </c>
      <c r="B112" s="827">
        <f>B113</f>
        <v>0</v>
      </c>
      <c r="C112" s="827">
        <f t="shared" ref="C112:E112" si="173">C113</f>
        <v>0</v>
      </c>
      <c r="D112" s="827">
        <f t="shared" si="173"/>
        <v>0</v>
      </c>
      <c r="E112" s="827">
        <f t="shared" si="173"/>
        <v>0</v>
      </c>
      <c r="F112" s="32" t="e">
        <f t="shared" ref="F112:F137" si="174">E112/B112*100</f>
        <v>#DIV/0!</v>
      </c>
      <c r="G112" s="47" t="e">
        <f t="shared" ref="G112:G137" si="175">E112/C112*100</f>
        <v>#DIV/0!</v>
      </c>
      <c r="H112" s="827">
        <v>0</v>
      </c>
      <c r="I112" s="827">
        <v>0</v>
      </c>
      <c r="J112" s="827">
        <v>0</v>
      </c>
      <c r="K112" s="827">
        <v>0</v>
      </c>
      <c r="L112" s="827">
        <v>0</v>
      </c>
      <c r="M112" s="827">
        <v>0</v>
      </c>
      <c r="N112" s="827">
        <v>0</v>
      </c>
      <c r="O112" s="827">
        <v>0</v>
      </c>
      <c r="P112" s="827">
        <v>0</v>
      </c>
      <c r="Q112" s="827">
        <v>0</v>
      </c>
      <c r="R112" s="827">
        <v>0</v>
      </c>
      <c r="S112" s="827">
        <v>0</v>
      </c>
      <c r="T112" s="827">
        <v>0</v>
      </c>
      <c r="U112" s="827">
        <v>0</v>
      </c>
      <c r="V112" s="827">
        <v>0</v>
      </c>
      <c r="W112" s="827">
        <v>0</v>
      </c>
      <c r="X112" s="827">
        <v>0</v>
      </c>
      <c r="Y112" s="827">
        <v>0</v>
      </c>
      <c r="Z112" s="827">
        <v>0</v>
      </c>
      <c r="AA112" s="827">
        <v>0</v>
      </c>
      <c r="AB112" s="827">
        <v>0</v>
      </c>
      <c r="AC112" s="827">
        <v>0</v>
      </c>
      <c r="AD112" s="827">
        <v>0</v>
      </c>
      <c r="AE112" s="827">
        <v>0</v>
      </c>
      <c r="AF112" s="29"/>
      <c r="AG112" s="757"/>
    </row>
    <row r="113" spans="1:33" ht="18.75" x14ac:dyDescent="0.3">
      <c r="A113" s="13" t="s">
        <v>33</v>
      </c>
      <c r="B113" s="827">
        <f>B110</f>
        <v>0</v>
      </c>
      <c r="C113" s="827">
        <f t="shared" ref="C113:E113" si="176">C110</f>
        <v>0</v>
      </c>
      <c r="D113" s="827">
        <f t="shared" si="176"/>
        <v>0</v>
      </c>
      <c r="E113" s="827">
        <f t="shared" si="176"/>
        <v>0</v>
      </c>
      <c r="F113" s="32" t="e">
        <f t="shared" si="174"/>
        <v>#DIV/0!</v>
      </c>
      <c r="G113" s="47" t="e">
        <f t="shared" si="175"/>
        <v>#DIV/0!</v>
      </c>
      <c r="H113" s="827">
        <v>0</v>
      </c>
      <c r="I113" s="827">
        <v>0</v>
      </c>
      <c r="J113" s="827">
        <v>0</v>
      </c>
      <c r="K113" s="827">
        <v>0</v>
      </c>
      <c r="L113" s="827">
        <v>0</v>
      </c>
      <c r="M113" s="827">
        <v>0</v>
      </c>
      <c r="N113" s="827">
        <v>0</v>
      </c>
      <c r="O113" s="827">
        <v>0</v>
      </c>
      <c r="P113" s="827">
        <v>0</v>
      </c>
      <c r="Q113" s="827">
        <v>0</v>
      </c>
      <c r="R113" s="827">
        <v>0</v>
      </c>
      <c r="S113" s="827">
        <v>0</v>
      </c>
      <c r="T113" s="827">
        <v>0</v>
      </c>
      <c r="U113" s="827">
        <v>0</v>
      </c>
      <c r="V113" s="827">
        <v>0</v>
      </c>
      <c r="W113" s="827">
        <v>0</v>
      </c>
      <c r="X113" s="827">
        <v>0</v>
      </c>
      <c r="Y113" s="827">
        <v>0</v>
      </c>
      <c r="Z113" s="827">
        <v>0</v>
      </c>
      <c r="AA113" s="827">
        <v>0</v>
      </c>
      <c r="AB113" s="827">
        <v>0</v>
      </c>
      <c r="AC113" s="827">
        <v>0</v>
      </c>
      <c r="AD113" s="827">
        <v>0</v>
      </c>
      <c r="AE113" s="827">
        <v>0</v>
      </c>
      <c r="AF113" s="29"/>
      <c r="AG113" s="757"/>
    </row>
    <row r="114" spans="1:33" ht="112.5" x14ac:dyDescent="0.3">
      <c r="A114" s="50" t="s">
        <v>125</v>
      </c>
      <c r="B114" s="667"/>
      <c r="C114" s="667"/>
      <c r="D114" s="667"/>
      <c r="E114" s="667"/>
      <c r="F114" s="32"/>
      <c r="G114" s="4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29"/>
      <c r="AG114" s="757"/>
    </row>
    <row r="115" spans="1:33" ht="131.25" x14ac:dyDescent="0.3">
      <c r="A115" s="50" t="s">
        <v>127</v>
      </c>
      <c r="B115" s="667"/>
      <c r="C115" s="667"/>
      <c r="D115" s="667"/>
      <c r="E115" s="667"/>
      <c r="F115" s="32"/>
      <c r="G115" s="4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848" t="s">
        <v>600</v>
      </c>
      <c r="AG115" s="757"/>
    </row>
    <row r="116" spans="1:33" ht="18.75" x14ac:dyDescent="0.3">
      <c r="A116" s="19" t="s">
        <v>31</v>
      </c>
      <c r="B116" s="32">
        <f>B117</f>
        <v>6319.0999999999995</v>
      </c>
      <c r="C116" s="32">
        <f>C117</f>
        <v>1820.1299999999999</v>
      </c>
      <c r="D116" s="32">
        <f t="shared" ref="D116:E116" si="177">D117</f>
        <v>1573.22</v>
      </c>
      <c r="E116" s="32">
        <f t="shared" si="177"/>
        <v>1573.22</v>
      </c>
      <c r="F116" s="32">
        <f>E116/B116*100</f>
        <v>24.896266873447171</v>
      </c>
      <c r="G116" s="47">
        <f>E116/C116*100</f>
        <v>86.434485448841571</v>
      </c>
      <c r="H116" s="32">
        <f>H117</f>
        <v>855.75</v>
      </c>
      <c r="I116" s="32">
        <f t="shared" ref="I116:AE116" si="178">I117</f>
        <v>541.91999999999996</v>
      </c>
      <c r="J116" s="32">
        <f t="shared" si="178"/>
        <v>534.54999999999995</v>
      </c>
      <c r="K116" s="32">
        <f t="shared" si="178"/>
        <v>628.73</v>
      </c>
      <c r="L116" s="32">
        <f t="shared" si="178"/>
        <v>429.83</v>
      </c>
      <c r="M116" s="32">
        <f t="shared" si="178"/>
        <v>402.57</v>
      </c>
      <c r="N116" s="32">
        <f t="shared" si="178"/>
        <v>611.53</v>
      </c>
      <c r="O116" s="32">
        <f t="shared" si="178"/>
        <v>0</v>
      </c>
      <c r="P116" s="32">
        <f t="shared" si="178"/>
        <v>484.7</v>
      </c>
      <c r="Q116" s="32">
        <f t="shared" si="178"/>
        <v>0</v>
      </c>
      <c r="R116" s="32">
        <f t="shared" si="178"/>
        <v>429.82</v>
      </c>
      <c r="S116" s="32">
        <f t="shared" si="178"/>
        <v>0</v>
      </c>
      <c r="T116" s="32">
        <f t="shared" si="178"/>
        <v>611.53</v>
      </c>
      <c r="U116" s="32">
        <f t="shared" si="178"/>
        <v>0</v>
      </c>
      <c r="V116" s="32">
        <f t="shared" si="178"/>
        <v>484.7</v>
      </c>
      <c r="W116" s="32">
        <f t="shared" si="178"/>
        <v>0</v>
      </c>
      <c r="X116" s="32">
        <f t="shared" si="178"/>
        <v>429.82</v>
      </c>
      <c r="Y116" s="32">
        <f t="shared" si="178"/>
        <v>0</v>
      </c>
      <c r="Z116" s="32">
        <f t="shared" si="178"/>
        <v>611.53</v>
      </c>
      <c r="AA116" s="32">
        <f t="shared" si="178"/>
        <v>0</v>
      </c>
      <c r="AB116" s="32">
        <f t="shared" si="178"/>
        <v>484.7</v>
      </c>
      <c r="AC116" s="32">
        <f t="shared" si="178"/>
        <v>0</v>
      </c>
      <c r="AD116" s="32">
        <f t="shared" si="178"/>
        <v>350.64</v>
      </c>
      <c r="AE116" s="32">
        <f t="shared" si="178"/>
        <v>0</v>
      </c>
      <c r="AF116" s="29"/>
      <c r="AG116" s="757"/>
    </row>
    <row r="117" spans="1:33" ht="18.75" x14ac:dyDescent="0.3">
      <c r="A117" s="15" t="s">
        <v>33</v>
      </c>
      <c r="B117" s="32">
        <f>H117+J117+L117+N117+P117+R117+T117+V117+X117+Z117+AB117+AD117</f>
        <v>6319.0999999999995</v>
      </c>
      <c r="C117" s="32">
        <f>H117+J117+L117</f>
        <v>1820.1299999999999</v>
      </c>
      <c r="D117" s="32">
        <f>E117</f>
        <v>1573.22</v>
      </c>
      <c r="E117" s="32">
        <f>I117+K117+M117+O117+Q117+S117+U117+W117+Y117+AA117+AC117+AE117</f>
        <v>1573.22</v>
      </c>
      <c r="F117" s="47">
        <f t="shared" ref="F117:G117" si="179">D117/B117*100</f>
        <v>24.896266873447171</v>
      </c>
      <c r="G117" s="47">
        <f t="shared" si="179"/>
        <v>86.434485448841571</v>
      </c>
      <c r="H117" s="32">
        <v>855.75</v>
      </c>
      <c r="I117" s="667">
        <v>541.91999999999996</v>
      </c>
      <c r="J117" s="667">
        <v>534.54999999999995</v>
      </c>
      <c r="K117" s="667">
        <v>628.73</v>
      </c>
      <c r="L117" s="667">
        <v>429.83</v>
      </c>
      <c r="M117" s="667">
        <v>402.57</v>
      </c>
      <c r="N117" s="667">
        <v>611.53</v>
      </c>
      <c r="O117" s="667"/>
      <c r="P117" s="667">
        <v>484.7</v>
      </c>
      <c r="Q117" s="667"/>
      <c r="R117" s="667">
        <v>429.82</v>
      </c>
      <c r="S117" s="667"/>
      <c r="T117" s="667">
        <v>611.53</v>
      </c>
      <c r="U117" s="667"/>
      <c r="V117" s="667">
        <v>484.7</v>
      </c>
      <c r="W117" s="667"/>
      <c r="X117" s="667">
        <v>429.82</v>
      </c>
      <c r="Y117" s="667"/>
      <c r="Z117" s="667">
        <v>611.53</v>
      </c>
      <c r="AA117" s="667"/>
      <c r="AB117" s="667">
        <v>484.7</v>
      </c>
      <c r="AC117" s="667"/>
      <c r="AD117" s="667">
        <v>350.64</v>
      </c>
      <c r="AE117" s="667"/>
      <c r="AF117" s="29"/>
      <c r="AG117" s="757"/>
    </row>
    <row r="118" spans="1:33" ht="390" x14ac:dyDescent="0.3">
      <c r="A118" s="50" t="s">
        <v>128</v>
      </c>
      <c r="B118" s="667"/>
      <c r="C118" s="667"/>
      <c r="D118" s="667"/>
      <c r="E118" s="667"/>
      <c r="F118" s="32"/>
      <c r="G118" s="4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847" t="s">
        <v>558</v>
      </c>
      <c r="AG118" s="757"/>
    </row>
    <row r="119" spans="1:33" ht="18.75" x14ac:dyDescent="0.3">
      <c r="A119" s="19" t="s">
        <v>31</v>
      </c>
      <c r="B119" s="32">
        <f>B120</f>
        <v>10200.4</v>
      </c>
      <c r="C119" s="32">
        <f>C120</f>
        <v>2992.7</v>
      </c>
      <c r="D119" s="32">
        <f t="shared" ref="D119:E119" si="180">D120</f>
        <v>2239.4499999999998</v>
      </c>
      <c r="E119" s="32">
        <f t="shared" si="180"/>
        <v>2239.4499999999998</v>
      </c>
      <c r="F119" s="32">
        <f>E119/B119*100</f>
        <v>21.954531194855104</v>
      </c>
      <c r="G119" s="47">
        <f>E119/C119*100</f>
        <v>74.830420690346514</v>
      </c>
      <c r="H119" s="32">
        <f>H120</f>
        <v>1335.14</v>
      </c>
      <c r="I119" s="32">
        <f t="shared" ref="I119:AE119" si="181">I120</f>
        <v>647.77</v>
      </c>
      <c r="J119" s="32">
        <f t="shared" si="181"/>
        <v>999.81</v>
      </c>
      <c r="K119" s="32">
        <f t="shared" si="181"/>
        <v>935.9</v>
      </c>
      <c r="L119" s="32">
        <f t="shared" si="181"/>
        <v>657.75</v>
      </c>
      <c r="M119" s="32">
        <f t="shared" si="181"/>
        <v>655.78</v>
      </c>
      <c r="N119" s="32">
        <f t="shared" si="181"/>
        <v>1009.37</v>
      </c>
      <c r="O119" s="32">
        <f t="shared" si="181"/>
        <v>0</v>
      </c>
      <c r="P119" s="32">
        <f t="shared" si="181"/>
        <v>773.67</v>
      </c>
      <c r="Q119" s="32">
        <f t="shared" si="181"/>
        <v>0</v>
      </c>
      <c r="R119" s="32">
        <f t="shared" si="181"/>
        <v>774.61</v>
      </c>
      <c r="S119" s="32">
        <f t="shared" si="181"/>
        <v>0</v>
      </c>
      <c r="T119" s="32">
        <f t="shared" si="181"/>
        <v>1139.3699999999999</v>
      </c>
      <c r="U119" s="32">
        <f t="shared" si="181"/>
        <v>0</v>
      </c>
      <c r="V119" s="32">
        <f t="shared" si="181"/>
        <v>713.67</v>
      </c>
      <c r="W119" s="32">
        <f t="shared" si="181"/>
        <v>0</v>
      </c>
      <c r="X119" s="32">
        <f t="shared" si="181"/>
        <v>628.91999999999996</v>
      </c>
      <c r="Y119" s="32">
        <f t="shared" si="181"/>
        <v>0</v>
      </c>
      <c r="Z119" s="32">
        <f t="shared" si="181"/>
        <v>976.45</v>
      </c>
      <c r="AA119" s="32">
        <f t="shared" si="181"/>
        <v>0</v>
      </c>
      <c r="AB119" s="32">
        <f t="shared" si="181"/>
        <v>713.68</v>
      </c>
      <c r="AC119" s="32">
        <f t="shared" si="181"/>
        <v>0</v>
      </c>
      <c r="AD119" s="32">
        <f t="shared" si="181"/>
        <v>477.96</v>
      </c>
      <c r="AE119" s="32">
        <f t="shared" si="181"/>
        <v>0</v>
      </c>
      <c r="AF119" s="739"/>
      <c r="AG119" s="757"/>
    </row>
    <row r="120" spans="1:33" ht="18.75" x14ac:dyDescent="0.3">
      <c r="A120" s="15" t="s">
        <v>97</v>
      </c>
      <c r="B120" s="32">
        <f>H120+J120+L120+N120+P120+R120+T120+V120+X120+Z120+AB120+AD120</f>
        <v>10200.4</v>
      </c>
      <c r="C120" s="32">
        <f>H120+J120+L120</f>
        <v>2992.7</v>
      </c>
      <c r="D120" s="32">
        <f>E120</f>
        <v>2239.4499999999998</v>
      </c>
      <c r="E120" s="32">
        <f>I120+K120+M120+O120+Q120+S120+U120+W120+Y120+AA120+AC120+AE120</f>
        <v>2239.4499999999998</v>
      </c>
      <c r="F120" s="47">
        <f t="shared" ref="F120" si="182">D120/B120*100</f>
        <v>21.954531194855104</v>
      </c>
      <c r="G120" s="47">
        <f t="shared" ref="G120" si="183">E120/C120*100</f>
        <v>74.830420690346514</v>
      </c>
      <c r="H120" s="32">
        <v>1335.14</v>
      </c>
      <c r="I120" s="667">
        <v>647.77</v>
      </c>
      <c r="J120" s="667">
        <v>999.81</v>
      </c>
      <c r="K120" s="667">
        <v>935.9</v>
      </c>
      <c r="L120" s="667">
        <v>657.75</v>
      </c>
      <c r="M120" s="667">
        <v>655.78</v>
      </c>
      <c r="N120" s="667">
        <v>1009.37</v>
      </c>
      <c r="O120" s="667"/>
      <c r="P120" s="667">
        <v>773.67</v>
      </c>
      <c r="Q120" s="667"/>
      <c r="R120" s="667">
        <v>774.61</v>
      </c>
      <c r="S120" s="667"/>
      <c r="T120" s="667">
        <v>1139.3699999999999</v>
      </c>
      <c r="U120" s="667"/>
      <c r="V120" s="667">
        <v>713.67</v>
      </c>
      <c r="W120" s="667"/>
      <c r="X120" s="667">
        <v>628.91999999999996</v>
      </c>
      <c r="Y120" s="667"/>
      <c r="Z120" s="667">
        <v>976.45</v>
      </c>
      <c r="AA120" s="667"/>
      <c r="AB120" s="667">
        <v>713.68</v>
      </c>
      <c r="AC120" s="667"/>
      <c r="AD120" s="667">
        <v>477.96</v>
      </c>
      <c r="AE120" s="667"/>
      <c r="AF120" s="739"/>
      <c r="AG120" s="757"/>
    </row>
    <row r="121" spans="1:33" ht="18.75" x14ac:dyDescent="0.3">
      <c r="A121" s="56" t="s">
        <v>85</v>
      </c>
      <c r="B121" s="667"/>
      <c r="C121" s="667"/>
      <c r="D121" s="667"/>
      <c r="E121" s="667"/>
      <c r="F121" s="32"/>
      <c r="G121" s="47"/>
      <c r="H121" s="667"/>
      <c r="I121" s="667"/>
      <c r="J121" s="667"/>
      <c r="K121" s="667"/>
      <c r="L121" s="667"/>
      <c r="M121" s="667"/>
      <c r="N121" s="667"/>
      <c r="O121" s="667"/>
      <c r="P121" s="667"/>
      <c r="Q121" s="667"/>
      <c r="R121" s="667"/>
      <c r="S121" s="667"/>
      <c r="T121" s="667"/>
      <c r="U121" s="667"/>
      <c r="V121" s="667"/>
      <c r="W121" s="667"/>
      <c r="X121" s="667"/>
      <c r="Y121" s="667"/>
      <c r="Z121" s="667"/>
      <c r="AA121" s="667"/>
      <c r="AB121" s="667"/>
      <c r="AC121" s="667"/>
      <c r="AD121" s="667"/>
      <c r="AE121" s="667"/>
      <c r="AF121" s="739"/>
      <c r="AG121" s="757"/>
    </row>
    <row r="122" spans="1:33" ht="18.75" x14ac:dyDescent="0.3">
      <c r="A122" s="19" t="s">
        <v>31</v>
      </c>
      <c r="B122" s="667">
        <f>B123+B124</f>
        <v>16519.5</v>
      </c>
      <c r="C122" s="667">
        <f t="shared" ref="C122:E122" si="184">C123+C124</f>
        <v>4812.83</v>
      </c>
      <c r="D122" s="667">
        <f t="shared" si="184"/>
        <v>3812.67</v>
      </c>
      <c r="E122" s="667">
        <f t="shared" si="184"/>
        <v>3812.67</v>
      </c>
      <c r="F122" s="32">
        <f>E122/B122*100</f>
        <v>23.079814764369385</v>
      </c>
      <c r="G122" s="47">
        <f>E122/C122*100</f>
        <v>79.218879536572047</v>
      </c>
      <c r="H122" s="667">
        <f>H123+H124</f>
        <v>2190.8900000000003</v>
      </c>
      <c r="I122" s="667">
        <f t="shared" ref="I122:AE122" si="185">I123+I124</f>
        <v>1189.69</v>
      </c>
      <c r="J122" s="667">
        <f t="shared" si="185"/>
        <v>1534.36</v>
      </c>
      <c r="K122" s="667">
        <f t="shared" si="185"/>
        <v>1564.63</v>
      </c>
      <c r="L122" s="667">
        <f t="shared" si="185"/>
        <v>1087.58</v>
      </c>
      <c r="M122" s="667">
        <f t="shared" si="185"/>
        <v>1058.3499999999999</v>
      </c>
      <c r="N122" s="667">
        <f t="shared" si="185"/>
        <v>1620.9</v>
      </c>
      <c r="O122" s="667">
        <f t="shared" si="185"/>
        <v>0</v>
      </c>
      <c r="P122" s="667">
        <f t="shared" si="185"/>
        <v>1258.3699999999999</v>
      </c>
      <c r="Q122" s="667">
        <f t="shared" si="185"/>
        <v>0</v>
      </c>
      <c r="R122" s="667">
        <f t="shared" si="185"/>
        <v>1204.43</v>
      </c>
      <c r="S122" s="667">
        <f t="shared" si="185"/>
        <v>0</v>
      </c>
      <c r="T122" s="667">
        <f t="shared" si="185"/>
        <v>1750.8999999999999</v>
      </c>
      <c r="U122" s="667">
        <f t="shared" si="185"/>
        <v>0</v>
      </c>
      <c r="V122" s="667">
        <f t="shared" si="185"/>
        <v>1198.3699999999999</v>
      </c>
      <c r="W122" s="667">
        <f t="shared" si="185"/>
        <v>0</v>
      </c>
      <c r="X122" s="667">
        <f t="shared" si="185"/>
        <v>1058.74</v>
      </c>
      <c r="Y122" s="667">
        <f t="shared" si="185"/>
        <v>0</v>
      </c>
      <c r="Z122" s="667">
        <f t="shared" si="185"/>
        <v>1587.98</v>
      </c>
      <c r="AA122" s="667">
        <f t="shared" si="185"/>
        <v>0</v>
      </c>
      <c r="AB122" s="667">
        <f t="shared" si="185"/>
        <v>1198.3799999999999</v>
      </c>
      <c r="AC122" s="667">
        <f t="shared" si="185"/>
        <v>0</v>
      </c>
      <c r="AD122" s="667">
        <f t="shared" si="185"/>
        <v>828.59999999999991</v>
      </c>
      <c r="AE122" s="667">
        <f t="shared" si="185"/>
        <v>0</v>
      </c>
      <c r="AF122" s="739"/>
      <c r="AG122" s="757"/>
    </row>
    <row r="123" spans="1:33" ht="18.75" x14ac:dyDescent="0.3">
      <c r="A123" s="15" t="s">
        <v>97</v>
      </c>
      <c r="B123" s="667">
        <f>B120</f>
        <v>10200.4</v>
      </c>
      <c r="C123" s="667">
        <f>C120</f>
        <v>2992.7</v>
      </c>
      <c r="D123" s="667">
        <f t="shared" ref="D123:E123" si="186">D120</f>
        <v>2239.4499999999998</v>
      </c>
      <c r="E123" s="667">
        <f t="shared" si="186"/>
        <v>2239.4499999999998</v>
      </c>
      <c r="F123" s="32"/>
      <c r="G123" s="47"/>
      <c r="H123" s="667">
        <f>H120</f>
        <v>1335.14</v>
      </c>
      <c r="I123" s="667">
        <f t="shared" ref="I123:AE123" si="187">I120</f>
        <v>647.77</v>
      </c>
      <c r="J123" s="667">
        <f t="shared" si="187"/>
        <v>999.81</v>
      </c>
      <c r="K123" s="667">
        <f t="shared" si="187"/>
        <v>935.9</v>
      </c>
      <c r="L123" s="667">
        <f t="shared" si="187"/>
        <v>657.75</v>
      </c>
      <c r="M123" s="667">
        <f t="shared" si="187"/>
        <v>655.78</v>
      </c>
      <c r="N123" s="667">
        <f t="shared" si="187"/>
        <v>1009.37</v>
      </c>
      <c r="O123" s="667">
        <f t="shared" si="187"/>
        <v>0</v>
      </c>
      <c r="P123" s="667">
        <f t="shared" si="187"/>
        <v>773.67</v>
      </c>
      <c r="Q123" s="667">
        <f t="shared" si="187"/>
        <v>0</v>
      </c>
      <c r="R123" s="667">
        <f t="shared" si="187"/>
        <v>774.61</v>
      </c>
      <c r="S123" s="667">
        <f t="shared" si="187"/>
        <v>0</v>
      </c>
      <c r="T123" s="667">
        <f t="shared" si="187"/>
        <v>1139.3699999999999</v>
      </c>
      <c r="U123" s="667">
        <f t="shared" si="187"/>
        <v>0</v>
      </c>
      <c r="V123" s="667">
        <f t="shared" si="187"/>
        <v>713.67</v>
      </c>
      <c r="W123" s="667">
        <f t="shared" si="187"/>
        <v>0</v>
      </c>
      <c r="X123" s="667">
        <f t="shared" si="187"/>
        <v>628.91999999999996</v>
      </c>
      <c r="Y123" s="667">
        <f t="shared" si="187"/>
        <v>0</v>
      </c>
      <c r="Z123" s="667">
        <f t="shared" si="187"/>
        <v>976.45</v>
      </c>
      <c r="AA123" s="667">
        <f t="shared" si="187"/>
        <v>0</v>
      </c>
      <c r="AB123" s="667">
        <f t="shared" si="187"/>
        <v>713.68</v>
      </c>
      <c r="AC123" s="667">
        <f t="shared" si="187"/>
        <v>0</v>
      </c>
      <c r="AD123" s="667">
        <f t="shared" si="187"/>
        <v>477.96</v>
      </c>
      <c r="AE123" s="667">
        <f t="shared" si="187"/>
        <v>0</v>
      </c>
      <c r="AF123" s="740"/>
      <c r="AG123" s="757"/>
    </row>
    <row r="124" spans="1:33" ht="18.75" x14ac:dyDescent="0.3">
      <c r="A124" s="15" t="s">
        <v>33</v>
      </c>
      <c r="B124" s="667">
        <f>B117</f>
        <v>6319.0999999999995</v>
      </c>
      <c r="C124" s="667">
        <f t="shared" ref="C124:E124" si="188">C117</f>
        <v>1820.1299999999999</v>
      </c>
      <c r="D124" s="667">
        <f t="shared" si="188"/>
        <v>1573.22</v>
      </c>
      <c r="E124" s="667">
        <f t="shared" si="188"/>
        <v>1573.22</v>
      </c>
      <c r="F124" s="47">
        <f t="shared" ref="F124:G124" si="189">D124/B124*100</f>
        <v>24.896266873447171</v>
      </c>
      <c r="G124" s="47">
        <f t="shared" si="189"/>
        <v>86.434485448841571</v>
      </c>
      <c r="H124" s="667">
        <f>H117</f>
        <v>855.75</v>
      </c>
      <c r="I124" s="667">
        <f t="shared" ref="I124:AE124" si="190">I117</f>
        <v>541.91999999999996</v>
      </c>
      <c r="J124" s="667">
        <f t="shared" si="190"/>
        <v>534.54999999999995</v>
      </c>
      <c r="K124" s="667">
        <f t="shared" si="190"/>
        <v>628.73</v>
      </c>
      <c r="L124" s="667">
        <f t="shared" si="190"/>
        <v>429.83</v>
      </c>
      <c r="M124" s="667">
        <f t="shared" si="190"/>
        <v>402.57</v>
      </c>
      <c r="N124" s="667">
        <f t="shared" si="190"/>
        <v>611.53</v>
      </c>
      <c r="O124" s="667">
        <f t="shared" si="190"/>
        <v>0</v>
      </c>
      <c r="P124" s="667">
        <f t="shared" si="190"/>
        <v>484.7</v>
      </c>
      <c r="Q124" s="667">
        <f t="shared" si="190"/>
        <v>0</v>
      </c>
      <c r="R124" s="667">
        <f t="shared" si="190"/>
        <v>429.82</v>
      </c>
      <c r="S124" s="667">
        <f t="shared" si="190"/>
        <v>0</v>
      </c>
      <c r="T124" s="667">
        <f t="shared" si="190"/>
        <v>611.53</v>
      </c>
      <c r="U124" s="667">
        <f t="shared" si="190"/>
        <v>0</v>
      </c>
      <c r="V124" s="667">
        <f t="shared" si="190"/>
        <v>484.7</v>
      </c>
      <c r="W124" s="667">
        <f t="shared" si="190"/>
        <v>0</v>
      </c>
      <c r="X124" s="667">
        <f t="shared" si="190"/>
        <v>429.82</v>
      </c>
      <c r="Y124" s="667">
        <f t="shared" si="190"/>
        <v>0</v>
      </c>
      <c r="Z124" s="667">
        <f t="shared" si="190"/>
        <v>611.53</v>
      </c>
      <c r="AA124" s="667">
        <f t="shared" si="190"/>
        <v>0</v>
      </c>
      <c r="AB124" s="667">
        <f t="shared" si="190"/>
        <v>484.7</v>
      </c>
      <c r="AC124" s="667">
        <f t="shared" si="190"/>
        <v>0</v>
      </c>
      <c r="AD124" s="667">
        <f t="shared" si="190"/>
        <v>350.64</v>
      </c>
      <c r="AE124" s="667">
        <f t="shared" si="190"/>
        <v>0</v>
      </c>
      <c r="AF124" s="29"/>
      <c r="AG124" s="757"/>
    </row>
    <row r="125" spans="1:33" ht="37.5" x14ac:dyDescent="0.3">
      <c r="A125" s="28" t="s">
        <v>92</v>
      </c>
      <c r="B125" s="667"/>
      <c r="C125" s="667"/>
      <c r="D125" s="667"/>
      <c r="E125" s="667"/>
      <c r="F125" s="32"/>
      <c r="G125" s="47"/>
      <c r="H125" s="667"/>
      <c r="I125" s="667"/>
      <c r="J125" s="667"/>
      <c r="K125" s="667"/>
      <c r="L125" s="667"/>
      <c r="M125" s="667"/>
      <c r="N125" s="667"/>
      <c r="O125" s="667"/>
      <c r="P125" s="667"/>
      <c r="Q125" s="667"/>
      <c r="R125" s="667"/>
      <c r="S125" s="667"/>
      <c r="T125" s="667"/>
      <c r="U125" s="667"/>
      <c r="V125" s="667"/>
      <c r="W125" s="667"/>
      <c r="X125" s="667"/>
      <c r="Y125" s="667"/>
      <c r="Z125" s="667"/>
      <c r="AA125" s="667"/>
      <c r="AB125" s="667"/>
      <c r="AC125" s="667"/>
      <c r="AD125" s="667"/>
      <c r="AE125" s="667"/>
      <c r="AF125" s="29"/>
      <c r="AG125" s="757"/>
    </row>
    <row r="126" spans="1:33" ht="18.75" x14ac:dyDescent="0.3">
      <c r="A126" s="8" t="s">
        <v>31</v>
      </c>
      <c r="B126" s="667">
        <f>B127+B128</f>
        <v>16519.5</v>
      </c>
      <c r="C126" s="667">
        <f t="shared" ref="C126:E126" si="191">C127+C128</f>
        <v>4812.83</v>
      </c>
      <c r="D126" s="667">
        <f t="shared" si="191"/>
        <v>3812.67</v>
      </c>
      <c r="E126" s="667">
        <f t="shared" si="191"/>
        <v>3812.67</v>
      </c>
      <c r="F126" s="32">
        <f>E126/B126*100</f>
        <v>23.079814764369385</v>
      </c>
      <c r="G126" s="47">
        <f>E126/C126*100</f>
        <v>79.218879536572047</v>
      </c>
      <c r="H126" s="667">
        <f>H127+H128</f>
        <v>2190.8900000000003</v>
      </c>
      <c r="I126" s="667">
        <f t="shared" ref="I126:AE126" si="192">I127+I128</f>
        <v>1189.69</v>
      </c>
      <c r="J126" s="667">
        <f t="shared" si="192"/>
        <v>1534.36</v>
      </c>
      <c r="K126" s="667">
        <f t="shared" si="192"/>
        <v>1564.63</v>
      </c>
      <c r="L126" s="667">
        <f t="shared" si="192"/>
        <v>1087.58</v>
      </c>
      <c r="M126" s="667">
        <f t="shared" si="192"/>
        <v>1058.3499999999999</v>
      </c>
      <c r="N126" s="667">
        <f t="shared" si="192"/>
        <v>1620.9</v>
      </c>
      <c r="O126" s="667">
        <f t="shared" si="192"/>
        <v>0</v>
      </c>
      <c r="P126" s="667">
        <f t="shared" si="192"/>
        <v>1258.3699999999999</v>
      </c>
      <c r="Q126" s="667">
        <f t="shared" si="192"/>
        <v>0</v>
      </c>
      <c r="R126" s="667">
        <f t="shared" si="192"/>
        <v>1204.43</v>
      </c>
      <c r="S126" s="667">
        <f t="shared" si="192"/>
        <v>0</v>
      </c>
      <c r="T126" s="667">
        <f t="shared" si="192"/>
        <v>1750.8999999999999</v>
      </c>
      <c r="U126" s="667">
        <f t="shared" si="192"/>
        <v>0</v>
      </c>
      <c r="V126" s="667">
        <f t="shared" si="192"/>
        <v>1198.3699999999999</v>
      </c>
      <c r="W126" s="667">
        <f t="shared" si="192"/>
        <v>0</v>
      </c>
      <c r="X126" s="667">
        <f t="shared" si="192"/>
        <v>1058.74</v>
      </c>
      <c r="Y126" s="667">
        <f t="shared" si="192"/>
        <v>0</v>
      </c>
      <c r="Z126" s="667">
        <f t="shared" si="192"/>
        <v>1587.98</v>
      </c>
      <c r="AA126" s="667">
        <f t="shared" si="192"/>
        <v>0</v>
      </c>
      <c r="AB126" s="667">
        <f t="shared" si="192"/>
        <v>1198.3799999999999</v>
      </c>
      <c r="AC126" s="667">
        <f t="shared" si="192"/>
        <v>0</v>
      </c>
      <c r="AD126" s="667">
        <f t="shared" si="192"/>
        <v>828.59999999999991</v>
      </c>
      <c r="AE126" s="667">
        <f t="shared" si="192"/>
        <v>0</v>
      </c>
      <c r="AF126" s="29"/>
      <c r="AG126" s="757"/>
    </row>
    <row r="127" spans="1:33" ht="18.75" x14ac:dyDescent="0.3">
      <c r="A127" s="15" t="s">
        <v>97</v>
      </c>
      <c r="B127" s="667">
        <f>B123</f>
        <v>10200.4</v>
      </c>
      <c r="C127" s="667">
        <f t="shared" ref="C127:E127" si="193">C123</f>
        <v>2992.7</v>
      </c>
      <c r="D127" s="667">
        <f t="shared" si="193"/>
        <v>2239.4499999999998</v>
      </c>
      <c r="E127" s="667">
        <f t="shared" si="193"/>
        <v>2239.4499999999998</v>
      </c>
      <c r="F127" s="32"/>
      <c r="G127" s="47"/>
      <c r="H127" s="667">
        <f>H123</f>
        <v>1335.14</v>
      </c>
      <c r="I127" s="667">
        <f t="shared" ref="I127:AE127" si="194">I123</f>
        <v>647.77</v>
      </c>
      <c r="J127" s="667">
        <f t="shared" si="194"/>
        <v>999.81</v>
      </c>
      <c r="K127" s="667">
        <f t="shared" si="194"/>
        <v>935.9</v>
      </c>
      <c r="L127" s="667">
        <f t="shared" si="194"/>
        <v>657.75</v>
      </c>
      <c r="M127" s="667">
        <f t="shared" si="194"/>
        <v>655.78</v>
      </c>
      <c r="N127" s="667">
        <f t="shared" si="194"/>
        <v>1009.37</v>
      </c>
      <c r="O127" s="667">
        <f t="shared" si="194"/>
        <v>0</v>
      </c>
      <c r="P127" s="667">
        <f t="shared" si="194"/>
        <v>773.67</v>
      </c>
      <c r="Q127" s="667">
        <f t="shared" si="194"/>
        <v>0</v>
      </c>
      <c r="R127" s="667">
        <f t="shared" si="194"/>
        <v>774.61</v>
      </c>
      <c r="S127" s="667">
        <f t="shared" si="194"/>
        <v>0</v>
      </c>
      <c r="T127" s="667">
        <f t="shared" si="194"/>
        <v>1139.3699999999999</v>
      </c>
      <c r="U127" s="667">
        <f t="shared" si="194"/>
        <v>0</v>
      </c>
      <c r="V127" s="667">
        <f t="shared" si="194"/>
        <v>713.67</v>
      </c>
      <c r="W127" s="667">
        <f t="shared" si="194"/>
        <v>0</v>
      </c>
      <c r="X127" s="667">
        <f t="shared" si="194"/>
        <v>628.91999999999996</v>
      </c>
      <c r="Y127" s="667">
        <f t="shared" si="194"/>
        <v>0</v>
      </c>
      <c r="Z127" s="667">
        <f t="shared" si="194"/>
        <v>976.45</v>
      </c>
      <c r="AA127" s="667">
        <f t="shared" si="194"/>
        <v>0</v>
      </c>
      <c r="AB127" s="667">
        <f t="shared" si="194"/>
        <v>713.68</v>
      </c>
      <c r="AC127" s="667">
        <f t="shared" si="194"/>
        <v>0</v>
      </c>
      <c r="AD127" s="667">
        <f t="shared" si="194"/>
        <v>477.96</v>
      </c>
      <c r="AE127" s="667">
        <f t="shared" si="194"/>
        <v>0</v>
      </c>
      <c r="AF127" s="29"/>
      <c r="AG127" s="757"/>
    </row>
    <row r="128" spans="1:33" ht="18.75" x14ac:dyDescent="0.3">
      <c r="A128" s="13" t="s">
        <v>33</v>
      </c>
      <c r="B128" s="667">
        <f>B124</f>
        <v>6319.0999999999995</v>
      </c>
      <c r="C128" s="667">
        <f t="shared" ref="C128:E128" si="195">C124</f>
        <v>1820.1299999999999</v>
      </c>
      <c r="D128" s="667">
        <f t="shared" si="195"/>
        <v>1573.22</v>
      </c>
      <c r="E128" s="667">
        <f t="shared" si="195"/>
        <v>1573.22</v>
      </c>
      <c r="F128" s="47">
        <f t="shared" ref="F128:G128" si="196">D128/B128*100</f>
        <v>24.896266873447171</v>
      </c>
      <c r="G128" s="47">
        <f t="shared" si="196"/>
        <v>86.434485448841571</v>
      </c>
      <c r="H128" s="667">
        <f>H124</f>
        <v>855.75</v>
      </c>
      <c r="I128" s="667">
        <f t="shared" ref="I128:AE128" si="197">I124</f>
        <v>541.91999999999996</v>
      </c>
      <c r="J128" s="667">
        <f t="shared" si="197"/>
        <v>534.54999999999995</v>
      </c>
      <c r="K128" s="667">
        <f t="shared" si="197"/>
        <v>628.73</v>
      </c>
      <c r="L128" s="667">
        <f t="shared" si="197"/>
        <v>429.83</v>
      </c>
      <c r="M128" s="667">
        <f t="shared" si="197"/>
        <v>402.57</v>
      </c>
      <c r="N128" s="667">
        <f t="shared" si="197"/>
        <v>611.53</v>
      </c>
      <c r="O128" s="667">
        <f t="shared" si="197"/>
        <v>0</v>
      </c>
      <c r="P128" s="667">
        <f t="shared" si="197"/>
        <v>484.7</v>
      </c>
      <c r="Q128" s="667">
        <f t="shared" si="197"/>
        <v>0</v>
      </c>
      <c r="R128" s="667">
        <f t="shared" si="197"/>
        <v>429.82</v>
      </c>
      <c r="S128" s="667">
        <f t="shared" si="197"/>
        <v>0</v>
      </c>
      <c r="T128" s="667">
        <f t="shared" si="197"/>
        <v>611.53</v>
      </c>
      <c r="U128" s="667">
        <f t="shared" si="197"/>
        <v>0</v>
      </c>
      <c r="V128" s="667">
        <f t="shared" si="197"/>
        <v>484.7</v>
      </c>
      <c r="W128" s="667">
        <f t="shared" si="197"/>
        <v>0</v>
      </c>
      <c r="X128" s="667">
        <f t="shared" si="197"/>
        <v>429.82</v>
      </c>
      <c r="Y128" s="667">
        <f t="shared" si="197"/>
        <v>0</v>
      </c>
      <c r="Z128" s="667">
        <f t="shared" si="197"/>
        <v>611.53</v>
      </c>
      <c r="AA128" s="667">
        <f t="shared" si="197"/>
        <v>0</v>
      </c>
      <c r="AB128" s="667">
        <f t="shared" si="197"/>
        <v>484.7</v>
      </c>
      <c r="AC128" s="667">
        <f t="shared" si="197"/>
        <v>0</v>
      </c>
      <c r="AD128" s="667">
        <f t="shared" si="197"/>
        <v>350.64</v>
      </c>
      <c r="AE128" s="667">
        <f t="shared" si="197"/>
        <v>0</v>
      </c>
      <c r="AF128" s="29"/>
      <c r="AG128" s="757"/>
    </row>
    <row r="129" spans="1:33" ht="37.5" x14ac:dyDescent="0.3">
      <c r="A129" s="56" t="s">
        <v>63</v>
      </c>
      <c r="B129" s="667">
        <f>B52+B98+B122</f>
        <v>32853.18</v>
      </c>
      <c r="C129" s="667">
        <f t="shared" ref="C129:D129" si="198">C130+C131+C132</f>
        <v>8686.369999999999</v>
      </c>
      <c r="D129" s="667">
        <f t="shared" si="198"/>
        <v>6908.77</v>
      </c>
      <c r="E129" s="667">
        <f>I129+K129+M129+O129+Q129+S129+U129+W129+Y129+AA129+AC129+AE129</f>
        <v>7157.4800000000005</v>
      </c>
      <c r="F129" s="32">
        <f t="shared" si="174"/>
        <v>21.786262395299332</v>
      </c>
      <c r="G129" s="47">
        <f t="shared" si="175"/>
        <v>82.398976787772128</v>
      </c>
      <c r="H129" s="667">
        <f>H130+H131+H132</f>
        <v>3567.17</v>
      </c>
      <c r="I129" s="667">
        <f t="shared" ref="I129:AE129" si="199">I130+I131+I132</f>
        <v>2287.75</v>
      </c>
      <c r="J129" s="667">
        <f t="shared" si="199"/>
        <v>2802.68</v>
      </c>
      <c r="K129" s="667">
        <f t="shared" si="199"/>
        <v>2841.69</v>
      </c>
      <c r="L129" s="667">
        <f t="shared" si="199"/>
        <v>2315.52</v>
      </c>
      <c r="M129" s="667">
        <f t="shared" si="199"/>
        <v>2028.04</v>
      </c>
      <c r="N129" s="667">
        <f t="shared" si="199"/>
        <v>2991.04</v>
      </c>
      <c r="O129" s="667">
        <f t="shared" si="199"/>
        <v>0</v>
      </c>
      <c r="P129" s="667">
        <f t="shared" si="199"/>
        <v>2689.1499999999996</v>
      </c>
      <c r="Q129" s="667">
        <f t="shared" si="199"/>
        <v>0</v>
      </c>
      <c r="R129" s="667">
        <f t="shared" si="199"/>
        <v>2335.02</v>
      </c>
      <c r="S129" s="667">
        <f t="shared" si="199"/>
        <v>0</v>
      </c>
      <c r="T129" s="667">
        <f t="shared" si="199"/>
        <v>3149.95</v>
      </c>
      <c r="U129" s="667">
        <f t="shared" si="199"/>
        <v>0</v>
      </c>
      <c r="V129" s="667">
        <f t="shared" si="199"/>
        <v>2218.7399999999998</v>
      </c>
      <c r="W129" s="667">
        <f t="shared" si="199"/>
        <v>0</v>
      </c>
      <c r="X129" s="667">
        <f t="shared" si="199"/>
        <v>2061.13</v>
      </c>
      <c r="Y129" s="667">
        <f t="shared" si="199"/>
        <v>0</v>
      </c>
      <c r="Z129" s="667">
        <f t="shared" si="199"/>
        <v>3723.87</v>
      </c>
      <c r="AA129" s="667">
        <f t="shared" si="199"/>
        <v>0</v>
      </c>
      <c r="AB129" s="667">
        <f t="shared" si="199"/>
        <v>2222.09</v>
      </c>
      <c r="AC129" s="667">
        <f t="shared" si="199"/>
        <v>0</v>
      </c>
      <c r="AD129" s="667">
        <f t="shared" si="199"/>
        <v>2451.02</v>
      </c>
      <c r="AE129" s="667">
        <f t="shared" si="199"/>
        <v>0</v>
      </c>
      <c r="AF129" s="29"/>
      <c r="AG129" s="757"/>
    </row>
    <row r="130" spans="1:33" ht="18.75" x14ac:dyDescent="0.3">
      <c r="A130" s="15" t="s">
        <v>102</v>
      </c>
      <c r="B130" s="667">
        <f>B59</f>
        <v>2.8</v>
      </c>
      <c r="C130" s="667">
        <f>C23</f>
        <v>0</v>
      </c>
      <c r="D130" s="667">
        <f>D23</f>
        <v>0</v>
      </c>
      <c r="E130" s="667">
        <f>E23</f>
        <v>0</v>
      </c>
      <c r="F130" s="32"/>
      <c r="G130" s="47"/>
      <c r="H130" s="667">
        <f t="shared" ref="H130:AE130" si="200">H23</f>
        <v>0</v>
      </c>
      <c r="I130" s="667">
        <f t="shared" si="200"/>
        <v>0</v>
      </c>
      <c r="J130" s="667">
        <f t="shared" si="200"/>
        <v>0</v>
      </c>
      <c r="K130" s="667">
        <f t="shared" si="200"/>
        <v>0</v>
      </c>
      <c r="L130" s="667">
        <f t="shared" si="200"/>
        <v>0</v>
      </c>
      <c r="M130" s="667">
        <f t="shared" si="200"/>
        <v>0</v>
      </c>
      <c r="N130" s="667">
        <f t="shared" si="200"/>
        <v>0</v>
      </c>
      <c r="O130" s="667">
        <f t="shared" si="200"/>
        <v>0</v>
      </c>
      <c r="P130" s="667">
        <f t="shared" si="200"/>
        <v>2.8</v>
      </c>
      <c r="Q130" s="667">
        <f t="shared" si="200"/>
        <v>0</v>
      </c>
      <c r="R130" s="667">
        <f t="shared" si="200"/>
        <v>0</v>
      </c>
      <c r="S130" s="667">
        <f t="shared" si="200"/>
        <v>0</v>
      </c>
      <c r="T130" s="667">
        <f t="shared" si="200"/>
        <v>0</v>
      </c>
      <c r="U130" s="667">
        <f t="shared" si="200"/>
        <v>0</v>
      </c>
      <c r="V130" s="667">
        <f t="shared" si="200"/>
        <v>0</v>
      </c>
      <c r="W130" s="667">
        <f t="shared" si="200"/>
        <v>0</v>
      </c>
      <c r="X130" s="667">
        <f t="shared" si="200"/>
        <v>0</v>
      </c>
      <c r="Y130" s="667">
        <f t="shared" si="200"/>
        <v>0</v>
      </c>
      <c r="Z130" s="667">
        <f t="shared" si="200"/>
        <v>0</v>
      </c>
      <c r="AA130" s="667">
        <f t="shared" si="200"/>
        <v>0</v>
      </c>
      <c r="AB130" s="667">
        <f t="shared" si="200"/>
        <v>0</v>
      </c>
      <c r="AC130" s="667">
        <f t="shared" si="200"/>
        <v>0</v>
      </c>
      <c r="AD130" s="667">
        <f t="shared" si="200"/>
        <v>0</v>
      </c>
      <c r="AE130" s="667">
        <f t="shared" si="200"/>
        <v>0</v>
      </c>
      <c r="AF130" s="29"/>
      <c r="AG130" s="757"/>
    </row>
    <row r="131" spans="1:33" ht="18.75" x14ac:dyDescent="0.3">
      <c r="A131" s="15" t="s">
        <v>97</v>
      </c>
      <c r="B131" s="667">
        <f>B54+B123</f>
        <v>13529.89</v>
      </c>
      <c r="C131" s="667">
        <f>C11+C19+C120</f>
        <v>3939.1299999999997</v>
      </c>
      <c r="D131" s="667">
        <f>D11+D19+D120</f>
        <v>2817.2</v>
      </c>
      <c r="E131" s="667">
        <f>I131+K131+M131+O131+Q131+S131+U131+W131+Y131+AA131+AC131</f>
        <v>3065.91</v>
      </c>
      <c r="F131" s="32"/>
      <c r="G131" s="47"/>
      <c r="H131" s="667">
        <f>H54+H123</f>
        <v>1678.91</v>
      </c>
      <c r="I131" s="667">
        <f t="shared" ref="I131:AE131" si="201">I11+I19+I120</f>
        <v>896.48</v>
      </c>
      <c r="J131" s="667">
        <f t="shared" si="201"/>
        <v>1216.48</v>
      </c>
      <c r="K131" s="667">
        <f t="shared" si="201"/>
        <v>1194.42</v>
      </c>
      <c r="L131" s="667">
        <f t="shared" si="201"/>
        <v>1043.74</v>
      </c>
      <c r="M131" s="667">
        <f t="shared" si="201"/>
        <v>975.01</v>
      </c>
      <c r="N131" s="667">
        <f t="shared" si="201"/>
        <v>1360.17</v>
      </c>
      <c r="O131" s="667">
        <f t="shared" si="201"/>
        <v>0</v>
      </c>
      <c r="P131" s="667">
        <f t="shared" si="201"/>
        <v>1079.8899999999999</v>
      </c>
      <c r="Q131" s="667">
        <f t="shared" si="201"/>
        <v>0</v>
      </c>
      <c r="R131" s="667">
        <f t="shared" si="201"/>
        <v>1053.07</v>
      </c>
      <c r="S131" s="667">
        <f t="shared" si="201"/>
        <v>0</v>
      </c>
      <c r="T131" s="667">
        <f t="shared" si="201"/>
        <v>1560.8999999999999</v>
      </c>
      <c r="U131" s="667">
        <f t="shared" si="201"/>
        <v>0</v>
      </c>
      <c r="V131" s="667">
        <f t="shared" si="201"/>
        <v>885.27</v>
      </c>
      <c r="W131" s="667">
        <f t="shared" si="201"/>
        <v>0</v>
      </c>
      <c r="X131" s="667">
        <f t="shared" si="201"/>
        <v>779.18</v>
      </c>
      <c r="Y131" s="667">
        <f t="shared" si="201"/>
        <v>0</v>
      </c>
      <c r="Z131" s="667">
        <f t="shared" si="201"/>
        <v>1245.1300000000001</v>
      </c>
      <c r="AA131" s="667">
        <f t="shared" si="201"/>
        <v>0</v>
      </c>
      <c r="AB131" s="667">
        <f t="shared" si="201"/>
        <v>885.29</v>
      </c>
      <c r="AC131" s="667">
        <f t="shared" si="201"/>
        <v>0</v>
      </c>
      <c r="AD131" s="667">
        <f t="shared" si="201"/>
        <v>741.86</v>
      </c>
      <c r="AE131" s="667">
        <f t="shared" si="201"/>
        <v>0</v>
      </c>
      <c r="AF131" s="29"/>
      <c r="AG131" s="757"/>
    </row>
    <row r="132" spans="1:33" ht="18.75" x14ac:dyDescent="0.3">
      <c r="A132" s="15" t="s">
        <v>33</v>
      </c>
      <c r="B132" s="667">
        <f>B55+B99+B124</f>
        <v>19320.490000000002</v>
      </c>
      <c r="C132" s="667">
        <f>C12+C16+C20+C26+C41+C66+C72+C78+C107+C117</f>
        <v>4747.24</v>
      </c>
      <c r="D132" s="667">
        <f>D12+D16+D20+D26+D41+D66+D72+D78+D107+D117</f>
        <v>4091.5700000000006</v>
      </c>
      <c r="E132" s="667">
        <f>I132+K132+M132+O132+Q132+S132+U132+W132+Y132+AA132+AC132+AE132</f>
        <v>4091.5699999999997</v>
      </c>
      <c r="F132" s="32">
        <f t="shared" si="174"/>
        <v>21.177361443731495</v>
      </c>
      <c r="G132" s="47">
        <f t="shared" si="175"/>
        <v>86.188395783655352</v>
      </c>
      <c r="H132" s="667">
        <f>H55+H124</f>
        <v>1888.26</v>
      </c>
      <c r="I132" s="667">
        <f t="shared" ref="I132:AE132" si="202">I55+I99+I124</f>
        <v>1391.27</v>
      </c>
      <c r="J132" s="667">
        <f>J55+J102+J124</f>
        <v>1586.1999999999998</v>
      </c>
      <c r="K132" s="667">
        <f t="shared" si="202"/>
        <v>1647.27</v>
      </c>
      <c r="L132" s="667">
        <f>L55+L99+L124</f>
        <v>1271.78</v>
      </c>
      <c r="M132" s="667">
        <f t="shared" si="202"/>
        <v>1053.03</v>
      </c>
      <c r="N132" s="667">
        <f>N55+N99+N124</f>
        <v>1630.87</v>
      </c>
      <c r="O132" s="667">
        <f t="shared" si="202"/>
        <v>0</v>
      </c>
      <c r="P132" s="667">
        <f>P55+P99+P124</f>
        <v>1606.46</v>
      </c>
      <c r="Q132" s="667">
        <f t="shared" si="202"/>
        <v>0</v>
      </c>
      <c r="R132" s="667">
        <f>R55+R99+R124</f>
        <v>1281.95</v>
      </c>
      <c r="S132" s="667">
        <f t="shared" si="202"/>
        <v>0</v>
      </c>
      <c r="T132" s="667">
        <f>T55+T99+T124</f>
        <v>1589.05</v>
      </c>
      <c r="U132" s="667">
        <f t="shared" si="202"/>
        <v>0</v>
      </c>
      <c r="V132" s="667">
        <f>V55+V99+V124</f>
        <v>1333.47</v>
      </c>
      <c r="W132" s="667">
        <f t="shared" si="202"/>
        <v>0</v>
      </c>
      <c r="X132" s="667">
        <f t="shared" si="202"/>
        <v>1281.95</v>
      </c>
      <c r="Y132" s="667">
        <f t="shared" si="202"/>
        <v>0</v>
      </c>
      <c r="Z132" s="667">
        <f>Z55+Z99+Z124</f>
        <v>2478.7399999999998</v>
      </c>
      <c r="AA132" s="667">
        <f t="shared" si="202"/>
        <v>0</v>
      </c>
      <c r="AB132" s="667">
        <f>AB55+AB99+AB124</f>
        <v>1336.8</v>
      </c>
      <c r="AC132" s="667">
        <f t="shared" si="202"/>
        <v>0</v>
      </c>
      <c r="AD132" s="667">
        <f>AD55+AD99+AD124</f>
        <v>1709.1599999999999</v>
      </c>
      <c r="AE132" s="667">
        <f t="shared" si="202"/>
        <v>0</v>
      </c>
      <c r="AF132" s="29"/>
      <c r="AG132" s="757"/>
    </row>
    <row r="133" spans="1:33" ht="37.5" x14ac:dyDescent="0.3">
      <c r="A133" s="74" t="s">
        <v>130</v>
      </c>
      <c r="B133" s="667">
        <f>K142+B56</f>
        <v>65.319999999999993</v>
      </c>
      <c r="C133" s="667">
        <f>C56</f>
        <v>0</v>
      </c>
      <c r="D133" s="667">
        <f>D56</f>
        <v>0</v>
      </c>
      <c r="E133" s="667">
        <f>E56</f>
        <v>0</v>
      </c>
      <c r="F133" s="32">
        <f t="shared" ref="F133" si="203">E133/B133*100</f>
        <v>0</v>
      </c>
      <c r="G133" s="47" t="e">
        <f t="shared" ref="G133" si="204">E133/C133*100</f>
        <v>#DIV/0!</v>
      </c>
      <c r="H133" s="667">
        <f t="shared" ref="H133:AE133" si="205">H56</f>
        <v>0</v>
      </c>
      <c r="I133" s="667">
        <f t="shared" si="205"/>
        <v>0</v>
      </c>
      <c r="J133" s="667">
        <f t="shared" si="205"/>
        <v>0</v>
      </c>
      <c r="K133" s="667">
        <f t="shared" si="205"/>
        <v>0</v>
      </c>
      <c r="L133" s="667">
        <f t="shared" si="205"/>
        <v>0</v>
      </c>
      <c r="M133" s="667">
        <f t="shared" si="205"/>
        <v>0</v>
      </c>
      <c r="N133" s="667">
        <f t="shared" si="205"/>
        <v>16.329999999999998</v>
      </c>
      <c r="O133" s="667">
        <f t="shared" si="205"/>
        <v>0</v>
      </c>
      <c r="P133" s="667">
        <f t="shared" si="205"/>
        <v>0</v>
      </c>
      <c r="Q133" s="667">
        <f t="shared" si="205"/>
        <v>0</v>
      </c>
      <c r="R133" s="667">
        <f t="shared" si="205"/>
        <v>0</v>
      </c>
      <c r="S133" s="667">
        <f t="shared" si="205"/>
        <v>0</v>
      </c>
      <c r="T133" s="667">
        <f t="shared" si="205"/>
        <v>16.329999999999998</v>
      </c>
      <c r="U133" s="667">
        <f t="shared" si="205"/>
        <v>0</v>
      </c>
      <c r="V133" s="667">
        <f t="shared" si="205"/>
        <v>0</v>
      </c>
      <c r="W133" s="667">
        <f t="shared" si="205"/>
        <v>0</v>
      </c>
      <c r="X133" s="667">
        <f t="shared" si="205"/>
        <v>0</v>
      </c>
      <c r="Y133" s="667">
        <f t="shared" si="205"/>
        <v>0</v>
      </c>
      <c r="Z133" s="667">
        <f t="shared" si="205"/>
        <v>16.329999999999998</v>
      </c>
      <c r="AA133" s="667">
        <f t="shared" si="205"/>
        <v>0</v>
      </c>
      <c r="AB133" s="667">
        <f t="shared" si="205"/>
        <v>0</v>
      </c>
      <c r="AC133" s="667">
        <f t="shared" si="205"/>
        <v>0</v>
      </c>
      <c r="AD133" s="667">
        <f t="shared" si="205"/>
        <v>16.329999999999998</v>
      </c>
      <c r="AE133" s="667">
        <f t="shared" si="205"/>
        <v>0</v>
      </c>
      <c r="AF133" s="29"/>
      <c r="AG133" s="757"/>
    </row>
    <row r="134" spans="1:33" ht="37.5" x14ac:dyDescent="0.3">
      <c r="A134" s="57" t="s">
        <v>64</v>
      </c>
      <c r="B134" s="667">
        <f>B135+B136+B137</f>
        <v>32853.18</v>
      </c>
      <c r="C134" s="667">
        <f>C135+C136+C137</f>
        <v>8686.369999999999</v>
      </c>
      <c r="D134" s="667">
        <f t="shared" ref="D134:E134" si="206">D135+D136+D137</f>
        <v>6908.77</v>
      </c>
      <c r="E134" s="667">
        <f t="shared" si="206"/>
        <v>7157.48</v>
      </c>
      <c r="F134" s="32">
        <f t="shared" si="174"/>
        <v>21.786262395299328</v>
      </c>
      <c r="G134" s="47">
        <f t="shared" si="175"/>
        <v>82.398976787772114</v>
      </c>
      <c r="H134" s="667">
        <f>H135+H136+H137</f>
        <v>3567.17</v>
      </c>
      <c r="I134" s="667">
        <f t="shared" ref="I134:AE134" si="207">I135+I136+I137</f>
        <v>2287.75</v>
      </c>
      <c r="J134" s="667">
        <f t="shared" si="207"/>
        <v>2802.68</v>
      </c>
      <c r="K134" s="667">
        <f t="shared" si="207"/>
        <v>2841.69</v>
      </c>
      <c r="L134" s="667">
        <f t="shared" si="207"/>
        <v>2315.52</v>
      </c>
      <c r="M134" s="667">
        <f t="shared" si="207"/>
        <v>2028.04</v>
      </c>
      <c r="N134" s="667">
        <f t="shared" si="207"/>
        <v>2991.04</v>
      </c>
      <c r="O134" s="667">
        <f t="shared" si="207"/>
        <v>0</v>
      </c>
      <c r="P134" s="667">
        <f t="shared" si="207"/>
        <v>2689.1499999999996</v>
      </c>
      <c r="Q134" s="667">
        <f t="shared" si="207"/>
        <v>0</v>
      </c>
      <c r="R134" s="667">
        <f t="shared" si="207"/>
        <v>2335.02</v>
      </c>
      <c r="S134" s="667">
        <f t="shared" si="207"/>
        <v>0</v>
      </c>
      <c r="T134" s="667">
        <f t="shared" si="207"/>
        <v>3149.95</v>
      </c>
      <c r="U134" s="667">
        <f t="shared" si="207"/>
        <v>0</v>
      </c>
      <c r="V134" s="667">
        <f t="shared" si="207"/>
        <v>2218.7399999999998</v>
      </c>
      <c r="W134" s="667">
        <f t="shared" si="207"/>
        <v>0</v>
      </c>
      <c r="X134" s="667">
        <f t="shared" si="207"/>
        <v>2061.13</v>
      </c>
      <c r="Y134" s="667">
        <f t="shared" si="207"/>
        <v>0</v>
      </c>
      <c r="Z134" s="667">
        <f t="shared" si="207"/>
        <v>3723.87</v>
      </c>
      <c r="AA134" s="667">
        <f t="shared" si="207"/>
        <v>0</v>
      </c>
      <c r="AB134" s="667">
        <f t="shared" si="207"/>
        <v>2222.09</v>
      </c>
      <c r="AC134" s="667">
        <f t="shared" si="207"/>
        <v>0</v>
      </c>
      <c r="AD134" s="667">
        <f t="shared" si="207"/>
        <v>2451.02</v>
      </c>
      <c r="AE134" s="667">
        <f t="shared" si="207"/>
        <v>0</v>
      </c>
      <c r="AF134" s="29"/>
      <c r="AG134" s="757"/>
    </row>
    <row r="135" spans="1:33" ht="18.75" x14ac:dyDescent="0.3">
      <c r="A135" s="15" t="s">
        <v>102</v>
      </c>
      <c r="B135" s="667">
        <f>B130</f>
        <v>2.8</v>
      </c>
      <c r="C135" s="667">
        <f t="shared" ref="C135:E135" si="208">C130</f>
        <v>0</v>
      </c>
      <c r="D135" s="667">
        <f t="shared" si="208"/>
        <v>0</v>
      </c>
      <c r="E135" s="667">
        <f t="shared" si="208"/>
        <v>0</v>
      </c>
      <c r="F135" s="32"/>
      <c r="G135" s="47"/>
      <c r="H135" s="667">
        <f>H130</f>
        <v>0</v>
      </c>
      <c r="I135" s="667">
        <f t="shared" ref="I135:AE135" si="209">I130</f>
        <v>0</v>
      </c>
      <c r="J135" s="667">
        <f t="shared" si="209"/>
        <v>0</v>
      </c>
      <c r="K135" s="667">
        <f t="shared" si="209"/>
        <v>0</v>
      </c>
      <c r="L135" s="667">
        <f t="shared" si="209"/>
        <v>0</v>
      </c>
      <c r="M135" s="667">
        <f t="shared" si="209"/>
        <v>0</v>
      </c>
      <c r="N135" s="667">
        <f t="shared" si="209"/>
        <v>0</v>
      </c>
      <c r="O135" s="667">
        <f t="shared" si="209"/>
        <v>0</v>
      </c>
      <c r="P135" s="667">
        <f t="shared" si="209"/>
        <v>2.8</v>
      </c>
      <c r="Q135" s="667">
        <f t="shared" si="209"/>
        <v>0</v>
      </c>
      <c r="R135" s="667">
        <f t="shared" si="209"/>
        <v>0</v>
      </c>
      <c r="S135" s="667">
        <f t="shared" si="209"/>
        <v>0</v>
      </c>
      <c r="T135" s="667">
        <f t="shared" si="209"/>
        <v>0</v>
      </c>
      <c r="U135" s="667">
        <f t="shared" si="209"/>
        <v>0</v>
      </c>
      <c r="V135" s="667">
        <f t="shared" si="209"/>
        <v>0</v>
      </c>
      <c r="W135" s="667">
        <f t="shared" si="209"/>
        <v>0</v>
      </c>
      <c r="X135" s="667">
        <f t="shared" si="209"/>
        <v>0</v>
      </c>
      <c r="Y135" s="667">
        <f t="shared" si="209"/>
        <v>0</v>
      </c>
      <c r="Z135" s="667">
        <f t="shared" si="209"/>
        <v>0</v>
      </c>
      <c r="AA135" s="667">
        <f t="shared" si="209"/>
        <v>0</v>
      </c>
      <c r="AB135" s="667">
        <f t="shared" si="209"/>
        <v>0</v>
      </c>
      <c r="AC135" s="667">
        <f t="shared" si="209"/>
        <v>0</v>
      </c>
      <c r="AD135" s="667">
        <f t="shared" si="209"/>
        <v>0</v>
      </c>
      <c r="AE135" s="667">
        <f t="shared" si="209"/>
        <v>0</v>
      </c>
      <c r="AF135" s="29"/>
      <c r="AG135" s="757"/>
    </row>
    <row r="136" spans="1:33" ht="18.75" x14ac:dyDescent="0.3">
      <c r="A136" s="15" t="s">
        <v>97</v>
      </c>
      <c r="B136" s="667">
        <f>B131</f>
        <v>13529.89</v>
      </c>
      <c r="C136" s="667">
        <f>C131</f>
        <v>3939.1299999999997</v>
      </c>
      <c r="D136" s="667">
        <f t="shared" ref="D136:E136" si="210">D131</f>
        <v>2817.2</v>
      </c>
      <c r="E136" s="667">
        <f t="shared" si="210"/>
        <v>3065.91</v>
      </c>
      <c r="F136" s="32"/>
      <c r="G136" s="47"/>
      <c r="H136" s="667">
        <f>H131</f>
        <v>1678.91</v>
      </c>
      <c r="I136" s="667">
        <f t="shared" ref="I136:AE136" si="211">I131</f>
        <v>896.48</v>
      </c>
      <c r="J136" s="667">
        <f t="shared" si="211"/>
        <v>1216.48</v>
      </c>
      <c r="K136" s="667">
        <f t="shared" si="211"/>
        <v>1194.42</v>
      </c>
      <c r="L136" s="667">
        <f t="shared" si="211"/>
        <v>1043.74</v>
      </c>
      <c r="M136" s="667">
        <f t="shared" si="211"/>
        <v>975.01</v>
      </c>
      <c r="N136" s="667">
        <f t="shared" si="211"/>
        <v>1360.17</v>
      </c>
      <c r="O136" s="667">
        <f t="shared" si="211"/>
        <v>0</v>
      </c>
      <c r="P136" s="667">
        <f t="shared" si="211"/>
        <v>1079.8899999999999</v>
      </c>
      <c r="Q136" s="667">
        <f t="shared" si="211"/>
        <v>0</v>
      </c>
      <c r="R136" s="667">
        <f t="shared" si="211"/>
        <v>1053.07</v>
      </c>
      <c r="S136" s="667">
        <f t="shared" si="211"/>
        <v>0</v>
      </c>
      <c r="T136" s="667">
        <f t="shared" si="211"/>
        <v>1560.8999999999999</v>
      </c>
      <c r="U136" s="667">
        <f t="shared" si="211"/>
        <v>0</v>
      </c>
      <c r="V136" s="667">
        <f t="shared" si="211"/>
        <v>885.27</v>
      </c>
      <c r="W136" s="667">
        <f t="shared" si="211"/>
        <v>0</v>
      </c>
      <c r="X136" s="667">
        <f t="shared" si="211"/>
        <v>779.18</v>
      </c>
      <c r="Y136" s="667">
        <f t="shared" si="211"/>
        <v>0</v>
      </c>
      <c r="Z136" s="667">
        <f t="shared" si="211"/>
        <v>1245.1300000000001</v>
      </c>
      <c r="AA136" s="667">
        <f t="shared" si="211"/>
        <v>0</v>
      </c>
      <c r="AB136" s="667">
        <f t="shared" si="211"/>
        <v>885.29</v>
      </c>
      <c r="AC136" s="667">
        <f t="shared" si="211"/>
        <v>0</v>
      </c>
      <c r="AD136" s="667">
        <f t="shared" si="211"/>
        <v>741.86</v>
      </c>
      <c r="AE136" s="667">
        <f t="shared" si="211"/>
        <v>0</v>
      </c>
      <c r="AF136" s="29"/>
      <c r="AG136" s="757"/>
    </row>
    <row r="137" spans="1:33" ht="18.75" x14ac:dyDescent="0.3">
      <c r="A137" s="15" t="s">
        <v>33</v>
      </c>
      <c r="B137" s="667">
        <f>B132</f>
        <v>19320.490000000002</v>
      </c>
      <c r="C137" s="667">
        <f t="shared" ref="C137:E137" si="212">C132</f>
        <v>4747.24</v>
      </c>
      <c r="D137" s="667">
        <f t="shared" si="212"/>
        <v>4091.5700000000006</v>
      </c>
      <c r="E137" s="667">
        <f t="shared" si="212"/>
        <v>4091.5699999999997</v>
      </c>
      <c r="F137" s="32">
        <f t="shared" si="174"/>
        <v>21.177361443731495</v>
      </c>
      <c r="G137" s="47">
        <f t="shared" si="175"/>
        <v>86.188395783655352</v>
      </c>
      <c r="H137" s="667">
        <f>H132</f>
        <v>1888.26</v>
      </c>
      <c r="I137" s="667">
        <f t="shared" ref="I137:AE137" si="213">I132</f>
        <v>1391.27</v>
      </c>
      <c r="J137" s="667">
        <f t="shared" si="213"/>
        <v>1586.1999999999998</v>
      </c>
      <c r="K137" s="667">
        <f t="shared" si="213"/>
        <v>1647.27</v>
      </c>
      <c r="L137" s="667">
        <f t="shared" si="213"/>
        <v>1271.78</v>
      </c>
      <c r="M137" s="667">
        <f t="shared" si="213"/>
        <v>1053.03</v>
      </c>
      <c r="N137" s="667">
        <f t="shared" si="213"/>
        <v>1630.87</v>
      </c>
      <c r="O137" s="667">
        <f t="shared" si="213"/>
        <v>0</v>
      </c>
      <c r="P137" s="667">
        <f t="shared" si="213"/>
        <v>1606.46</v>
      </c>
      <c r="Q137" s="667">
        <f t="shared" si="213"/>
        <v>0</v>
      </c>
      <c r="R137" s="667">
        <f t="shared" si="213"/>
        <v>1281.95</v>
      </c>
      <c r="S137" s="667">
        <f t="shared" si="213"/>
        <v>0</v>
      </c>
      <c r="T137" s="667">
        <f t="shared" si="213"/>
        <v>1589.05</v>
      </c>
      <c r="U137" s="667">
        <f t="shared" si="213"/>
        <v>0</v>
      </c>
      <c r="V137" s="667">
        <f t="shared" si="213"/>
        <v>1333.47</v>
      </c>
      <c r="W137" s="667">
        <f t="shared" si="213"/>
        <v>0</v>
      </c>
      <c r="X137" s="667">
        <f t="shared" si="213"/>
        <v>1281.95</v>
      </c>
      <c r="Y137" s="667">
        <f t="shared" si="213"/>
        <v>0</v>
      </c>
      <c r="Z137" s="667">
        <f t="shared" si="213"/>
        <v>2478.7399999999998</v>
      </c>
      <c r="AA137" s="667">
        <f t="shared" si="213"/>
        <v>0</v>
      </c>
      <c r="AB137" s="667">
        <f t="shared" si="213"/>
        <v>1336.8</v>
      </c>
      <c r="AC137" s="667">
        <f t="shared" si="213"/>
        <v>0</v>
      </c>
      <c r="AD137" s="667">
        <f t="shared" si="213"/>
        <v>1709.1599999999999</v>
      </c>
      <c r="AE137" s="667">
        <f t="shared" si="213"/>
        <v>0</v>
      </c>
      <c r="AF137" s="29"/>
      <c r="AG137" s="757"/>
    </row>
    <row r="138" spans="1:33" ht="37.5" x14ac:dyDescent="0.3">
      <c r="A138" s="75" t="s">
        <v>130</v>
      </c>
      <c r="B138" s="41">
        <f>B133</f>
        <v>65.319999999999993</v>
      </c>
      <c r="C138" s="41">
        <f t="shared" ref="C138:E138" si="214">C133</f>
        <v>0</v>
      </c>
      <c r="D138" s="41">
        <f t="shared" si="214"/>
        <v>0</v>
      </c>
      <c r="E138" s="41">
        <f t="shared" si="214"/>
        <v>0</v>
      </c>
      <c r="F138" s="32">
        <f t="shared" ref="F138" si="215">E138/B138*100</f>
        <v>0</v>
      </c>
      <c r="G138" s="47" t="e">
        <f t="shared" ref="G138" si="216">E138/C138*100</f>
        <v>#DIV/0!</v>
      </c>
      <c r="H138" s="41">
        <f>H133</f>
        <v>0</v>
      </c>
      <c r="I138" s="41">
        <f t="shared" ref="I138:AE138" si="217">I133</f>
        <v>0</v>
      </c>
      <c r="J138" s="41">
        <f t="shared" si="217"/>
        <v>0</v>
      </c>
      <c r="K138" s="41">
        <f t="shared" si="217"/>
        <v>0</v>
      </c>
      <c r="L138" s="41">
        <f t="shared" si="217"/>
        <v>0</v>
      </c>
      <c r="M138" s="41">
        <f t="shared" si="217"/>
        <v>0</v>
      </c>
      <c r="N138" s="41">
        <f t="shared" si="217"/>
        <v>16.329999999999998</v>
      </c>
      <c r="O138" s="41">
        <f t="shared" si="217"/>
        <v>0</v>
      </c>
      <c r="P138" s="41">
        <f t="shared" si="217"/>
        <v>0</v>
      </c>
      <c r="Q138" s="41">
        <f t="shared" si="217"/>
        <v>0</v>
      </c>
      <c r="R138" s="41">
        <f t="shared" si="217"/>
        <v>0</v>
      </c>
      <c r="S138" s="41">
        <f t="shared" si="217"/>
        <v>0</v>
      </c>
      <c r="T138" s="41">
        <f t="shared" si="217"/>
        <v>16.329999999999998</v>
      </c>
      <c r="U138" s="41">
        <f t="shared" si="217"/>
        <v>0</v>
      </c>
      <c r="V138" s="41">
        <f t="shared" si="217"/>
        <v>0</v>
      </c>
      <c r="W138" s="41">
        <f t="shared" si="217"/>
        <v>0</v>
      </c>
      <c r="X138" s="41">
        <f t="shared" si="217"/>
        <v>0</v>
      </c>
      <c r="Y138" s="41">
        <f t="shared" si="217"/>
        <v>0</v>
      </c>
      <c r="Z138" s="41">
        <f t="shared" si="217"/>
        <v>16.329999999999998</v>
      </c>
      <c r="AA138" s="41">
        <f t="shared" si="217"/>
        <v>0</v>
      </c>
      <c r="AB138" s="41">
        <f t="shared" si="217"/>
        <v>0</v>
      </c>
      <c r="AC138" s="41">
        <f t="shared" si="217"/>
        <v>0</v>
      </c>
      <c r="AD138" s="41">
        <f t="shared" si="217"/>
        <v>16.329999999999998</v>
      </c>
      <c r="AE138" s="41">
        <f t="shared" si="217"/>
        <v>0</v>
      </c>
      <c r="AF138" s="29"/>
      <c r="AG138" s="757"/>
    </row>
    <row r="139" spans="1:33" ht="19.5" x14ac:dyDescent="0.3">
      <c r="B139" s="824"/>
      <c r="C139" s="825"/>
      <c r="D139" s="825"/>
      <c r="E139" s="825"/>
    </row>
    <row r="140" spans="1:33" x14ac:dyDescent="0.25">
      <c r="B140" s="71"/>
      <c r="C140" s="71"/>
    </row>
    <row r="141" spans="1:33" x14ac:dyDescent="0.25">
      <c r="B141" s="71"/>
    </row>
    <row r="142" spans="1:33" ht="37.5" x14ac:dyDescent="0.3">
      <c r="A142" s="836" t="s">
        <v>71</v>
      </c>
      <c r="B142" s="837"/>
      <c r="C142" s="837"/>
      <c r="D142" s="838" t="s">
        <v>606</v>
      </c>
      <c r="E142" s="835"/>
    </row>
    <row r="143" spans="1:33" ht="18.75" x14ac:dyDescent="0.3">
      <c r="A143" s="836"/>
      <c r="B143" s="839" t="s">
        <v>68</v>
      </c>
      <c r="C143" s="839"/>
      <c r="D143" s="840"/>
    </row>
    <row r="144" spans="1:33" ht="56.25" x14ac:dyDescent="0.3">
      <c r="A144" s="841" t="s">
        <v>607</v>
      </c>
      <c r="B144" s="841"/>
      <c r="C144" s="841"/>
      <c r="D144" s="836"/>
    </row>
    <row r="145" spans="1:4" x14ac:dyDescent="0.25">
      <c r="A145" s="842"/>
      <c r="B145" s="843"/>
      <c r="C145" s="843"/>
      <c r="D145" s="843"/>
    </row>
  </sheetData>
  <customSheetViews>
    <customSheetView guid="{533DC55B-6AD4-4674-9488-685EF2039F3E}" scale="70">
      <pane xSplit="5" ySplit="6" topLeftCell="R124" activePane="bottomRight" state="frozen"/>
      <selection pane="bottomRight" activeCell="T142" sqref="T142"/>
      <pageMargins left="0.70866141732283472" right="0.70866141732283472" top="0.74803149606299213" bottom="0.74803149606299213" header="0.31496062992125984" footer="0.31496062992125984"/>
      <pageSetup paperSize="9" scale="55" orientation="landscape" r:id="rId1"/>
    </customSheetView>
    <customSheetView guid="{85F4575B-DBC5-482A-9916-255D8F0BC94E}" scale="60">
      <pane xSplit="1" ySplit="6" topLeftCell="X103" activePane="bottomRight" state="frozen"/>
      <selection pane="bottomRight" activeCell="AF115" sqref="AF115"/>
      <pageMargins left="0.70866141732283472" right="0.70866141732283472" top="0.74803149606299213" bottom="0.74803149606299213" header="0.31496062992125984" footer="0.31496062992125984"/>
      <pageSetup paperSize="9" scale="55" orientation="landscape" r:id="rId2"/>
    </customSheetView>
    <customSheetView guid="{B1BF08D1-D416-4B47-ADD0-4F59132DC9E8}" scale="60">
      <pane xSplit="1" ySplit="6" topLeftCell="J115" activePane="bottomRight" state="frozen"/>
      <selection pane="bottomRight" activeCell="AF115" sqref="AF115"/>
      <pageMargins left="0.70866141732283472" right="0.70866141732283472" top="0.74803149606299213" bottom="0.74803149606299213" header="0.31496062992125984" footer="0.31496062992125984"/>
      <pageSetup paperSize="9" scale="55" orientation="landscape" r:id="rId3"/>
    </customSheetView>
    <customSheetView guid="{4F41B9CC-959D-442C-80B0-1F0DB2C76D27}" scale="60">
      <pane xSplit="1" ySplit="6" topLeftCell="B7" activePane="bottomRight" state="frozen"/>
      <selection pane="bottomRight" activeCell="E144" sqref="E144"/>
      <pageMargins left="0.70866141732283472" right="0.70866141732283472" top="0.74803149606299213" bottom="0.74803149606299213" header="0.31496062992125984" footer="0.31496062992125984"/>
      <pageSetup paperSize="9" scale="55" orientation="landscape" r:id="rId4"/>
    </customSheetView>
    <customSheetView guid="{602C8EDB-B9EF-4C85-B0D5-0558C3A0ABAB}" scale="60">
      <pane xSplit="1" ySplit="6" topLeftCell="B7" activePane="bottomRight" state="frozen"/>
      <selection pane="bottomRight" activeCell="E144" sqref="E144"/>
      <pageMargins left="0.70866141732283472" right="0.70866141732283472" top="0.74803149606299213" bottom="0.74803149606299213" header="0.31496062992125984" footer="0.31496062992125984"/>
      <pageSetup paperSize="9" scale="55" orientation="landscape" r:id="rId5"/>
    </customSheetView>
    <customSheetView guid="{D01FA037-9AEC-4167-ADB8-2F327C01ECE6}" scale="60" showPageBreaks="1">
      <pane xSplit="1" ySplit="6" topLeftCell="B118" activePane="bottomRight" state="frozen"/>
      <selection pane="bottomRight" activeCell="H126" sqref="H126"/>
      <pageMargins left="0.70866141732283472" right="0.70866141732283472" top="0.74803149606299213" bottom="0.74803149606299213" header="0.31496062992125984" footer="0.31496062992125984"/>
      <pageSetup paperSize="9" scale="55" orientation="landscape" r:id="rId6"/>
    </customSheetView>
    <customSheetView guid="{84867370-1F3E-4368-AF79-FBCE46FFFE92}" scale="60">
      <pane xSplit="1" ySplit="6" topLeftCell="B118" activePane="bottomRight" state="frozen"/>
      <selection pane="bottomRight" activeCell="AF125" sqref="AF125"/>
      <pageMargins left="0.70866141732283472" right="0.70866141732283472" top="0.74803149606299213" bottom="0.74803149606299213" header="0.31496062992125984" footer="0.31496062992125984"/>
      <pageSetup paperSize="9" scale="55" orientation="landscape" r:id="rId7"/>
    </customSheetView>
    <customSheetView guid="{0C2B9C2A-7B94-41EF-A2E6-F8AC9A67DE25}" scale="60">
      <pane xSplit="1" ySplit="6" topLeftCell="B7" activePane="bottomRight" state="frozen"/>
      <selection pane="bottomRight" activeCell="G10" sqref="G10"/>
      <pageMargins left="0.7" right="0.7" top="0.75" bottom="0.75" header="0.3" footer="0.3"/>
      <pageSetup paperSize="9" orientation="portrait" r:id="rId8"/>
    </customSheetView>
    <customSheetView guid="{47B983AB-FE5F-4725-860C-A2F29420596D}" scale="60">
      <pane xSplit="1" ySplit="6" topLeftCell="B7" activePane="bottomRight" state="frozen"/>
      <selection pane="bottomRight" activeCell="G10" sqref="G10"/>
      <pageMargins left="0.7" right="0.7" top="0.75" bottom="0.75" header="0.3" footer="0.3"/>
      <pageSetup paperSize="9" orientation="portrait" r:id="rId9"/>
    </customSheetView>
    <customSheetView guid="{DAA8A688-7558-4B5B-8DBD-E2629BD9E9A8}" scale="60">
      <pane xSplit="1" ySplit="6" topLeftCell="B7" activePane="bottomRight" state="frozen"/>
      <selection pane="bottomRight" activeCell="G10" sqref="G10"/>
      <pageMargins left="0.7" right="0.7" top="0.75" bottom="0.75" header="0.3" footer="0.3"/>
      <pageSetup paperSize="9" orientation="portrait" r:id="rId10"/>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11"/>
    </customSheetView>
    <customSheetView guid="{C236B307-BD63-48C4-A75F-B3F3717BF55C}" scale="60">
      <pane xSplit="1" ySplit="6" topLeftCell="B35" activePane="bottomRight" state="frozen"/>
      <selection pane="bottomRight" activeCell="G39" sqref="G39"/>
      <pageMargins left="0.7" right="0.7" top="0.75" bottom="0.75" header="0.3" footer="0.3"/>
      <pageSetup paperSize="9" orientation="portrait" r:id="rId12"/>
    </customSheetView>
    <customSheetView guid="{87218168-6C8E-4D5B-A5E5-DCCC26803AA3}" scale="60">
      <pane xSplit="1" ySplit="6" topLeftCell="B7" activePane="bottomRight" state="frozen"/>
      <selection pane="bottomRight" activeCell="G10" sqref="G10"/>
      <pageMargins left="0.7" right="0.7" top="0.75" bottom="0.75" header="0.3" footer="0.3"/>
      <pageSetup paperSize="9" orientation="portrait" r:id="rId13"/>
    </customSheetView>
    <customSheetView guid="{874882D1-E741-4CCA-BF0D-E72FA60B771D}" scale="60">
      <pane xSplit="1" ySplit="6" topLeftCell="B35" activePane="bottomRight" state="frozen"/>
      <selection pane="bottomRight" activeCell="G39" sqref="G39"/>
      <pageMargins left="0.7" right="0.7" top="0.75" bottom="0.75" header="0.3" footer="0.3"/>
      <pageSetup paperSize="9" orientation="portrait" r:id="rId14"/>
    </customSheetView>
    <customSheetView guid="{B82BA08A-1A30-4F4D-A478-74A6BD09EA97}" scale="60">
      <pane xSplit="1" ySplit="6" topLeftCell="B7" activePane="bottomRight" state="frozen"/>
      <selection pane="bottomRight" activeCell="G10" sqref="G10"/>
      <pageMargins left="0.7" right="0.7" top="0.75" bottom="0.75" header="0.3" footer="0.3"/>
      <pageSetup paperSize="9" orientation="portrait" r:id="rId15"/>
    </customSheetView>
    <customSheetView guid="{4D0DFB57-2CBA-42F2-9A97-C453A6851FBA}" scale="60">
      <pane xSplit="1" ySplit="6" topLeftCell="B7" activePane="bottomRight" state="frozen"/>
      <selection pane="bottomRight" activeCell="G10" sqref="G10"/>
      <pageMargins left="0.7" right="0.7" top="0.75" bottom="0.75" header="0.3" footer="0.3"/>
      <pageSetup paperSize="9" orientation="portrait" r:id="rId16"/>
    </customSheetView>
    <customSheetView guid="{770624BF-07F3-44B6-94C3-4CC447CDD45C}" scale="60">
      <pane xSplit="1" ySplit="6" topLeftCell="B7" activePane="bottomRight" state="frozen"/>
      <selection pane="bottomRight" activeCell="G10" sqref="G10"/>
      <pageMargins left="0.7" right="0.7" top="0.75" bottom="0.75" header="0.3" footer="0.3"/>
      <pageSetup paperSize="9" orientation="portrait" r:id="rId17"/>
    </customSheetView>
    <customSheetView guid="{E508E171-4ED9-4B07-84DF-DA28C60E1969}" scale="60">
      <pane xSplit="1" ySplit="6" topLeftCell="B7" activePane="bottomRight" state="frozen"/>
      <selection pane="bottomRight" activeCell="G10" sqref="G10"/>
      <pageMargins left="0.7" right="0.7" top="0.75" bottom="0.75" header="0.3" footer="0.3"/>
      <pageSetup paperSize="9" orientation="portrait" r:id="rId18"/>
    </customSheetView>
    <customSheetView guid="{74870EE6-26B9-40F7-9DC9-260EF16D8959}" scale="60">
      <pane xSplit="1" ySplit="6" topLeftCell="B7" activePane="bottomRight" state="frozen"/>
      <selection pane="bottomRight" activeCell="M17" sqref="M17"/>
      <pageMargins left="0.7" right="0.7" top="0.75" bottom="0.75" header="0.3" footer="0.3"/>
      <pageSetup paperSize="9" orientation="portrait" r:id="rId19"/>
    </customSheetView>
    <customSheetView guid="{009B3074-D8EC-4952-BF50-43CD64449612}" scale="60">
      <pane xSplit="1" ySplit="6" topLeftCell="B7" activePane="bottomRight" state="frozen"/>
      <selection pane="bottomRight" activeCell="M17" sqref="M17"/>
      <pageMargins left="0.7" right="0.7" top="0.75" bottom="0.75" header="0.3" footer="0.3"/>
      <pageSetup paperSize="9" orientation="portrait" r:id="rId20"/>
    </customSheetView>
    <customSheetView guid="{F679EF4A-C5FD-4B86-B87B-D85968E0F2CA}" scale="60">
      <pane xSplit="1" ySplit="6" topLeftCell="B7" activePane="bottomRight" state="frozen"/>
      <selection pane="bottomRight" activeCell="E144" sqref="E144"/>
      <pageMargins left="0.70866141732283472" right="0.70866141732283472" top="0.74803149606299213" bottom="0.74803149606299213" header="0.31496062992125984" footer="0.31496062992125984"/>
      <pageSetup paperSize="9" scale="55" orientation="landscape" r:id="rId21"/>
    </customSheetView>
    <customSheetView guid="{959E901C-5DDE-42EE-AE94-AB8976B5E00B}" scale="60">
      <pane xSplit="1" ySplit="6" topLeftCell="B7" activePane="bottomRight" state="frozen"/>
      <selection pane="bottomRight" activeCell="E144" sqref="E144"/>
      <pageMargins left="0.70866141732283472" right="0.70866141732283472" top="0.74803149606299213" bottom="0.74803149606299213" header="0.31496062992125984" footer="0.31496062992125984"/>
      <pageSetup paperSize="9" scale="55" orientation="landscape" r:id="rId22"/>
    </customSheetView>
    <customSheetView guid="{69DABE6F-6182-4403-A4A2-969F10F1C13A}" scale="60">
      <pane xSplit="1" ySplit="6" topLeftCell="X103" activePane="bottomRight" state="frozen"/>
      <selection pane="bottomRight" activeCell="AF115" sqref="AF115"/>
      <pageMargins left="0.70866141732283472" right="0.70866141732283472" top="0.74803149606299213" bottom="0.74803149606299213" header="0.31496062992125984" footer="0.31496062992125984"/>
      <pageSetup paperSize="9" scale="55" orientation="landscape" r:id="rId23"/>
    </customSheetView>
    <customSheetView guid="{09C3E205-981E-4A4E-BE89-8B7044192060}" scale="70">
      <pane xSplit="5" ySplit="6" topLeftCell="F55" activePane="bottomRight" state="frozen"/>
      <selection pane="bottomRight" activeCell="H132" sqref="H132"/>
      <pageMargins left="0.70866141732283472" right="0.70866141732283472" top="0.74803149606299213" bottom="0.74803149606299213" header="0.31496062992125984" footer="0.31496062992125984"/>
      <pageSetup paperSize="9" scale="55" orientation="landscape" r:id="rId24"/>
    </customSheetView>
    <customSheetView guid="{6A602CB8-B24C-4ED4-B378-B27354BE0A1A}" scale="70">
      <pane xSplit="5" ySplit="6" topLeftCell="F55" activePane="bottomRight" state="frozen"/>
      <selection pane="bottomRight" activeCell="H132" sqref="H132"/>
      <pageMargins left="0.70866141732283472" right="0.70866141732283472" top="0.74803149606299213" bottom="0.74803149606299213" header="0.31496062992125984" footer="0.31496062992125984"/>
      <pageSetup paperSize="9" scale="55" orientation="landscape" r:id="rId25"/>
    </customSheetView>
    <customSheetView guid="{7C130984-112A-4861-AA43-E2940708E3DC}" scale="70" state="hidden">
      <pane xSplit="5" ySplit="6" topLeftCell="F55" activePane="bottomRight" state="frozen"/>
      <selection pane="bottomRight" activeCell="AF39" sqref="AF39"/>
      <pageMargins left="0.70866141732283472" right="0.70866141732283472" top="0.74803149606299213" bottom="0.74803149606299213" header="0.31496062992125984" footer="0.31496062992125984"/>
      <pageSetup paperSize="9" scale="55" orientation="landscape" r:id="rId26"/>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quot;Профилактика правонарушений и обеспечение отдельных прав граждан в городе Когалыме&quot;"/>
  </hyperlinks>
  <pageMargins left="0.70866141732283472" right="0.70866141732283472" top="0.74803149606299213" bottom="0.74803149606299213" header="0.31496062992125984" footer="0.31496062992125984"/>
  <pageSetup paperSize="9" scale="55" orientation="landscape" r:id="rId2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8"/>
  <sheetViews>
    <sheetView zoomScale="50" zoomScaleNormal="50" workbookViewId="0">
      <pane xSplit="1" ySplit="6" topLeftCell="T7" activePane="bottomRight" state="frozen"/>
      <selection activeCell="AF39" sqref="AF39"/>
      <selection pane="topRight" activeCell="AF39" sqref="AF39"/>
      <selection pane="bottomLeft" activeCell="AF39" sqref="AF39"/>
      <selection pane="bottomRight" activeCell="AF39" sqref="AF39"/>
    </sheetView>
  </sheetViews>
  <sheetFormatPr defaultRowHeight="15" x14ac:dyDescent="0.25"/>
  <cols>
    <col min="1" max="1" width="46.140625" style="89" customWidth="1"/>
    <col min="2" max="2" width="18.85546875" style="62" bestFit="1" customWidth="1"/>
    <col min="3" max="3" width="15.5703125" style="62" bestFit="1" customWidth="1"/>
    <col min="4" max="4" width="24.42578125" customWidth="1"/>
    <col min="5" max="5" width="15.5703125" bestFit="1" customWidth="1"/>
    <col min="6" max="6" width="16.7109375" bestFit="1" customWidth="1"/>
    <col min="7" max="7" width="18.5703125" customWidth="1"/>
    <col min="8" max="8" width="15.7109375" style="62" bestFit="1" customWidth="1"/>
    <col min="9" max="9" width="13.7109375" style="62" bestFit="1" customWidth="1"/>
    <col min="10" max="10" width="17.42578125" style="62" bestFit="1" customWidth="1"/>
    <col min="11" max="11" width="13.7109375" style="62" bestFit="1" customWidth="1"/>
    <col min="12" max="12" width="15.7109375" style="62" bestFit="1" customWidth="1"/>
    <col min="13" max="13" width="13.7109375" style="62" bestFit="1" customWidth="1"/>
    <col min="14" max="14" width="17.42578125" style="62" bestFit="1" customWidth="1"/>
    <col min="15" max="15" width="13.7109375" style="62" bestFit="1" customWidth="1"/>
    <col min="16" max="16" width="17.42578125" style="62" bestFit="1" customWidth="1"/>
    <col min="17" max="17" width="13.7109375" style="62" bestFit="1" customWidth="1"/>
    <col min="18" max="18" width="17.42578125" style="62" bestFit="1" customWidth="1"/>
    <col min="19" max="19" width="13.7109375" style="62" bestFit="1" customWidth="1"/>
    <col min="20" max="20" width="17.42578125" style="62" bestFit="1" customWidth="1"/>
    <col min="21" max="21" width="13.7109375" style="62" bestFit="1" customWidth="1"/>
    <col min="22" max="22" width="17.42578125" style="62" bestFit="1" customWidth="1"/>
    <col min="23" max="23" width="13.7109375" style="62" bestFit="1" customWidth="1"/>
    <col min="24" max="24" width="15.7109375" style="62" bestFit="1" customWidth="1"/>
    <col min="25" max="25" width="13.7109375" style="62" bestFit="1" customWidth="1"/>
    <col min="26" max="26" width="17.42578125" style="62" bestFit="1" customWidth="1"/>
    <col min="27" max="27" width="13.7109375" style="62" bestFit="1" customWidth="1"/>
    <col min="28" max="28" width="15.7109375" style="62" bestFit="1" customWidth="1"/>
    <col min="29" max="29" width="13.7109375" style="62" bestFit="1" customWidth="1"/>
    <col min="30" max="30" width="17.140625" style="62" bestFit="1" customWidth="1"/>
    <col min="31" max="31" width="13.7109375" style="62" bestFit="1" customWidth="1"/>
    <col min="32" max="32" width="32.140625" customWidth="1"/>
  </cols>
  <sheetData>
    <row r="1" spans="1:32" ht="18.75" x14ac:dyDescent="0.25">
      <c r="A1" s="900" t="s">
        <v>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row>
    <row r="2" spans="1:32" ht="18.75" x14ac:dyDescent="0.25">
      <c r="A2" s="901" t="s">
        <v>131</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1" t="s">
        <v>1</v>
      </c>
    </row>
    <row r="3" spans="1:32" x14ac:dyDescent="0.25">
      <c r="A3" s="906" t="s">
        <v>2</v>
      </c>
      <c r="B3" s="902" t="s">
        <v>3</v>
      </c>
      <c r="C3" s="902" t="s">
        <v>3</v>
      </c>
      <c r="D3" s="902" t="s">
        <v>4</v>
      </c>
      <c r="E3" s="904" t="s">
        <v>5</v>
      </c>
      <c r="F3" s="896" t="s">
        <v>6</v>
      </c>
      <c r="G3" s="897"/>
      <c r="H3" s="896" t="s">
        <v>7</v>
      </c>
      <c r="I3" s="897"/>
      <c r="J3" s="896" t="s">
        <v>8</v>
      </c>
      <c r="K3" s="897"/>
      <c r="L3" s="896" t="s">
        <v>9</v>
      </c>
      <c r="M3" s="897"/>
      <c r="N3" s="896" t="s">
        <v>10</v>
      </c>
      <c r="O3" s="897"/>
      <c r="P3" s="896" t="s">
        <v>11</v>
      </c>
      <c r="Q3" s="897"/>
      <c r="R3" s="896" t="s">
        <v>12</v>
      </c>
      <c r="S3" s="897"/>
      <c r="T3" s="896" t="s">
        <v>13</v>
      </c>
      <c r="U3" s="897"/>
      <c r="V3" s="896" t="s">
        <v>14</v>
      </c>
      <c r="W3" s="897"/>
      <c r="X3" s="896" t="s">
        <v>15</v>
      </c>
      <c r="Y3" s="897"/>
      <c r="Z3" s="896" t="s">
        <v>16</v>
      </c>
      <c r="AA3" s="897"/>
      <c r="AB3" s="896" t="s">
        <v>17</v>
      </c>
      <c r="AC3" s="897"/>
      <c r="AD3" s="896" t="s">
        <v>18</v>
      </c>
      <c r="AE3" s="897"/>
      <c r="AF3" s="893" t="s">
        <v>19</v>
      </c>
    </row>
    <row r="4" spans="1:32" ht="42.75" customHeight="1" x14ac:dyDescent="0.25">
      <c r="A4" s="907"/>
      <c r="B4" s="903"/>
      <c r="C4" s="903"/>
      <c r="D4" s="903"/>
      <c r="E4" s="905"/>
      <c r="F4" s="898"/>
      <c r="G4" s="899"/>
      <c r="H4" s="898"/>
      <c r="I4" s="899"/>
      <c r="J4" s="898"/>
      <c r="K4" s="899"/>
      <c r="L4" s="898"/>
      <c r="M4" s="899"/>
      <c r="N4" s="898"/>
      <c r="O4" s="899"/>
      <c r="P4" s="898"/>
      <c r="Q4" s="899"/>
      <c r="R4" s="898"/>
      <c r="S4" s="899"/>
      <c r="T4" s="898"/>
      <c r="U4" s="899"/>
      <c r="V4" s="898"/>
      <c r="W4" s="899"/>
      <c r="X4" s="898"/>
      <c r="Y4" s="899"/>
      <c r="Z4" s="898"/>
      <c r="AA4" s="899"/>
      <c r="AB4" s="898"/>
      <c r="AC4" s="899"/>
      <c r="AD4" s="898"/>
      <c r="AE4" s="899"/>
      <c r="AF4" s="894"/>
    </row>
    <row r="5" spans="1:32" ht="37.5" x14ac:dyDescent="0.25">
      <c r="A5" s="79"/>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895"/>
    </row>
    <row r="6" spans="1:32" ht="18.75" x14ac:dyDescent="0.25">
      <c r="A6" s="2">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206.25" x14ac:dyDescent="0.25">
      <c r="A7" s="80" t="s">
        <v>132</v>
      </c>
      <c r="B7" s="96">
        <v>309.8</v>
      </c>
      <c r="C7" s="6">
        <v>0</v>
      </c>
      <c r="D7" s="6">
        <v>0</v>
      </c>
      <c r="E7" s="6">
        <v>0</v>
      </c>
      <c r="F7" s="6">
        <v>0</v>
      </c>
      <c r="G7" s="6">
        <v>0</v>
      </c>
      <c r="H7" s="6">
        <v>0</v>
      </c>
      <c r="I7" s="6">
        <v>0</v>
      </c>
      <c r="J7" s="6">
        <v>0</v>
      </c>
      <c r="K7" s="605">
        <v>0</v>
      </c>
      <c r="L7" s="6"/>
      <c r="M7" s="6"/>
      <c r="N7" s="6"/>
      <c r="O7" s="6"/>
      <c r="P7" s="6"/>
      <c r="Q7" s="6"/>
      <c r="R7" s="6"/>
      <c r="S7" s="6"/>
      <c r="T7" s="6"/>
      <c r="U7" s="6"/>
      <c r="V7" s="6"/>
      <c r="W7" s="6"/>
      <c r="X7" s="6"/>
      <c r="Y7" s="6"/>
      <c r="Z7" s="6"/>
      <c r="AA7" s="6"/>
      <c r="AB7" s="6"/>
      <c r="AC7" s="6"/>
      <c r="AD7" s="6"/>
      <c r="AE7" s="6"/>
      <c r="AF7" s="2"/>
    </row>
    <row r="8" spans="1:32" ht="18.75" x14ac:dyDescent="0.25">
      <c r="A8" s="81" t="s">
        <v>54</v>
      </c>
      <c r="B8" s="6"/>
      <c r="C8" s="6"/>
      <c r="D8" s="6"/>
      <c r="E8" s="6"/>
      <c r="F8" s="6"/>
      <c r="G8" s="6"/>
      <c r="H8" s="6"/>
      <c r="I8" s="6"/>
      <c r="J8" s="6"/>
      <c r="K8" s="598"/>
      <c r="L8" s="6"/>
      <c r="M8" s="6"/>
      <c r="N8" s="6"/>
      <c r="O8" s="6"/>
      <c r="P8" s="6"/>
      <c r="Q8" s="6"/>
      <c r="R8" s="6"/>
      <c r="S8" s="6"/>
      <c r="T8" s="6"/>
      <c r="U8" s="6"/>
      <c r="V8" s="6"/>
      <c r="W8" s="6"/>
      <c r="X8" s="6"/>
      <c r="Y8" s="6"/>
      <c r="Z8" s="6"/>
      <c r="AA8" s="6"/>
      <c r="AB8" s="6"/>
      <c r="AC8" s="6"/>
      <c r="AD8" s="6"/>
      <c r="AE8" s="6"/>
      <c r="AF8" s="2"/>
    </row>
    <row r="9" spans="1:32" ht="56.25" hidden="1" customHeight="1" x14ac:dyDescent="0.25">
      <c r="A9" s="50" t="s">
        <v>133</v>
      </c>
      <c r="B9" s="30">
        <f>B10</f>
        <v>0</v>
      </c>
      <c r="C9" s="30">
        <f t="shared" ref="C9:D9" si="0">C10</f>
        <v>0</v>
      </c>
      <c r="D9" s="30">
        <f t="shared" si="0"/>
        <v>0</v>
      </c>
      <c r="E9" s="30">
        <f>E10</f>
        <v>0</v>
      </c>
      <c r="F9" s="30"/>
      <c r="G9" s="30"/>
      <c r="H9" s="30"/>
      <c r="I9" s="30"/>
      <c r="J9" s="30"/>
      <c r="K9" s="599"/>
      <c r="L9" s="30"/>
      <c r="M9" s="30"/>
      <c r="N9" s="30"/>
      <c r="O9" s="30"/>
      <c r="P9" s="30"/>
      <c r="Q9" s="30"/>
      <c r="R9" s="30"/>
      <c r="S9" s="30"/>
      <c r="T9" s="30"/>
      <c r="U9" s="30"/>
      <c r="V9" s="30"/>
      <c r="W9" s="30"/>
      <c r="X9" s="30"/>
      <c r="Y9" s="30"/>
      <c r="Z9" s="30"/>
      <c r="AA9" s="30"/>
      <c r="AB9" s="30"/>
      <c r="AC9" s="30"/>
      <c r="AD9" s="30"/>
      <c r="AE9" s="30"/>
      <c r="AF9" s="21"/>
    </row>
    <row r="10" spans="1:32" ht="18.75" hidden="1" x14ac:dyDescent="0.3">
      <c r="A10" s="82" t="s">
        <v>31</v>
      </c>
      <c r="B10" s="47">
        <f>B11</f>
        <v>0</v>
      </c>
      <c r="C10" s="47">
        <f>C11</f>
        <v>0</v>
      </c>
      <c r="D10" s="47"/>
      <c r="E10" s="47">
        <f>E11</f>
        <v>0</v>
      </c>
      <c r="F10" s="47" t="e">
        <f>E10/B10*100</f>
        <v>#DIV/0!</v>
      </c>
      <c r="G10" s="47" t="e">
        <f>E10/C10*100</f>
        <v>#DIV/0!</v>
      </c>
      <c r="H10" s="47"/>
      <c r="I10" s="47"/>
      <c r="J10" s="47"/>
      <c r="K10" s="600"/>
      <c r="L10" s="47"/>
      <c r="M10" s="47"/>
      <c r="N10" s="47"/>
      <c r="O10" s="47"/>
      <c r="P10" s="47"/>
      <c r="Q10" s="47"/>
      <c r="R10" s="47"/>
      <c r="S10" s="47"/>
      <c r="T10" s="47"/>
      <c r="U10" s="47"/>
      <c r="V10" s="47"/>
      <c r="W10" s="47"/>
      <c r="X10" s="47"/>
      <c r="Y10" s="47"/>
      <c r="Z10" s="47"/>
      <c r="AA10" s="47"/>
      <c r="AB10" s="47"/>
      <c r="AC10" s="47"/>
      <c r="AD10" s="47"/>
      <c r="AE10" s="47"/>
      <c r="AF10" s="90"/>
    </row>
    <row r="11" spans="1:32" ht="18.75" hidden="1" x14ac:dyDescent="0.3">
      <c r="A11" s="77" t="s">
        <v>33</v>
      </c>
      <c r="B11" s="47">
        <f>H11+J11+L11+N11+P11+R11+T11+V11+X11+Z11+AB11+AD11</f>
        <v>0</v>
      </c>
      <c r="C11" s="47">
        <f>H11</f>
        <v>0</v>
      </c>
      <c r="D11" s="47"/>
      <c r="E11" s="47">
        <f>K11+M11+O11+Q11+S11+U11+W11+Y11+AA11+AC11+AE11+AG11</f>
        <v>0</v>
      </c>
      <c r="F11" s="47" t="e">
        <f t="shared" ref="F11" si="1">E11/B11*100</f>
        <v>#DIV/0!</v>
      </c>
      <c r="G11" s="47" t="e">
        <f t="shared" ref="G11" si="2">E11/C11*100</f>
        <v>#DIV/0!</v>
      </c>
      <c r="H11" s="47"/>
      <c r="I11" s="47"/>
      <c r="J11" s="47"/>
      <c r="K11" s="600"/>
      <c r="L11" s="47"/>
      <c r="M11" s="47"/>
      <c r="N11" s="47"/>
      <c r="O11" s="47"/>
      <c r="P11" s="47"/>
      <c r="Q11" s="47"/>
      <c r="R11" s="47"/>
      <c r="S11" s="47"/>
      <c r="T11" s="47"/>
      <c r="U11" s="47"/>
      <c r="V11" s="47"/>
      <c r="W11" s="47"/>
      <c r="X11" s="47"/>
      <c r="Y11" s="47"/>
      <c r="Z11" s="47"/>
      <c r="AA11" s="47"/>
      <c r="AB11" s="47"/>
      <c r="AC11" s="47"/>
      <c r="AD11" s="47"/>
      <c r="AE11" s="47"/>
      <c r="AF11" s="90"/>
    </row>
    <row r="12" spans="1:32" ht="262.5" hidden="1" x14ac:dyDescent="0.3">
      <c r="A12" s="50" t="s">
        <v>134</v>
      </c>
      <c r="B12" s="58"/>
      <c r="C12" s="58"/>
      <c r="D12" s="58"/>
      <c r="E12" s="58"/>
      <c r="F12" s="47"/>
      <c r="G12" s="47"/>
      <c r="H12" s="58"/>
      <c r="I12" s="58"/>
      <c r="J12" s="58"/>
      <c r="K12" s="601"/>
      <c r="L12" s="58"/>
      <c r="M12" s="58"/>
      <c r="N12" s="58"/>
      <c r="O12" s="58"/>
      <c r="P12" s="58"/>
      <c r="Q12" s="58"/>
      <c r="R12" s="58"/>
      <c r="S12" s="58"/>
      <c r="T12" s="58"/>
      <c r="U12" s="58"/>
      <c r="V12" s="58"/>
      <c r="W12" s="58"/>
      <c r="X12" s="58"/>
      <c r="Y12" s="58"/>
      <c r="Z12" s="58"/>
      <c r="AA12" s="58"/>
      <c r="AB12" s="58"/>
      <c r="AC12" s="58"/>
      <c r="AD12" s="58"/>
      <c r="AE12" s="58"/>
      <c r="AF12" s="90"/>
    </row>
    <row r="13" spans="1:32" ht="18.75" hidden="1" x14ac:dyDescent="0.3">
      <c r="A13" s="82" t="s">
        <v>31</v>
      </c>
      <c r="B13" s="58">
        <f>B14</f>
        <v>0</v>
      </c>
      <c r="C13" s="58">
        <f t="shared" ref="C13:E13" si="3">C14</f>
        <v>0</v>
      </c>
      <c r="D13" s="58"/>
      <c r="E13" s="58">
        <f t="shared" si="3"/>
        <v>0</v>
      </c>
      <c r="F13" s="47" t="e">
        <f t="shared" ref="F13:F14" si="4">E13/B13*100</f>
        <v>#DIV/0!</v>
      </c>
      <c r="G13" s="47" t="e">
        <f t="shared" ref="G13:G14" si="5">E13/C13*100</f>
        <v>#DIV/0!</v>
      </c>
      <c r="H13" s="58"/>
      <c r="I13" s="58"/>
      <c r="J13" s="58"/>
      <c r="K13" s="601"/>
      <c r="L13" s="58"/>
      <c r="M13" s="58"/>
      <c r="N13" s="58"/>
      <c r="O13" s="58"/>
      <c r="P13" s="58"/>
      <c r="Q13" s="58"/>
      <c r="R13" s="58"/>
      <c r="S13" s="58"/>
      <c r="T13" s="58"/>
      <c r="U13" s="58"/>
      <c r="V13" s="58"/>
      <c r="W13" s="58"/>
      <c r="X13" s="58"/>
      <c r="Y13" s="58"/>
      <c r="Z13" s="58"/>
      <c r="AA13" s="58"/>
      <c r="AB13" s="58"/>
      <c r="AC13" s="58"/>
      <c r="AD13" s="58"/>
      <c r="AE13" s="58"/>
      <c r="AF13" s="90"/>
    </row>
    <row r="14" spans="1:32" ht="18.75" hidden="1" x14ac:dyDescent="0.3">
      <c r="A14" s="77" t="s">
        <v>33</v>
      </c>
      <c r="B14" s="47">
        <f>H14+J14+L14+N14+P14+R14+T14+V14+X14+Z14+AB14+AD14</f>
        <v>0</v>
      </c>
      <c r="C14" s="47">
        <f>H14</f>
        <v>0</v>
      </c>
      <c r="D14" s="47"/>
      <c r="E14" s="47">
        <f t="shared" ref="E14" si="6">K14+M14+O14+Q14+S14+U14+W14+Y14+AA14+AC14+AE14+AG14</f>
        <v>0</v>
      </c>
      <c r="F14" s="47" t="e">
        <f t="shared" si="4"/>
        <v>#DIV/0!</v>
      </c>
      <c r="G14" s="47" t="e">
        <f t="shared" si="5"/>
        <v>#DIV/0!</v>
      </c>
      <c r="H14" s="58"/>
      <c r="I14" s="58"/>
      <c r="J14" s="58"/>
      <c r="K14" s="601"/>
      <c r="L14" s="58"/>
      <c r="M14" s="58"/>
      <c r="N14" s="58"/>
      <c r="O14" s="58"/>
      <c r="P14" s="58"/>
      <c r="Q14" s="58"/>
      <c r="R14" s="58"/>
      <c r="S14" s="58"/>
      <c r="T14" s="58"/>
      <c r="U14" s="58"/>
      <c r="V14" s="58"/>
      <c r="W14" s="58"/>
      <c r="X14" s="58"/>
      <c r="Y14" s="58"/>
      <c r="Z14" s="58"/>
      <c r="AA14" s="58"/>
      <c r="AB14" s="58"/>
      <c r="AC14" s="58"/>
      <c r="AD14" s="58"/>
      <c r="AE14" s="58"/>
      <c r="AF14" s="90"/>
    </row>
    <row r="15" spans="1:32" ht="225" hidden="1" x14ac:dyDescent="0.3">
      <c r="A15" s="78" t="s">
        <v>135</v>
      </c>
      <c r="B15" s="58"/>
      <c r="C15" s="58"/>
      <c r="D15" s="58"/>
      <c r="E15" s="58"/>
      <c r="F15" s="47"/>
      <c r="G15" s="47"/>
      <c r="H15" s="58"/>
      <c r="I15" s="58"/>
      <c r="J15" s="58"/>
      <c r="K15" s="601"/>
      <c r="L15" s="58"/>
      <c r="M15" s="58"/>
      <c r="N15" s="58"/>
      <c r="O15" s="58"/>
      <c r="P15" s="58"/>
      <c r="Q15" s="58"/>
      <c r="R15" s="58"/>
      <c r="S15" s="58"/>
      <c r="T15" s="58"/>
      <c r="U15" s="58"/>
      <c r="V15" s="58"/>
      <c r="W15" s="58"/>
      <c r="X15" s="58"/>
      <c r="Y15" s="58"/>
      <c r="Z15" s="58"/>
      <c r="AA15" s="58"/>
      <c r="AB15" s="58"/>
      <c r="AC15" s="58"/>
      <c r="AD15" s="58"/>
      <c r="AE15" s="58"/>
      <c r="AF15" s="90"/>
    </row>
    <row r="16" spans="1:32" ht="18.75" hidden="1" x14ac:dyDescent="0.3">
      <c r="A16" s="82" t="s">
        <v>31</v>
      </c>
      <c r="B16" s="58">
        <f>B17</f>
        <v>0</v>
      </c>
      <c r="C16" s="58">
        <f>C17</f>
        <v>0</v>
      </c>
      <c r="D16" s="58">
        <f>D17</f>
        <v>0</v>
      </c>
      <c r="E16" s="58" t="e">
        <f>#REF!+E17</f>
        <v>#REF!</v>
      </c>
      <c r="F16" s="47" t="e">
        <f t="shared" ref="F16:F17" si="7">E16/B16*100</f>
        <v>#REF!</v>
      </c>
      <c r="G16" s="47" t="e">
        <f t="shared" ref="G16:G17" si="8">E16/C16*100</f>
        <v>#REF!</v>
      </c>
      <c r="H16" s="58"/>
      <c r="I16" s="58"/>
      <c r="J16" s="58"/>
      <c r="K16" s="601"/>
      <c r="L16" s="58"/>
      <c r="M16" s="58"/>
      <c r="N16" s="58"/>
      <c r="O16" s="58"/>
      <c r="P16" s="58"/>
      <c r="Q16" s="58"/>
      <c r="R16" s="58"/>
      <c r="S16" s="58"/>
      <c r="T16" s="58"/>
      <c r="U16" s="58"/>
      <c r="V16" s="58"/>
      <c r="W16" s="58"/>
      <c r="X16" s="58"/>
      <c r="Y16" s="58"/>
      <c r="Z16" s="58"/>
      <c r="AA16" s="58"/>
      <c r="AB16" s="58"/>
      <c r="AC16" s="58"/>
      <c r="AD16" s="58"/>
      <c r="AE16" s="58"/>
      <c r="AF16" s="90"/>
    </row>
    <row r="17" spans="1:32" ht="18.75" hidden="1" x14ac:dyDescent="0.3">
      <c r="A17" s="77" t="s">
        <v>33</v>
      </c>
      <c r="B17" s="47">
        <f>H17+J17+L17+N17+P17+R17+T17+V17+X17+Z17+AB17+AD17</f>
        <v>0</v>
      </c>
      <c r="C17" s="47">
        <f>H17</f>
        <v>0</v>
      </c>
      <c r="D17" s="47"/>
      <c r="E17" s="47">
        <f t="shared" ref="E17" si="9">K17+M17+O17+Q17+S17+U17+W17+Y17+AA17+AC17+AE17+AG17</f>
        <v>0</v>
      </c>
      <c r="F17" s="47" t="e">
        <f t="shared" si="7"/>
        <v>#DIV/0!</v>
      </c>
      <c r="G17" s="47" t="e">
        <f t="shared" si="8"/>
        <v>#DIV/0!</v>
      </c>
      <c r="H17" s="58"/>
      <c r="I17" s="58"/>
      <c r="J17" s="58"/>
      <c r="K17" s="601"/>
      <c r="L17" s="58"/>
      <c r="M17" s="58"/>
      <c r="N17" s="58"/>
      <c r="O17" s="58"/>
      <c r="P17" s="58"/>
      <c r="Q17" s="58"/>
      <c r="R17" s="58"/>
      <c r="S17" s="58"/>
      <c r="T17" s="58"/>
      <c r="U17" s="58"/>
      <c r="V17" s="58"/>
      <c r="W17" s="58"/>
      <c r="X17" s="58"/>
      <c r="Y17" s="58"/>
      <c r="Z17" s="58"/>
      <c r="AA17" s="58"/>
      <c r="AB17" s="58"/>
      <c r="AC17" s="58"/>
      <c r="AD17" s="58"/>
      <c r="AE17" s="58"/>
      <c r="AF17" s="90"/>
    </row>
    <row r="18" spans="1:32" ht="150" hidden="1" x14ac:dyDescent="0.3">
      <c r="A18" s="78" t="s">
        <v>136</v>
      </c>
      <c r="B18" s="58"/>
      <c r="C18" s="58"/>
      <c r="D18" s="58"/>
      <c r="E18" s="58"/>
      <c r="F18" s="47"/>
      <c r="G18" s="47"/>
      <c r="H18" s="58"/>
      <c r="I18" s="58"/>
      <c r="J18" s="58"/>
      <c r="K18" s="601"/>
      <c r="L18" s="58"/>
      <c r="M18" s="58"/>
      <c r="N18" s="58"/>
      <c r="O18" s="58"/>
      <c r="P18" s="58"/>
      <c r="Q18" s="58"/>
      <c r="R18" s="58"/>
      <c r="S18" s="58"/>
      <c r="T18" s="58"/>
      <c r="U18" s="58"/>
      <c r="V18" s="58"/>
      <c r="W18" s="58"/>
      <c r="X18" s="58"/>
      <c r="Y18" s="58"/>
      <c r="Z18" s="58"/>
      <c r="AA18" s="58"/>
      <c r="AB18" s="58"/>
      <c r="AC18" s="58"/>
      <c r="AD18" s="58"/>
      <c r="AE18" s="58"/>
      <c r="AF18" s="90"/>
    </row>
    <row r="19" spans="1:32" ht="18.75" hidden="1" x14ac:dyDescent="0.3">
      <c r="A19" s="82" t="s">
        <v>31</v>
      </c>
      <c r="B19" s="58">
        <f>B20</f>
        <v>0</v>
      </c>
      <c r="C19" s="58">
        <f>C20</f>
        <v>0</v>
      </c>
      <c r="D19" s="58"/>
      <c r="E19" s="58">
        <f t="shared" ref="E19" si="10">E20</f>
        <v>0</v>
      </c>
      <c r="F19" s="47" t="e">
        <f t="shared" ref="F19:F20" si="11">E19/B19*100</f>
        <v>#DIV/0!</v>
      </c>
      <c r="G19" s="47" t="e">
        <f t="shared" ref="G19:G20" si="12">E19/C19*100</f>
        <v>#DIV/0!</v>
      </c>
      <c r="H19" s="58"/>
      <c r="I19" s="58"/>
      <c r="J19" s="58"/>
      <c r="K19" s="601"/>
      <c r="L19" s="58"/>
      <c r="M19" s="58"/>
      <c r="N19" s="58"/>
      <c r="O19" s="58"/>
      <c r="P19" s="58"/>
      <c r="Q19" s="58"/>
      <c r="R19" s="58"/>
      <c r="S19" s="58"/>
      <c r="T19" s="58"/>
      <c r="U19" s="58"/>
      <c r="V19" s="58"/>
      <c r="W19" s="58"/>
      <c r="X19" s="58"/>
      <c r="Y19" s="58"/>
      <c r="Z19" s="58"/>
      <c r="AA19" s="58"/>
      <c r="AB19" s="58"/>
      <c r="AC19" s="58"/>
      <c r="AD19" s="58"/>
      <c r="AE19" s="58"/>
      <c r="AF19" s="90"/>
    </row>
    <row r="20" spans="1:32" ht="18.75" hidden="1" x14ac:dyDescent="0.3">
      <c r="A20" s="77" t="s">
        <v>33</v>
      </c>
      <c r="B20" s="47">
        <f>H20+J20+L20+N20+P20+R20+T20+V20+X20+Z20+AB20+AD20</f>
        <v>0</v>
      </c>
      <c r="C20" s="47">
        <f>H20</f>
        <v>0</v>
      </c>
      <c r="D20" s="47"/>
      <c r="E20" s="47">
        <f t="shared" ref="E20" si="13">K20+M20+O20+Q20+S20+U20+W20+Y20+AA20+AC20+AE20+AG20</f>
        <v>0</v>
      </c>
      <c r="F20" s="47" t="e">
        <f t="shared" si="11"/>
        <v>#DIV/0!</v>
      </c>
      <c r="G20" s="47" t="e">
        <f t="shared" si="12"/>
        <v>#DIV/0!</v>
      </c>
      <c r="H20" s="58"/>
      <c r="I20" s="58"/>
      <c r="J20" s="58"/>
      <c r="K20" s="601"/>
      <c r="L20" s="58"/>
      <c r="M20" s="58"/>
      <c r="N20" s="58"/>
      <c r="O20" s="58"/>
      <c r="P20" s="58"/>
      <c r="Q20" s="58"/>
      <c r="R20" s="58"/>
      <c r="S20" s="58"/>
      <c r="T20" s="58"/>
      <c r="U20" s="58"/>
      <c r="V20" s="58"/>
      <c r="W20" s="58"/>
      <c r="X20" s="58"/>
      <c r="Y20" s="58"/>
      <c r="Z20" s="58"/>
      <c r="AA20" s="58"/>
      <c r="AB20" s="58"/>
      <c r="AC20" s="58"/>
      <c r="AD20" s="58"/>
      <c r="AE20" s="58"/>
      <c r="AF20" s="90"/>
    </row>
    <row r="21" spans="1:32" ht="112.5" hidden="1" x14ac:dyDescent="0.3">
      <c r="A21" s="78" t="s">
        <v>137</v>
      </c>
      <c r="B21" s="58"/>
      <c r="C21" s="58"/>
      <c r="D21" s="58"/>
      <c r="E21" s="58"/>
      <c r="F21" s="47"/>
      <c r="G21" s="47"/>
      <c r="H21" s="58"/>
      <c r="I21" s="58"/>
      <c r="J21" s="58"/>
      <c r="K21" s="601"/>
      <c r="L21" s="58"/>
      <c r="M21" s="58"/>
      <c r="N21" s="58"/>
      <c r="O21" s="58"/>
      <c r="P21" s="58"/>
      <c r="Q21" s="58"/>
      <c r="R21" s="58"/>
      <c r="S21" s="58"/>
      <c r="T21" s="58"/>
      <c r="U21" s="58"/>
      <c r="V21" s="58"/>
      <c r="W21" s="58"/>
      <c r="X21" s="58"/>
      <c r="Y21" s="58"/>
      <c r="Z21" s="58"/>
      <c r="AA21" s="58"/>
      <c r="AB21" s="58"/>
      <c r="AC21" s="58"/>
      <c r="AD21" s="58"/>
      <c r="AE21" s="58"/>
      <c r="AF21" s="90"/>
    </row>
    <row r="22" spans="1:32" ht="18.75" hidden="1" x14ac:dyDescent="0.3">
      <c r="A22" s="82" t="s">
        <v>31</v>
      </c>
      <c r="B22" s="58">
        <f>B23</f>
        <v>0</v>
      </c>
      <c r="C22" s="58">
        <f t="shared" ref="C22:E22" si="14">C23</f>
        <v>0</v>
      </c>
      <c r="D22" s="58"/>
      <c r="E22" s="58">
        <f t="shared" si="14"/>
        <v>0</v>
      </c>
      <c r="F22" s="47" t="e">
        <f t="shared" ref="F22:F23" si="15">E22/B22*100</f>
        <v>#DIV/0!</v>
      </c>
      <c r="G22" s="47" t="e">
        <f t="shared" ref="G22:G23" si="16">E22/C22*100</f>
        <v>#DIV/0!</v>
      </c>
      <c r="H22" s="58"/>
      <c r="I22" s="58"/>
      <c r="J22" s="58"/>
      <c r="K22" s="601"/>
      <c r="L22" s="58"/>
      <c r="M22" s="58"/>
      <c r="N22" s="58"/>
      <c r="O22" s="58"/>
      <c r="P22" s="58"/>
      <c r="Q22" s="58"/>
      <c r="R22" s="58"/>
      <c r="S22" s="58"/>
      <c r="T22" s="58"/>
      <c r="U22" s="58"/>
      <c r="V22" s="58"/>
      <c r="W22" s="58"/>
      <c r="X22" s="58"/>
      <c r="Y22" s="58"/>
      <c r="Z22" s="58"/>
      <c r="AA22" s="58"/>
      <c r="AB22" s="58"/>
      <c r="AC22" s="58"/>
      <c r="AD22" s="58"/>
      <c r="AE22" s="58"/>
      <c r="AF22" s="90"/>
    </row>
    <row r="23" spans="1:32" ht="18.75" hidden="1" x14ac:dyDescent="0.3">
      <c r="A23" s="77" t="s">
        <v>33</v>
      </c>
      <c r="B23" s="47">
        <f>H23+J23+L23+N23+P23+R23+T23+V23+X23+Z23+AB23+AD23</f>
        <v>0</v>
      </c>
      <c r="C23" s="47">
        <f>H23</f>
        <v>0</v>
      </c>
      <c r="D23" s="47"/>
      <c r="E23" s="47">
        <f t="shared" ref="E23" si="17">K23+M23+O23+Q23+S23+U23+W23+Y23+AA23+AC23+AE23+AG23</f>
        <v>0</v>
      </c>
      <c r="F23" s="47" t="e">
        <f t="shared" si="15"/>
        <v>#DIV/0!</v>
      </c>
      <c r="G23" s="47" t="e">
        <f t="shared" si="16"/>
        <v>#DIV/0!</v>
      </c>
      <c r="H23" s="58"/>
      <c r="I23" s="58"/>
      <c r="J23" s="58"/>
      <c r="K23" s="601"/>
      <c r="L23" s="58"/>
      <c r="M23" s="58"/>
      <c r="N23" s="58"/>
      <c r="O23" s="58"/>
      <c r="P23" s="58"/>
      <c r="Q23" s="58"/>
      <c r="R23" s="58"/>
      <c r="S23" s="58"/>
      <c r="T23" s="58"/>
      <c r="U23" s="58"/>
      <c r="V23" s="58"/>
      <c r="W23" s="58"/>
      <c r="X23" s="58"/>
      <c r="Y23" s="58"/>
      <c r="Z23" s="58"/>
      <c r="AA23" s="58"/>
      <c r="AB23" s="58"/>
      <c r="AC23" s="58"/>
      <c r="AD23" s="58"/>
      <c r="AE23" s="58"/>
      <c r="AF23" s="90"/>
    </row>
    <row r="24" spans="1:32" ht="75" x14ac:dyDescent="0.3">
      <c r="A24" s="83" t="s">
        <v>138</v>
      </c>
      <c r="B24" s="58"/>
      <c r="C24" s="601"/>
      <c r="D24" s="601"/>
      <c r="E24" s="601"/>
      <c r="F24" s="600"/>
      <c r="G24" s="600"/>
      <c r="H24" s="601"/>
      <c r="I24" s="601"/>
      <c r="J24" s="601"/>
      <c r="K24" s="601"/>
      <c r="L24" s="58"/>
      <c r="M24" s="58"/>
      <c r="N24" s="58"/>
      <c r="O24" s="58"/>
      <c r="P24" s="58"/>
      <c r="Q24" s="58"/>
      <c r="R24" s="58"/>
      <c r="S24" s="58"/>
      <c r="T24" s="58"/>
      <c r="U24" s="58"/>
      <c r="V24" s="58"/>
      <c r="W24" s="58"/>
      <c r="X24" s="58"/>
      <c r="Y24" s="58"/>
      <c r="Z24" s="58"/>
      <c r="AA24" s="58"/>
      <c r="AB24" s="58"/>
      <c r="AC24" s="58"/>
      <c r="AD24" s="58"/>
      <c r="AE24" s="58"/>
      <c r="AF24" s="90"/>
    </row>
    <row r="25" spans="1:32" ht="18.75" x14ac:dyDescent="0.3">
      <c r="A25" s="82" t="s">
        <v>31</v>
      </c>
      <c r="B25" s="58">
        <f>B26</f>
        <v>309.8</v>
      </c>
      <c r="C25" s="601">
        <v>0</v>
      </c>
      <c r="D25" s="601">
        <f t="shared" ref="D25:E25" si="18">D26</f>
        <v>0</v>
      </c>
      <c r="E25" s="601">
        <f t="shared" si="18"/>
        <v>0</v>
      </c>
      <c r="F25" s="600">
        <f t="shared" ref="F25:F26" si="19">E25/B25*100</f>
        <v>0</v>
      </c>
      <c r="G25" s="600" t="e">
        <f t="shared" ref="G25:G26" si="20">E25/C25*100</f>
        <v>#DIV/0!</v>
      </c>
      <c r="H25" s="601">
        <f>H26</f>
        <v>0</v>
      </c>
      <c r="I25" s="601">
        <f t="shared" ref="I25:AE25" si="21">I26</f>
        <v>0</v>
      </c>
      <c r="J25" s="601">
        <f t="shared" si="21"/>
        <v>0</v>
      </c>
      <c r="K25" s="601">
        <v>0</v>
      </c>
      <c r="L25" s="58">
        <f t="shared" si="21"/>
        <v>0</v>
      </c>
      <c r="M25" s="58">
        <f t="shared" si="21"/>
        <v>0</v>
      </c>
      <c r="N25" s="58">
        <f t="shared" si="21"/>
        <v>0</v>
      </c>
      <c r="O25" s="58">
        <f t="shared" si="21"/>
        <v>0</v>
      </c>
      <c r="P25" s="58">
        <f t="shared" si="21"/>
        <v>0</v>
      </c>
      <c r="Q25" s="58">
        <f t="shared" si="21"/>
        <v>0</v>
      </c>
      <c r="R25" s="58">
        <f t="shared" si="21"/>
        <v>0</v>
      </c>
      <c r="S25" s="58">
        <f t="shared" si="21"/>
        <v>0</v>
      </c>
      <c r="T25" s="58">
        <f t="shared" si="21"/>
        <v>0</v>
      </c>
      <c r="U25" s="58">
        <f t="shared" si="21"/>
        <v>0</v>
      </c>
      <c r="V25" s="58">
        <f t="shared" si="21"/>
        <v>0</v>
      </c>
      <c r="W25" s="58">
        <f t="shared" si="21"/>
        <v>0</v>
      </c>
      <c r="X25" s="58">
        <f t="shared" si="21"/>
        <v>0</v>
      </c>
      <c r="Y25" s="58">
        <f t="shared" si="21"/>
        <v>0</v>
      </c>
      <c r="Z25" s="58">
        <f t="shared" si="21"/>
        <v>0</v>
      </c>
      <c r="AA25" s="58">
        <f t="shared" si="21"/>
        <v>0</v>
      </c>
      <c r="AB25" s="58">
        <f t="shared" si="21"/>
        <v>309.8</v>
      </c>
      <c r="AC25" s="58">
        <f t="shared" si="21"/>
        <v>0</v>
      </c>
      <c r="AD25" s="58">
        <f t="shared" si="21"/>
        <v>0</v>
      </c>
      <c r="AE25" s="58">
        <f t="shared" si="21"/>
        <v>0</v>
      </c>
      <c r="AF25" s="90"/>
    </row>
    <row r="26" spans="1:32" ht="18.75" x14ac:dyDescent="0.3">
      <c r="A26" s="77" t="s">
        <v>33</v>
      </c>
      <c r="B26" s="47">
        <f>B29+B32+B35+B38</f>
        <v>309.8</v>
      </c>
      <c r="C26" s="600">
        <f t="shared" ref="C26:E26" si="22">C29+C32+C35+C38</f>
        <v>0</v>
      </c>
      <c r="D26" s="600">
        <f t="shared" si="22"/>
        <v>0</v>
      </c>
      <c r="E26" s="600">
        <f t="shared" si="22"/>
        <v>0</v>
      </c>
      <c r="F26" s="600">
        <f t="shared" si="19"/>
        <v>0</v>
      </c>
      <c r="G26" s="600" t="e">
        <f t="shared" si="20"/>
        <v>#DIV/0!</v>
      </c>
      <c r="H26" s="600">
        <f>H29+H32+H35+H38</f>
        <v>0</v>
      </c>
      <c r="I26" s="600">
        <f t="shared" ref="I26:AE26" si="23">I29+I32+I35+I38</f>
        <v>0</v>
      </c>
      <c r="J26" s="600">
        <f t="shared" si="23"/>
        <v>0</v>
      </c>
      <c r="K26" s="600">
        <v>0</v>
      </c>
      <c r="L26" s="47">
        <f t="shared" si="23"/>
        <v>0</v>
      </c>
      <c r="M26" s="47">
        <f t="shared" si="23"/>
        <v>0</v>
      </c>
      <c r="N26" s="47">
        <f t="shared" si="23"/>
        <v>0</v>
      </c>
      <c r="O26" s="47">
        <f t="shared" si="23"/>
        <v>0</v>
      </c>
      <c r="P26" s="47">
        <f t="shared" si="23"/>
        <v>0</v>
      </c>
      <c r="Q26" s="47">
        <f t="shared" si="23"/>
        <v>0</v>
      </c>
      <c r="R26" s="47">
        <f t="shared" si="23"/>
        <v>0</v>
      </c>
      <c r="S26" s="47">
        <f t="shared" si="23"/>
        <v>0</v>
      </c>
      <c r="T26" s="47">
        <f t="shared" si="23"/>
        <v>0</v>
      </c>
      <c r="U26" s="47">
        <f t="shared" si="23"/>
        <v>0</v>
      </c>
      <c r="V26" s="47">
        <f t="shared" si="23"/>
        <v>0</v>
      </c>
      <c r="W26" s="47">
        <f t="shared" si="23"/>
        <v>0</v>
      </c>
      <c r="X26" s="47">
        <f t="shared" si="23"/>
        <v>0</v>
      </c>
      <c r="Y26" s="47">
        <f t="shared" si="23"/>
        <v>0</v>
      </c>
      <c r="Z26" s="47">
        <f t="shared" si="23"/>
        <v>0</v>
      </c>
      <c r="AA26" s="47">
        <f t="shared" si="23"/>
        <v>0</v>
      </c>
      <c r="AB26" s="47">
        <f t="shared" si="23"/>
        <v>309.8</v>
      </c>
      <c r="AC26" s="47">
        <f t="shared" si="23"/>
        <v>0</v>
      </c>
      <c r="AD26" s="47">
        <f t="shared" si="23"/>
        <v>0</v>
      </c>
      <c r="AE26" s="47">
        <f t="shared" si="23"/>
        <v>0</v>
      </c>
      <c r="AF26" s="90"/>
    </row>
    <row r="27" spans="1:32" ht="225" x14ac:dyDescent="0.3">
      <c r="A27" s="77" t="s">
        <v>139</v>
      </c>
      <c r="B27" s="58"/>
      <c r="C27" s="601"/>
      <c r="D27" s="601"/>
      <c r="E27" s="601"/>
      <c r="F27" s="600"/>
      <c r="G27" s="600"/>
      <c r="H27" s="601"/>
      <c r="I27" s="601"/>
      <c r="J27" s="601"/>
      <c r="K27" s="601"/>
      <c r="L27" s="58"/>
      <c r="M27" s="58"/>
      <c r="N27" s="58"/>
      <c r="O27" s="58"/>
      <c r="P27" s="58"/>
      <c r="Q27" s="58"/>
      <c r="R27" s="58"/>
      <c r="S27" s="58"/>
      <c r="T27" s="58"/>
      <c r="U27" s="58"/>
      <c r="V27" s="58"/>
      <c r="W27" s="58"/>
      <c r="X27" s="58"/>
      <c r="Y27" s="58"/>
      <c r="Z27" s="58"/>
      <c r="AA27" s="58"/>
      <c r="AB27" s="58"/>
      <c r="AC27" s="58"/>
      <c r="AD27" s="58"/>
      <c r="AE27" s="58"/>
      <c r="AF27" s="90"/>
    </row>
    <row r="28" spans="1:32" ht="18.75" x14ac:dyDescent="0.3">
      <c r="A28" s="82" t="s">
        <v>31</v>
      </c>
      <c r="B28" s="58">
        <f>B29</f>
        <v>309.8</v>
      </c>
      <c r="C28" s="601">
        <f t="shared" ref="C28" si="24">C29</f>
        <v>0</v>
      </c>
      <c r="D28" s="601">
        <v>0</v>
      </c>
      <c r="E28" s="601">
        <f>E29</f>
        <v>0</v>
      </c>
      <c r="F28" s="600">
        <f t="shared" ref="F28" si="25">E28/B28*100</f>
        <v>0</v>
      </c>
      <c r="G28" s="600" t="e">
        <f t="shared" ref="G28" si="26">E28/C28*100</f>
        <v>#DIV/0!</v>
      </c>
      <c r="H28" s="601">
        <f>H29</f>
        <v>0</v>
      </c>
      <c r="I28" s="601">
        <f t="shared" ref="I28:AE28" si="27">I29</f>
        <v>0</v>
      </c>
      <c r="J28" s="601">
        <f t="shared" si="27"/>
        <v>0</v>
      </c>
      <c r="K28" s="601">
        <f t="shared" si="27"/>
        <v>0</v>
      </c>
      <c r="L28" s="58">
        <f t="shared" si="27"/>
        <v>0</v>
      </c>
      <c r="M28" s="58">
        <f t="shared" si="27"/>
        <v>0</v>
      </c>
      <c r="N28" s="58">
        <f t="shared" si="27"/>
        <v>0</v>
      </c>
      <c r="O28" s="58">
        <f t="shared" si="27"/>
        <v>0</v>
      </c>
      <c r="P28" s="58">
        <f t="shared" si="27"/>
        <v>0</v>
      </c>
      <c r="Q28" s="58">
        <f t="shared" si="27"/>
        <v>0</v>
      </c>
      <c r="R28" s="58">
        <f t="shared" si="27"/>
        <v>0</v>
      </c>
      <c r="S28" s="58">
        <f t="shared" si="27"/>
        <v>0</v>
      </c>
      <c r="T28" s="58">
        <f t="shared" si="27"/>
        <v>0</v>
      </c>
      <c r="U28" s="58">
        <f t="shared" si="27"/>
        <v>0</v>
      </c>
      <c r="V28" s="58">
        <f t="shared" si="27"/>
        <v>0</v>
      </c>
      <c r="W28" s="58">
        <f t="shared" si="27"/>
        <v>0</v>
      </c>
      <c r="X28" s="58">
        <f t="shared" si="27"/>
        <v>0</v>
      </c>
      <c r="Y28" s="58">
        <f t="shared" si="27"/>
        <v>0</v>
      </c>
      <c r="Z28" s="58">
        <f t="shared" si="27"/>
        <v>0</v>
      </c>
      <c r="AA28" s="58">
        <f t="shared" si="27"/>
        <v>0</v>
      </c>
      <c r="AB28" s="58">
        <f t="shared" si="27"/>
        <v>309.8</v>
      </c>
      <c r="AC28" s="58">
        <f t="shared" si="27"/>
        <v>0</v>
      </c>
      <c r="AD28" s="58">
        <f t="shared" si="27"/>
        <v>0</v>
      </c>
      <c r="AE28" s="58">
        <f t="shared" si="27"/>
        <v>0</v>
      </c>
      <c r="AF28" s="90"/>
    </row>
    <row r="29" spans="1:32" ht="18.75" x14ac:dyDescent="0.3">
      <c r="A29" s="77" t="s">
        <v>33</v>
      </c>
      <c r="B29" s="47">
        <f>H29+J29+L29+N29+P29+R29+T29+V29+X29+Z29+AB29+AD29</f>
        <v>309.8</v>
      </c>
      <c r="C29" s="600">
        <f>H29</f>
        <v>0</v>
      </c>
      <c r="D29" s="603">
        <v>0</v>
      </c>
      <c r="E29" s="600">
        <f t="shared" ref="E29" si="28">K29+M29+O29+Q29+S29+U29+W29+Y29+AA29+AC29+AE29+AG29</f>
        <v>0</v>
      </c>
      <c r="F29" s="600">
        <f t="shared" ref="F29" si="29">E29/B29*100</f>
        <v>0</v>
      </c>
      <c r="G29" s="600" t="e">
        <f t="shared" ref="G29" si="30">E29/C29*100</f>
        <v>#DIV/0!</v>
      </c>
      <c r="H29" s="601">
        <v>0</v>
      </c>
      <c r="I29" s="601">
        <v>0</v>
      </c>
      <c r="J29" s="601">
        <v>0</v>
      </c>
      <c r="K29" s="601">
        <v>0</v>
      </c>
      <c r="L29" s="58"/>
      <c r="M29" s="58"/>
      <c r="N29" s="58"/>
      <c r="O29" s="58"/>
      <c r="P29" s="58"/>
      <c r="Q29" s="58"/>
      <c r="R29" s="58"/>
      <c r="S29" s="58"/>
      <c r="T29" s="58"/>
      <c r="U29" s="58"/>
      <c r="V29" s="58"/>
      <c r="W29" s="58"/>
      <c r="X29" s="58"/>
      <c r="Y29" s="58"/>
      <c r="Z29" s="58"/>
      <c r="AA29" s="58"/>
      <c r="AB29" s="58">
        <v>309.8</v>
      </c>
      <c r="AC29" s="58"/>
      <c r="AD29" s="58"/>
      <c r="AE29" s="58"/>
      <c r="AF29" s="90"/>
    </row>
    <row r="30" spans="1:32" ht="337.5" hidden="1" x14ac:dyDescent="0.3">
      <c r="A30" s="77" t="s">
        <v>140</v>
      </c>
      <c r="B30" s="58"/>
      <c r="C30" s="601"/>
      <c r="D30" s="601"/>
      <c r="E30" s="601"/>
      <c r="F30" s="600"/>
      <c r="G30" s="600"/>
      <c r="H30" s="601"/>
      <c r="I30" s="601"/>
      <c r="J30" s="601"/>
      <c r="K30" s="601"/>
      <c r="L30" s="58"/>
      <c r="M30" s="58"/>
      <c r="N30" s="58"/>
      <c r="O30" s="58"/>
      <c r="P30" s="58"/>
      <c r="Q30" s="58"/>
      <c r="R30" s="58"/>
      <c r="S30" s="58"/>
      <c r="T30" s="58"/>
      <c r="U30" s="58"/>
      <c r="V30" s="58"/>
      <c r="W30" s="58"/>
      <c r="X30" s="58"/>
      <c r="Y30" s="58"/>
      <c r="Z30" s="58"/>
      <c r="AA30" s="58"/>
      <c r="AB30" s="58"/>
      <c r="AC30" s="58"/>
      <c r="AD30" s="58"/>
      <c r="AE30" s="58"/>
      <c r="AF30" s="90"/>
    </row>
    <row r="31" spans="1:32" ht="18.75" hidden="1" x14ac:dyDescent="0.3">
      <c r="A31" s="82" t="s">
        <v>31</v>
      </c>
      <c r="B31" s="58">
        <f>B32</f>
        <v>0</v>
      </c>
      <c r="C31" s="601">
        <f t="shared" ref="C31" si="31">C32</f>
        <v>0</v>
      </c>
      <c r="D31" s="601"/>
      <c r="E31" s="601">
        <f>E32</f>
        <v>0</v>
      </c>
      <c r="F31" s="600"/>
      <c r="G31" s="600"/>
      <c r="H31" s="601"/>
      <c r="I31" s="601"/>
      <c r="J31" s="601"/>
      <c r="K31" s="601"/>
      <c r="L31" s="58"/>
      <c r="M31" s="58"/>
      <c r="N31" s="58"/>
      <c r="O31" s="58"/>
      <c r="P31" s="58"/>
      <c r="Q31" s="58"/>
      <c r="R31" s="58"/>
      <c r="S31" s="58"/>
      <c r="T31" s="58"/>
      <c r="U31" s="58"/>
      <c r="V31" s="58"/>
      <c r="W31" s="58"/>
      <c r="X31" s="58"/>
      <c r="Y31" s="58"/>
      <c r="Z31" s="58"/>
      <c r="AA31" s="58"/>
      <c r="AB31" s="58"/>
      <c r="AC31" s="58"/>
      <c r="AD31" s="58"/>
      <c r="AE31" s="58"/>
      <c r="AF31" s="90"/>
    </row>
    <row r="32" spans="1:32" ht="18.75" hidden="1" x14ac:dyDescent="0.3">
      <c r="A32" s="77" t="s">
        <v>33</v>
      </c>
      <c r="B32" s="47">
        <f>H32+J32+L32+N32+P32+R32+T32+V32+X32+Z32+AB32+AD32</f>
        <v>0</v>
      </c>
      <c r="C32" s="600">
        <f>H32</f>
        <v>0</v>
      </c>
      <c r="D32" s="600"/>
      <c r="E32" s="600">
        <f t="shared" ref="E32" si="32">K32+M32+O32+Q32+S32+U32+W32+Y32+AA32+AC32+AE32+AG32</f>
        <v>0</v>
      </c>
      <c r="F32" s="600" t="e">
        <f t="shared" ref="F32" si="33">E32/B32*100</f>
        <v>#DIV/0!</v>
      </c>
      <c r="G32" s="600" t="e">
        <f t="shared" ref="G32" si="34">E32/C32*100</f>
        <v>#DIV/0!</v>
      </c>
      <c r="H32" s="601"/>
      <c r="I32" s="601"/>
      <c r="J32" s="601"/>
      <c r="K32" s="601"/>
      <c r="L32" s="58"/>
      <c r="M32" s="58"/>
      <c r="N32" s="58"/>
      <c r="O32" s="58"/>
      <c r="P32" s="58"/>
      <c r="Q32" s="58"/>
      <c r="R32" s="58"/>
      <c r="S32" s="58"/>
      <c r="T32" s="58"/>
      <c r="U32" s="58"/>
      <c r="V32" s="58"/>
      <c r="W32" s="58"/>
      <c r="X32" s="58"/>
      <c r="Y32" s="58"/>
      <c r="Z32" s="58"/>
      <c r="AA32" s="58"/>
      <c r="AB32" s="58"/>
      <c r="AC32" s="58"/>
      <c r="AD32" s="58"/>
      <c r="AE32" s="58"/>
      <c r="AF32" s="90"/>
    </row>
    <row r="33" spans="1:32" ht="112.5" hidden="1" x14ac:dyDescent="0.3">
      <c r="A33" s="77" t="s">
        <v>141</v>
      </c>
      <c r="B33" s="58"/>
      <c r="C33" s="601"/>
      <c r="D33" s="601"/>
      <c r="E33" s="601"/>
      <c r="F33" s="600"/>
      <c r="G33" s="600"/>
      <c r="H33" s="601"/>
      <c r="I33" s="601"/>
      <c r="J33" s="601"/>
      <c r="K33" s="601"/>
      <c r="L33" s="58"/>
      <c r="M33" s="58"/>
      <c r="N33" s="58"/>
      <c r="O33" s="58"/>
      <c r="P33" s="58"/>
      <c r="Q33" s="58"/>
      <c r="R33" s="58"/>
      <c r="S33" s="58"/>
      <c r="T33" s="58"/>
      <c r="U33" s="58"/>
      <c r="V33" s="58"/>
      <c r="W33" s="58"/>
      <c r="X33" s="58"/>
      <c r="Y33" s="58"/>
      <c r="Z33" s="58"/>
      <c r="AA33" s="58"/>
      <c r="AB33" s="58"/>
      <c r="AC33" s="58"/>
      <c r="AD33" s="58"/>
      <c r="AE33" s="58"/>
      <c r="AF33" s="90"/>
    </row>
    <row r="34" spans="1:32" ht="18.75" hidden="1" x14ac:dyDescent="0.3">
      <c r="A34" s="82" t="s">
        <v>31</v>
      </c>
      <c r="B34" s="58">
        <f>B35</f>
        <v>0</v>
      </c>
      <c r="C34" s="601">
        <f t="shared" ref="C34" si="35">C35</f>
        <v>0</v>
      </c>
      <c r="D34" s="601">
        <f>D35</f>
        <v>0</v>
      </c>
      <c r="E34" s="601">
        <f>E35</f>
        <v>0</v>
      </c>
      <c r="F34" s="600" t="e">
        <f t="shared" ref="F34:F35" si="36">E34/B34*100</f>
        <v>#DIV/0!</v>
      </c>
      <c r="G34" s="600" t="e">
        <f t="shared" ref="G34:G35" si="37">E34/C34*100</f>
        <v>#DIV/0!</v>
      </c>
      <c r="H34" s="602"/>
      <c r="I34" s="602"/>
      <c r="J34" s="602"/>
      <c r="K34" s="602"/>
      <c r="L34" s="94"/>
      <c r="M34" s="94"/>
      <c r="N34" s="94"/>
      <c r="O34" s="94"/>
      <c r="P34" s="94"/>
      <c r="Q34" s="94"/>
      <c r="R34" s="94"/>
      <c r="S34" s="94"/>
      <c r="T34" s="94"/>
      <c r="U34" s="94"/>
      <c r="V34" s="94"/>
      <c r="W34" s="94"/>
      <c r="X34" s="94"/>
      <c r="Y34" s="94"/>
      <c r="Z34" s="94"/>
      <c r="AA34" s="94"/>
      <c r="AB34" s="94"/>
      <c r="AC34" s="94"/>
      <c r="AD34" s="94"/>
      <c r="AE34" s="94"/>
      <c r="AF34" s="90"/>
    </row>
    <row r="35" spans="1:32" ht="18.75" hidden="1" x14ac:dyDescent="0.3">
      <c r="A35" s="77" t="s">
        <v>33</v>
      </c>
      <c r="B35" s="47">
        <f>H35+J35+L35+N35+P35+R35+T35+V35+X35+Z35+AB35+AD35</f>
        <v>0</v>
      </c>
      <c r="C35" s="600">
        <f>H35</f>
        <v>0</v>
      </c>
      <c r="D35" s="600"/>
      <c r="E35" s="600">
        <f>K35+M35+O35+Q35+S35+U35+W35+Y35+AA35+AC35+AE35+AG32</f>
        <v>0</v>
      </c>
      <c r="F35" s="600" t="e">
        <f t="shared" si="36"/>
        <v>#DIV/0!</v>
      </c>
      <c r="G35" s="600" t="e">
        <f t="shared" si="37"/>
        <v>#DIV/0!</v>
      </c>
      <c r="H35" s="602"/>
      <c r="I35" s="602"/>
      <c r="J35" s="602"/>
      <c r="K35" s="602"/>
      <c r="L35" s="94"/>
      <c r="M35" s="94"/>
      <c r="N35" s="94"/>
      <c r="O35" s="94"/>
      <c r="P35" s="94"/>
      <c r="Q35" s="94"/>
      <c r="R35" s="94"/>
      <c r="S35" s="94"/>
      <c r="T35" s="94"/>
      <c r="U35" s="94"/>
      <c r="V35" s="94"/>
      <c r="W35" s="94"/>
      <c r="X35" s="94"/>
      <c r="Y35" s="94"/>
      <c r="Z35" s="94"/>
      <c r="AA35" s="94"/>
      <c r="AB35" s="94"/>
      <c r="AC35" s="94"/>
      <c r="AD35" s="94"/>
      <c r="AE35" s="94"/>
      <c r="AF35" s="90"/>
    </row>
    <row r="36" spans="1:32" ht="187.5" hidden="1" x14ac:dyDescent="0.3">
      <c r="A36" s="77" t="s">
        <v>142</v>
      </c>
      <c r="B36" s="58"/>
      <c r="C36" s="601"/>
      <c r="D36" s="601"/>
      <c r="E36" s="601"/>
      <c r="F36" s="600"/>
      <c r="G36" s="600"/>
      <c r="H36" s="601"/>
      <c r="I36" s="601"/>
      <c r="J36" s="601"/>
      <c r="K36" s="601"/>
      <c r="L36" s="58"/>
      <c r="M36" s="58"/>
      <c r="N36" s="58"/>
      <c r="O36" s="58"/>
      <c r="P36" s="58"/>
      <c r="Q36" s="58"/>
      <c r="R36" s="58"/>
      <c r="S36" s="58"/>
      <c r="T36" s="58"/>
      <c r="U36" s="58"/>
      <c r="V36" s="58"/>
      <c r="W36" s="58"/>
      <c r="X36" s="58"/>
      <c r="Y36" s="58"/>
      <c r="Z36" s="58"/>
      <c r="AA36" s="58"/>
      <c r="AB36" s="58"/>
      <c r="AC36" s="58"/>
      <c r="AD36" s="58"/>
      <c r="AE36" s="58"/>
      <c r="AF36" s="90"/>
    </row>
    <row r="37" spans="1:32" ht="18.75" hidden="1" x14ac:dyDescent="0.3">
      <c r="A37" s="82" t="s">
        <v>31</v>
      </c>
      <c r="B37" s="58">
        <f>B38</f>
        <v>0</v>
      </c>
      <c r="C37" s="601">
        <f>C38</f>
        <v>0</v>
      </c>
      <c r="D37" s="601">
        <f>D38</f>
        <v>0</v>
      </c>
      <c r="E37" s="601">
        <f>E38</f>
        <v>0</v>
      </c>
      <c r="F37" s="600" t="e">
        <f t="shared" ref="F37:F38" si="38">E37/B37*100</f>
        <v>#DIV/0!</v>
      </c>
      <c r="G37" s="600" t="e">
        <f t="shared" ref="G37:G38" si="39">E37/C37*100</f>
        <v>#DIV/0!</v>
      </c>
      <c r="H37" s="601"/>
      <c r="I37" s="601"/>
      <c r="J37" s="601"/>
      <c r="K37" s="601"/>
      <c r="L37" s="58"/>
      <c r="M37" s="58"/>
      <c r="N37" s="58"/>
      <c r="O37" s="58"/>
      <c r="P37" s="58"/>
      <c r="Q37" s="58"/>
      <c r="R37" s="58"/>
      <c r="S37" s="58"/>
      <c r="T37" s="58"/>
      <c r="U37" s="58"/>
      <c r="V37" s="58"/>
      <c r="W37" s="58"/>
      <c r="X37" s="58"/>
      <c r="Y37" s="58"/>
      <c r="Z37" s="58"/>
      <c r="AA37" s="58"/>
      <c r="AB37" s="58"/>
      <c r="AC37" s="58"/>
      <c r="AD37" s="58"/>
      <c r="AE37" s="58"/>
      <c r="AF37" s="90"/>
    </row>
    <row r="38" spans="1:32" ht="18.75" hidden="1" x14ac:dyDescent="0.3">
      <c r="A38" s="77" t="s">
        <v>33</v>
      </c>
      <c r="B38" s="47">
        <f>H38+J38+L38+N38+P38+R38+T38+V38+X38+Z38+AB38+AD38</f>
        <v>0</v>
      </c>
      <c r="C38" s="600">
        <f>H38</f>
        <v>0</v>
      </c>
      <c r="D38" s="600"/>
      <c r="E38" s="600">
        <f>K38+M38+O38+Q38+S38+U38+W38+Y38+AA38+AC38+AE38+AG35</f>
        <v>0</v>
      </c>
      <c r="F38" s="600" t="e">
        <f t="shared" si="38"/>
        <v>#DIV/0!</v>
      </c>
      <c r="G38" s="600" t="e">
        <f t="shared" si="39"/>
        <v>#DIV/0!</v>
      </c>
      <c r="H38" s="601"/>
      <c r="I38" s="601"/>
      <c r="J38" s="601"/>
      <c r="K38" s="601"/>
      <c r="L38" s="58"/>
      <c r="M38" s="58"/>
      <c r="N38" s="58"/>
      <c r="O38" s="58"/>
      <c r="P38" s="58"/>
      <c r="Q38" s="58"/>
      <c r="R38" s="58"/>
      <c r="S38" s="58"/>
      <c r="T38" s="58"/>
      <c r="U38" s="58"/>
      <c r="V38" s="58"/>
      <c r="W38" s="58"/>
      <c r="X38" s="58"/>
      <c r="Y38" s="58"/>
      <c r="Z38" s="58"/>
      <c r="AA38" s="58"/>
      <c r="AB38" s="58"/>
      <c r="AC38" s="58"/>
      <c r="AD38" s="58"/>
      <c r="AE38" s="58"/>
      <c r="AF38" s="90"/>
    </row>
    <row r="39" spans="1:32" ht="243.75" x14ac:dyDescent="0.3">
      <c r="A39" s="78" t="s">
        <v>161</v>
      </c>
      <c r="B39" s="58"/>
      <c r="C39" s="601"/>
      <c r="D39" s="601"/>
      <c r="E39" s="601"/>
      <c r="F39" s="600"/>
      <c r="G39" s="600"/>
      <c r="H39" s="601"/>
      <c r="I39" s="601"/>
      <c r="J39" s="601"/>
      <c r="K39" s="601"/>
      <c r="L39" s="58"/>
      <c r="M39" s="58"/>
      <c r="N39" s="58"/>
      <c r="O39" s="58"/>
      <c r="P39" s="58"/>
      <c r="Q39" s="58"/>
      <c r="R39" s="58"/>
      <c r="S39" s="58"/>
      <c r="T39" s="58"/>
      <c r="U39" s="58"/>
      <c r="V39" s="58"/>
      <c r="W39" s="58"/>
      <c r="X39" s="58"/>
      <c r="Y39" s="58"/>
      <c r="Z39" s="58"/>
      <c r="AA39" s="58"/>
      <c r="AB39" s="58"/>
      <c r="AC39" s="58"/>
      <c r="AD39" s="58"/>
      <c r="AE39" s="58"/>
      <c r="AF39" s="716" t="s">
        <v>544</v>
      </c>
    </row>
    <row r="40" spans="1:32" ht="18.75" x14ac:dyDescent="0.3">
      <c r="A40" s="82" t="s">
        <v>31</v>
      </c>
      <c r="B40" s="58">
        <f>B41+B42</f>
        <v>652</v>
      </c>
      <c r="C40" s="601">
        <f t="shared" ref="C40:E40" si="40">C41+C42</f>
        <v>0</v>
      </c>
      <c r="D40" s="601">
        <f t="shared" si="40"/>
        <v>0</v>
      </c>
      <c r="E40" s="601">
        <f t="shared" si="40"/>
        <v>0</v>
      </c>
      <c r="F40" s="600">
        <f t="shared" ref="F40:F43" si="41">E40/B40*100</f>
        <v>0</v>
      </c>
      <c r="G40" s="600" t="e">
        <f>E40/C40*100</f>
        <v>#DIV/0!</v>
      </c>
      <c r="H40" s="601">
        <f>H41+H42</f>
        <v>0</v>
      </c>
      <c r="I40" s="601">
        <f t="shared" ref="I40:AE40" si="42">I41+I42</f>
        <v>0</v>
      </c>
      <c r="J40" s="601">
        <f t="shared" si="42"/>
        <v>0</v>
      </c>
      <c r="K40" s="601">
        <f t="shared" si="42"/>
        <v>0</v>
      </c>
      <c r="L40" s="58">
        <v>350</v>
      </c>
      <c r="M40" s="58">
        <f t="shared" si="42"/>
        <v>122.8</v>
      </c>
      <c r="N40" s="58">
        <f t="shared" si="42"/>
        <v>0</v>
      </c>
      <c r="O40" s="58">
        <f t="shared" si="42"/>
        <v>0</v>
      </c>
      <c r="P40" s="58">
        <f t="shared" si="42"/>
        <v>0</v>
      </c>
      <c r="Q40" s="58">
        <f t="shared" si="42"/>
        <v>0</v>
      </c>
      <c r="R40" s="58">
        <f t="shared" si="42"/>
        <v>0</v>
      </c>
      <c r="S40" s="58">
        <f t="shared" si="42"/>
        <v>0</v>
      </c>
      <c r="T40" s="58">
        <f t="shared" si="42"/>
        <v>0</v>
      </c>
      <c r="U40" s="58">
        <f t="shared" si="42"/>
        <v>0</v>
      </c>
      <c r="V40" s="58">
        <f t="shared" si="42"/>
        <v>0</v>
      </c>
      <c r="W40" s="58">
        <f t="shared" si="42"/>
        <v>0</v>
      </c>
      <c r="X40" s="58">
        <f t="shared" si="42"/>
        <v>0</v>
      </c>
      <c r="Y40" s="58">
        <f t="shared" si="42"/>
        <v>0</v>
      </c>
      <c r="Z40" s="58">
        <f t="shared" si="42"/>
        <v>302</v>
      </c>
      <c r="AA40" s="58">
        <f t="shared" si="42"/>
        <v>0</v>
      </c>
      <c r="AB40" s="58">
        <f t="shared" si="42"/>
        <v>0</v>
      </c>
      <c r="AC40" s="58">
        <f t="shared" si="42"/>
        <v>0</v>
      </c>
      <c r="AD40" s="58">
        <f t="shared" si="42"/>
        <v>0</v>
      </c>
      <c r="AE40" s="58">
        <f t="shared" si="42"/>
        <v>0</v>
      </c>
      <c r="AF40" s="90"/>
    </row>
    <row r="41" spans="1:32" ht="18.75" x14ac:dyDescent="0.3">
      <c r="A41" s="82" t="s">
        <v>143</v>
      </c>
      <c r="B41" s="58">
        <f t="shared" ref="B41:B42" si="43">H41+J41+L41+N41+P41+R41+T41+V41+X41+Z41+AB41+AD41</f>
        <v>195.6</v>
      </c>
      <c r="C41" s="601"/>
      <c r="D41" s="601"/>
      <c r="E41" s="601"/>
      <c r="F41" s="600"/>
      <c r="G41" s="600"/>
      <c r="H41" s="601">
        <v>0</v>
      </c>
      <c r="I41" s="601">
        <v>0</v>
      </c>
      <c r="J41" s="601">
        <v>0</v>
      </c>
      <c r="K41" s="601">
        <v>0</v>
      </c>
      <c r="L41" s="58">
        <v>97.8</v>
      </c>
      <c r="M41" s="58">
        <v>97.8</v>
      </c>
      <c r="N41" s="58"/>
      <c r="O41" s="58"/>
      <c r="P41" s="58"/>
      <c r="Q41" s="58"/>
      <c r="R41" s="58"/>
      <c r="S41" s="58"/>
      <c r="T41" s="58"/>
      <c r="U41" s="58"/>
      <c r="V41" s="58"/>
      <c r="W41" s="58"/>
      <c r="X41" s="58"/>
      <c r="Y41" s="58"/>
      <c r="Z41" s="58">
        <v>97.8</v>
      </c>
      <c r="AA41" s="58"/>
      <c r="AB41" s="58"/>
      <c r="AC41" s="58"/>
      <c r="AD41" s="58"/>
      <c r="AE41" s="58"/>
      <c r="AF41" s="90"/>
    </row>
    <row r="42" spans="1:32" ht="18.75" x14ac:dyDescent="0.3">
      <c r="A42" s="77" t="s">
        <v>33</v>
      </c>
      <c r="B42" s="58">
        <f t="shared" si="43"/>
        <v>456.4</v>
      </c>
      <c r="C42" s="601">
        <f>C46+C49</f>
        <v>0</v>
      </c>
      <c r="D42" s="601">
        <f>D46+D49</f>
        <v>0</v>
      </c>
      <c r="E42" s="601">
        <f>E46+E49</f>
        <v>0</v>
      </c>
      <c r="F42" s="600">
        <f t="shared" si="41"/>
        <v>0</v>
      </c>
      <c r="G42" s="600" t="e">
        <f>E42/C42*100</f>
        <v>#DIV/0!</v>
      </c>
      <c r="H42" s="601">
        <v>0</v>
      </c>
      <c r="I42" s="601">
        <v>0</v>
      </c>
      <c r="J42" s="601">
        <v>0</v>
      </c>
      <c r="K42" s="601">
        <v>0</v>
      </c>
      <c r="L42" s="58">
        <v>252.2</v>
      </c>
      <c r="M42" s="58">
        <v>25</v>
      </c>
      <c r="N42" s="58"/>
      <c r="O42" s="58"/>
      <c r="P42" s="58"/>
      <c r="Q42" s="58"/>
      <c r="R42" s="58"/>
      <c r="S42" s="58"/>
      <c r="T42" s="58"/>
      <c r="U42" s="58"/>
      <c r="V42" s="58"/>
      <c r="W42" s="58"/>
      <c r="X42" s="58"/>
      <c r="Y42" s="58"/>
      <c r="Z42" s="58">
        <v>204.2</v>
      </c>
      <c r="AA42" s="58"/>
      <c r="AB42" s="58"/>
      <c r="AC42" s="58"/>
      <c r="AD42" s="58"/>
      <c r="AE42" s="58"/>
      <c r="AF42" s="90"/>
    </row>
    <row r="43" spans="1:32" ht="37.5" x14ac:dyDescent="0.3">
      <c r="A43" s="84" t="s">
        <v>130</v>
      </c>
      <c r="B43" s="58">
        <f>H43+J43+L43+N43+P43+R43+T43+V43+X43+Z43+AB43+AD43</f>
        <v>456.4</v>
      </c>
      <c r="C43" s="600">
        <f>H43</f>
        <v>0</v>
      </c>
      <c r="D43" s="600">
        <v>0</v>
      </c>
      <c r="E43" s="600">
        <f>K43+M43+O43+Q43+S43+U43+W43+Y43+AA43+AC43+AE43+AG39</f>
        <v>25</v>
      </c>
      <c r="F43" s="600">
        <f t="shared" si="41"/>
        <v>5.4776511831726555</v>
      </c>
      <c r="G43" s="600" t="e">
        <f>E43/C43*100</f>
        <v>#DIV/0!</v>
      </c>
      <c r="H43" s="601">
        <v>0</v>
      </c>
      <c r="I43" s="601">
        <v>0</v>
      </c>
      <c r="J43" s="601">
        <v>0</v>
      </c>
      <c r="K43" s="601">
        <v>0</v>
      </c>
      <c r="L43" s="58">
        <v>228.2</v>
      </c>
      <c r="M43" s="58">
        <v>25</v>
      </c>
      <c r="N43" s="58"/>
      <c r="O43" s="58"/>
      <c r="P43" s="58"/>
      <c r="Q43" s="58"/>
      <c r="R43" s="58"/>
      <c r="S43" s="58"/>
      <c r="T43" s="58"/>
      <c r="U43" s="58"/>
      <c r="V43" s="58"/>
      <c r="W43" s="58"/>
      <c r="X43" s="58"/>
      <c r="Y43" s="58"/>
      <c r="Z43" s="58">
        <v>228.2</v>
      </c>
      <c r="AA43" s="58"/>
      <c r="AB43" s="58"/>
      <c r="AC43" s="58"/>
      <c r="AD43" s="58"/>
      <c r="AE43" s="58"/>
      <c r="AF43" s="90"/>
    </row>
    <row r="44" spans="1:32" ht="112.5" hidden="1" x14ac:dyDescent="0.3">
      <c r="A44" s="78" t="s">
        <v>144</v>
      </c>
      <c r="B44" s="58"/>
      <c r="C44" s="601"/>
      <c r="D44" s="601"/>
      <c r="E44" s="601"/>
      <c r="F44" s="600"/>
      <c r="G44" s="600"/>
      <c r="H44" s="601"/>
      <c r="I44" s="601"/>
      <c r="J44" s="601"/>
      <c r="K44" s="601"/>
      <c r="L44" s="58"/>
      <c r="M44" s="58"/>
      <c r="N44" s="58"/>
      <c r="O44" s="58"/>
      <c r="P44" s="58"/>
      <c r="Q44" s="58"/>
      <c r="R44" s="58"/>
      <c r="S44" s="58"/>
      <c r="T44" s="58"/>
      <c r="U44" s="58"/>
      <c r="V44" s="58"/>
      <c r="W44" s="58"/>
      <c r="X44" s="58"/>
      <c r="Y44" s="58"/>
      <c r="Z44" s="58"/>
      <c r="AA44" s="58"/>
      <c r="AB44" s="58"/>
      <c r="AC44" s="58"/>
      <c r="AD44" s="58"/>
      <c r="AE44" s="58"/>
      <c r="AF44" s="90"/>
    </row>
    <row r="45" spans="1:32" ht="18.75" hidden="1" x14ac:dyDescent="0.3">
      <c r="A45" s="82" t="s">
        <v>31</v>
      </c>
      <c r="B45" s="58">
        <f>B46</f>
        <v>0</v>
      </c>
      <c r="C45" s="601">
        <f>C46</f>
        <v>0</v>
      </c>
      <c r="D45" s="601"/>
      <c r="E45" s="601">
        <f>E46</f>
        <v>0</v>
      </c>
      <c r="F45" s="600" t="e">
        <f t="shared" ref="F45" si="44">E45/B45*100</f>
        <v>#DIV/0!</v>
      </c>
      <c r="G45" s="600" t="e">
        <f>E45/C45*100</f>
        <v>#DIV/0!</v>
      </c>
      <c r="H45" s="601"/>
      <c r="I45" s="601"/>
      <c r="J45" s="601"/>
      <c r="K45" s="601"/>
      <c r="L45" s="58"/>
      <c r="M45" s="58"/>
      <c r="N45" s="58"/>
      <c r="O45" s="58"/>
      <c r="P45" s="58"/>
      <c r="Q45" s="58"/>
      <c r="R45" s="58"/>
      <c r="S45" s="58"/>
      <c r="T45" s="58"/>
      <c r="U45" s="58"/>
      <c r="V45" s="58"/>
      <c r="W45" s="58"/>
      <c r="X45" s="58"/>
      <c r="Y45" s="58"/>
      <c r="Z45" s="58"/>
      <c r="AA45" s="58"/>
      <c r="AB45" s="58"/>
      <c r="AC45" s="58"/>
      <c r="AD45" s="58"/>
      <c r="AE45" s="58">
        <f t="shared" ref="AE45" si="45">AE46</f>
        <v>0</v>
      </c>
      <c r="AF45" s="90"/>
    </row>
    <row r="46" spans="1:32" ht="18.75" hidden="1" x14ac:dyDescent="0.3">
      <c r="A46" s="77" t="s">
        <v>33</v>
      </c>
      <c r="B46" s="47">
        <f>H46+J46+L46+N46+P46+R46+T46+V46+X46+Z46+AB46+AD46</f>
        <v>0</v>
      </c>
      <c r="C46" s="600">
        <f>H46</f>
        <v>0</v>
      </c>
      <c r="D46" s="600"/>
      <c r="E46" s="600">
        <f>K46+M46+O46+Q46+S46+U46+W46+Y46+AA46+AC46+AE46+AG42</f>
        <v>0</v>
      </c>
      <c r="F46" s="600" t="e">
        <f t="shared" ref="F46" si="46">E46/B46*100</f>
        <v>#DIV/0!</v>
      </c>
      <c r="G46" s="600" t="e">
        <f>E46/C46*100</f>
        <v>#DIV/0!</v>
      </c>
      <c r="H46" s="601"/>
      <c r="I46" s="601"/>
      <c r="J46" s="601"/>
      <c r="K46" s="601"/>
      <c r="L46" s="58"/>
      <c r="M46" s="58"/>
      <c r="N46" s="58"/>
      <c r="O46" s="58"/>
      <c r="P46" s="58"/>
      <c r="Q46" s="58"/>
      <c r="R46" s="58"/>
      <c r="S46" s="58"/>
      <c r="T46" s="58"/>
      <c r="U46" s="58"/>
      <c r="V46" s="58"/>
      <c r="W46" s="58"/>
      <c r="X46" s="58"/>
      <c r="Y46" s="58"/>
      <c r="Z46" s="58"/>
      <c r="AA46" s="58"/>
      <c r="AB46" s="58"/>
      <c r="AC46" s="58"/>
      <c r="AD46" s="58"/>
      <c r="AE46" s="58"/>
      <c r="AF46" s="90"/>
    </row>
    <row r="47" spans="1:32" ht="281.25" hidden="1" x14ac:dyDescent="0.3">
      <c r="A47" s="78" t="s">
        <v>145</v>
      </c>
      <c r="B47" s="58"/>
      <c r="C47" s="601"/>
      <c r="D47" s="601"/>
      <c r="E47" s="601"/>
      <c r="F47" s="600"/>
      <c r="G47" s="600"/>
      <c r="H47" s="601"/>
      <c r="I47" s="601"/>
      <c r="J47" s="601"/>
      <c r="K47" s="601"/>
      <c r="L47" s="58"/>
      <c r="M47" s="58"/>
      <c r="N47" s="58"/>
      <c r="O47" s="58"/>
      <c r="P47" s="58"/>
      <c r="Q47" s="58"/>
      <c r="R47" s="58"/>
      <c r="S47" s="58"/>
      <c r="T47" s="58"/>
      <c r="U47" s="58"/>
      <c r="V47" s="58"/>
      <c r="W47" s="58"/>
      <c r="X47" s="58"/>
      <c r="Y47" s="58"/>
      <c r="Z47" s="58"/>
      <c r="AA47" s="58"/>
      <c r="AB47" s="58"/>
      <c r="AC47" s="58"/>
      <c r="AD47" s="58"/>
      <c r="AE47" s="58"/>
      <c r="AF47" s="90"/>
    </row>
    <row r="48" spans="1:32" ht="18.75" hidden="1" x14ac:dyDescent="0.3">
      <c r="A48" s="82" t="s">
        <v>31</v>
      </c>
      <c r="B48" s="58">
        <f>B49</f>
        <v>0</v>
      </c>
      <c r="C48" s="601">
        <f t="shared" ref="C48" si="47">C49</f>
        <v>0</v>
      </c>
      <c r="D48" s="601"/>
      <c r="E48" s="601">
        <f>E49</f>
        <v>0</v>
      </c>
      <c r="F48" s="600"/>
      <c r="G48" s="600"/>
      <c r="H48" s="601"/>
      <c r="I48" s="601"/>
      <c r="J48" s="601"/>
      <c r="K48" s="601"/>
      <c r="L48" s="58"/>
      <c r="M48" s="58"/>
      <c r="N48" s="58"/>
      <c r="O48" s="58"/>
      <c r="P48" s="58"/>
      <c r="Q48" s="58"/>
      <c r="R48" s="58"/>
      <c r="S48" s="58"/>
      <c r="T48" s="58"/>
      <c r="U48" s="58"/>
      <c r="V48" s="58"/>
      <c r="W48" s="58"/>
      <c r="X48" s="58"/>
      <c r="Y48" s="58"/>
      <c r="Z48" s="58"/>
      <c r="AA48" s="58"/>
      <c r="AB48" s="58"/>
      <c r="AC48" s="58"/>
      <c r="AD48" s="58"/>
      <c r="AE48" s="58">
        <f t="shared" ref="AE48" si="48">AE49</f>
        <v>0</v>
      </c>
      <c r="AF48" s="90"/>
    </row>
    <row r="49" spans="1:32" ht="18.75" hidden="1" x14ac:dyDescent="0.3">
      <c r="A49" s="77" t="s">
        <v>33</v>
      </c>
      <c r="B49" s="47">
        <f>H49+J49+L49+N49+P49+R49+T49+V49+X49+Z49+AB49+AD49</f>
        <v>0</v>
      </c>
      <c r="C49" s="600">
        <f>H49</f>
        <v>0</v>
      </c>
      <c r="D49" s="600"/>
      <c r="E49" s="600">
        <f>K49+M49+O49+Q49+S49+U49+W49+Y49+AA49+AC49+AE49+AG46</f>
        <v>0</v>
      </c>
      <c r="F49" s="600" t="e">
        <f t="shared" ref="F49" si="49">E49/B49*100</f>
        <v>#DIV/0!</v>
      </c>
      <c r="G49" s="600" t="e">
        <f>E49/C49*100</f>
        <v>#DIV/0!</v>
      </c>
      <c r="H49" s="601"/>
      <c r="I49" s="601"/>
      <c r="J49" s="601"/>
      <c r="K49" s="601"/>
      <c r="L49" s="58"/>
      <c r="M49" s="58"/>
      <c r="N49" s="58"/>
      <c r="O49" s="58"/>
      <c r="P49" s="58"/>
      <c r="Q49" s="58"/>
      <c r="R49" s="58"/>
      <c r="S49" s="58"/>
      <c r="T49" s="58"/>
      <c r="U49" s="58"/>
      <c r="V49" s="58"/>
      <c r="W49" s="58"/>
      <c r="X49" s="58"/>
      <c r="Y49" s="58"/>
      <c r="Z49" s="58"/>
      <c r="AA49" s="58"/>
      <c r="AB49" s="58"/>
      <c r="AC49" s="58"/>
      <c r="AD49" s="58"/>
      <c r="AE49" s="58"/>
      <c r="AF49" s="90"/>
    </row>
    <row r="50" spans="1:32" ht="18.75" x14ac:dyDescent="0.3">
      <c r="A50" s="91" t="s">
        <v>53</v>
      </c>
      <c r="B50" s="58"/>
      <c r="C50" s="601"/>
      <c r="D50" s="601"/>
      <c r="E50" s="601"/>
      <c r="F50" s="600"/>
      <c r="G50" s="600"/>
      <c r="H50" s="601"/>
      <c r="I50" s="601"/>
      <c r="J50" s="601"/>
      <c r="K50" s="601"/>
      <c r="L50" s="58"/>
      <c r="M50" s="58"/>
      <c r="N50" s="58"/>
      <c r="O50" s="58"/>
      <c r="P50" s="58"/>
      <c r="Q50" s="58"/>
      <c r="R50" s="58"/>
      <c r="S50" s="58"/>
      <c r="T50" s="58"/>
      <c r="U50" s="58"/>
      <c r="V50" s="58"/>
      <c r="W50" s="58"/>
      <c r="X50" s="58"/>
      <c r="Y50" s="58"/>
      <c r="Z50" s="58"/>
      <c r="AA50" s="58"/>
      <c r="AB50" s="58"/>
      <c r="AC50" s="58"/>
      <c r="AD50" s="58"/>
      <c r="AE50" s="58"/>
      <c r="AF50" s="90"/>
    </row>
    <row r="51" spans="1:32" ht="18.75" x14ac:dyDescent="0.3">
      <c r="A51" s="82" t="s">
        <v>31</v>
      </c>
      <c r="B51" s="58">
        <f>B52+B53</f>
        <v>961.80000000000007</v>
      </c>
      <c r="C51" s="601">
        <f t="shared" ref="C51:E51" si="50">C52+C53</f>
        <v>0</v>
      </c>
      <c r="D51" s="601">
        <f t="shared" si="50"/>
        <v>0</v>
      </c>
      <c r="E51" s="601">
        <f t="shared" si="50"/>
        <v>0</v>
      </c>
      <c r="F51" s="600">
        <f t="shared" ref="F51:G54" si="51">D51/B51*100</f>
        <v>0</v>
      </c>
      <c r="G51" s="600" t="e">
        <f t="shared" si="51"/>
        <v>#DIV/0!</v>
      </c>
      <c r="H51" s="601">
        <f>H52+H53</f>
        <v>0</v>
      </c>
      <c r="I51" s="601">
        <f t="shared" ref="I51:AE51" si="52">I52+I53</f>
        <v>0</v>
      </c>
      <c r="J51" s="601">
        <f t="shared" si="52"/>
        <v>0</v>
      </c>
      <c r="K51" s="601">
        <f t="shared" si="52"/>
        <v>0</v>
      </c>
      <c r="L51" s="58">
        <f t="shared" si="52"/>
        <v>350</v>
      </c>
      <c r="M51" s="58">
        <f t="shared" si="52"/>
        <v>122.8</v>
      </c>
      <c r="N51" s="58">
        <f t="shared" si="52"/>
        <v>0</v>
      </c>
      <c r="O51" s="58">
        <f t="shared" si="52"/>
        <v>0</v>
      </c>
      <c r="P51" s="58">
        <f t="shared" si="52"/>
        <v>0</v>
      </c>
      <c r="Q51" s="58">
        <f t="shared" si="52"/>
        <v>0</v>
      </c>
      <c r="R51" s="58">
        <f t="shared" si="52"/>
        <v>0</v>
      </c>
      <c r="S51" s="58">
        <f t="shared" si="52"/>
        <v>0</v>
      </c>
      <c r="T51" s="58">
        <f t="shared" si="52"/>
        <v>0</v>
      </c>
      <c r="U51" s="58">
        <f t="shared" si="52"/>
        <v>0</v>
      </c>
      <c r="V51" s="58">
        <f t="shared" si="52"/>
        <v>0</v>
      </c>
      <c r="W51" s="58">
        <f t="shared" si="52"/>
        <v>0</v>
      </c>
      <c r="X51" s="58">
        <f t="shared" si="52"/>
        <v>0</v>
      </c>
      <c r="Y51" s="58">
        <f t="shared" si="52"/>
        <v>0</v>
      </c>
      <c r="Z51" s="58">
        <f t="shared" si="52"/>
        <v>302</v>
      </c>
      <c r="AA51" s="58">
        <f t="shared" si="52"/>
        <v>0</v>
      </c>
      <c r="AB51" s="58">
        <f t="shared" si="52"/>
        <v>309.8</v>
      </c>
      <c r="AC51" s="58">
        <f t="shared" si="52"/>
        <v>0</v>
      </c>
      <c r="AD51" s="58">
        <f t="shared" si="52"/>
        <v>0</v>
      </c>
      <c r="AE51" s="58">
        <f t="shared" si="52"/>
        <v>0</v>
      </c>
      <c r="AF51" s="90"/>
    </row>
    <row r="52" spans="1:32" ht="18.75" x14ac:dyDescent="0.3">
      <c r="A52" s="82" t="s">
        <v>97</v>
      </c>
      <c r="B52" s="58">
        <f>B41</f>
        <v>195.6</v>
      </c>
      <c r="C52" s="601">
        <f t="shared" ref="C52:E52" si="53">C41</f>
        <v>0</v>
      </c>
      <c r="D52" s="601">
        <f t="shared" si="53"/>
        <v>0</v>
      </c>
      <c r="E52" s="601">
        <f t="shared" si="53"/>
        <v>0</v>
      </c>
      <c r="F52" s="600">
        <f t="shared" si="51"/>
        <v>0</v>
      </c>
      <c r="G52" s="600" t="e">
        <f t="shared" si="51"/>
        <v>#DIV/0!</v>
      </c>
      <c r="H52" s="601">
        <f>H41</f>
        <v>0</v>
      </c>
      <c r="I52" s="601">
        <f t="shared" ref="I52:AE52" si="54">I41</f>
        <v>0</v>
      </c>
      <c r="J52" s="601">
        <f t="shared" si="54"/>
        <v>0</v>
      </c>
      <c r="K52" s="601">
        <f t="shared" si="54"/>
        <v>0</v>
      </c>
      <c r="L52" s="58">
        <f t="shared" si="54"/>
        <v>97.8</v>
      </c>
      <c r="M52" s="58">
        <f t="shared" si="54"/>
        <v>97.8</v>
      </c>
      <c r="N52" s="58">
        <f t="shared" si="54"/>
        <v>0</v>
      </c>
      <c r="O52" s="58">
        <f t="shared" si="54"/>
        <v>0</v>
      </c>
      <c r="P52" s="58">
        <f t="shared" si="54"/>
        <v>0</v>
      </c>
      <c r="Q52" s="58">
        <f t="shared" si="54"/>
        <v>0</v>
      </c>
      <c r="R52" s="58">
        <f t="shared" si="54"/>
        <v>0</v>
      </c>
      <c r="S52" s="58">
        <f t="shared" si="54"/>
        <v>0</v>
      </c>
      <c r="T52" s="58">
        <f t="shared" si="54"/>
        <v>0</v>
      </c>
      <c r="U52" s="58">
        <f t="shared" si="54"/>
        <v>0</v>
      </c>
      <c r="V52" s="58">
        <f t="shared" si="54"/>
        <v>0</v>
      </c>
      <c r="W52" s="58">
        <f t="shared" si="54"/>
        <v>0</v>
      </c>
      <c r="X52" s="58">
        <f t="shared" si="54"/>
        <v>0</v>
      </c>
      <c r="Y52" s="58">
        <f t="shared" si="54"/>
        <v>0</v>
      </c>
      <c r="Z52" s="58">
        <f t="shared" si="54"/>
        <v>97.8</v>
      </c>
      <c r="AA52" s="58">
        <f t="shared" si="54"/>
        <v>0</v>
      </c>
      <c r="AB52" s="58">
        <f t="shared" si="54"/>
        <v>0</v>
      </c>
      <c r="AC52" s="58">
        <f t="shared" si="54"/>
        <v>0</v>
      </c>
      <c r="AD52" s="58">
        <f t="shared" si="54"/>
        <v>0</v>
      </c>
      <c r="AE52" s="58">
        <f t="shared" si="54"/>
        <v>0</v>
      </c>
      <c r="AF52" s="90"/>
    </row>
    <row r="53" spans="1:32" ht="18.75" x14ac:dyDescent="0.3">
      <c r="A53" s="77" t="s">
        <v>33</v>
      </c>
      <c r="B53" s="58">
        <f>B11+B14+B17+B20+B26+B42+B46+B49</f>
        <v>766.2</v>
      </c>
      <c r="C53" s="601">
        <f t="shared" ref="C53:E53" si="55">C11+C14+C17+C20+C26+C42+C46+C49</f>
        <v>0</v>
      </c>
      <c r="D53" s="601">
        <f t="shared" si="55"/>
        <v>0</v>
      </c>
      <c r="E53" s="601">
        <f t="shared" si="55"/>
        <v>0</v>
      </c>
      <c r="F53" s="600">
        <f t="shared" si="51"/>
        <v>0</v>
      </c>
      <c r="G53" s="600" t="e">
        <f t="shared" si="51"/>
        <v>#DIV/0!</v>
      </c>
      <c r="H53" s="601">
        <f>H11+H14+H17+H20+H26+H42+H46+H49</f>
        <v>0</v>
      </c>
      <c r="I53" s="601">
        <f t="shared" ref="I53:AE53" si="56">I11+I14+I17+I20+I26+I42+I46+I49</f>
        <v>0</v>
      </c>
      <c r="J53" s="601">
        <f t="shared" si="56"/>
        <v>0</v>
      </c>
      <c r="K53" s="601">
        <f t="shared" si="56"/>
        <v>0</v>
      </c>
      <c r="L53" s="58">
        <f t="shared" si="56"/>
        <v>252.2</v>
      </c>
      <c r="M53" s="58">
        <f t="shared" si="56"/>
        <v>25</v>
      </c>
      <c r="N53" s="58">
        <f t="shared" si="56"/>
        <v>0</v>
      </c>
      <c r="O53" s="58">
        <f t="shared" si="56"/>
        <v>0</v>
      </c>
      <c r="P53" s="58">
        <f t="shared" si="56"/>
        <v>0</v>
      </c>
      <c r="Q53" s="58">
        <f t="shared" si="56"/>
        <v>0</v>
      </c>
      <c r="R53" s="58">
        <f t="shared" si="56"/>
        <v>0</v>
      </c>
      <c r="S53" s="58">
        <f t="shared" si="56"/>
        <v>0</v>
      </c>
      <c r="T53" s="58">
        <f t="shared" si="56"/>
        <v>0</v>
      </c>
      <c r="U53" s="58">
        <f t="shared" si="56"/>
        <v>0</v>
      </c>
      <c r="V53" s="58">
        <f t="shared" si="56"/>
        <v>0</v>
      </c>
      <c r="W53" s="58">
        <f t="shared" si="56"/>
        <v>0</v>
      </c>
      <c r="X53" s="58">
        <f t="shared" si="56"/>
        <v>0</v>
      </c>
      <c r="Y53" s="58">
        <f t="shared" si="56"/>
        <v>0</v>
      </c>
      <c r="Z53" s="58">
        <f t="shared" si="56"/>
        <v>204.2</v>
      </c>
      <c r="AA53" s="58">
        <f t="shared" si="56"/>
        <v>0</v>
      </c>
      <c r="AB53" s="58">
        <f t="shared" si="56"/>
        <v>309.8</v>
      </c>
      <c r="AC53" s="58">
        <f t="shared" si="56"/>
        <v>0</v>
      </c>
      <c r="AD53" s="58">
        <f t="shared" si="56"/>
        <v>0</v>
      </c>
      <c r="AE53" s="58">
        <f t="shared" si="56"/>
        <v>0</v>
      </c>
      <c r="AF53" s="90"/>
    </row>
    <row r="54" spans="1:32" ht="37.5" x14ac:dyDescent="0.3">
      <c r="A54" s="84" t="s">
        <v>130</v>
      </c>
      <c r="B54" s="58">
        <f>B43</f>
        <v>456.4</v>
      </c>
      <c r="C54" s="601">
        <f t="shared" ref="C54:E54" si="57">C43</f>
        <v>0</v>
      </c>
      <c r="D54" s="601">
        <f t="shared" si="57"/>
        <v>0</v>
      </c>
      <c r="E54" s="601">
        <f t="shared" si="57"/>
        <v>25</v>
      </c>
      <c r="F54" s="600">
        <f t="shared" si="51"/>
        <v>0</v>
      </c>
      <c r="G54" s="600" t="e">
        <f t="shared" si="51"/>
        <v>#DIV/0!</v>
      </c>
      <c r="H54" s="601">
        <f>H43</f>
        <v>0</v>
      </c>
      <c r="I54" s="601">
        <f t="shared" ref="I54:AE54" si="58">I43</f>
        <v>0</v>
      </c>
      <c r="J54" s="601">
        <f t="shared" si="58"/>
        <v>0</v>
      </c>
      <c r="K54" s="601">
        <f t="shared" si="58"/>
        <v>0</v>
      </c>
      <c r="L54" s="58">
        <f t="shared" si="58"/>
        <v>228.2</v>
      </c>
      <c r="M54" s="58">
        <f t="shared" si="58"/>
        <v>25</v>
      </c>
      <c r="N54" s="58">
        <f t="shared" si="58"/>
        <v>0</v>
      </c>
      <c r="O54" s="58">
        <f t="shared" si="58"/>
        <v>0</v>
      </c>
      <c r="P54" s="58">
        <f t="shared" si="58"/>
        <v>0</v>
      </c>
      <c r="Q54" s="58">
        <f t="shared" si="58"/>
        <v>0</v>
      </c>
      <c r="R54" s="58">
        <f t="shared" si="58"/>
        <v>0</v>
      </c>
      <c r="S54" s="58">
        <f t="shared" si="58"/>
        <v>0</v>
      </c>
      <c r="T54" s="58">
        <f t="shared" si="58"/>
        <v>0</v>
      </c>
      <c r="U54" s="58">
        <f t="shared" si="58"/>
        <v>0</v>
      </c>
      <c r="V54" s="58">
        <f t="shared" si="58"/>
        <v>0</v>
      </c>
      <c r="W54" s="58">
        <f t="shared" si="58"/>
        <v>0</v>
      </c>
      <c r="X54" s="58">
        <f t="shared" si="58"/>
        <v>0</v>
      </c>
      <c r="Y54" s="58">
        <f t="shared" si="58"/>
        <v>0</v>
      </c>
      <c r="Z54" s="58">
        <f t="shared" si="58"/>
        <v>228.2</v>
      </c>
      <c r="AA54" s="58">
        <f t="shared" si="58"/>
        <v>0</v>
      </c>
      <c r="AB54" s="58">
        <f t="shared" si="58"/>
        <v>0</v>
      </c>
      <c r="AC54" s="58">
        <f t="shared" si="58"/>
        <v>0</v>
      </c>
      <c r="AD54" s="58">
        <f t="shared" si="58"/>
        <v>0</v>
      </c>
      <c r="AE54" s="58">
        <f t="shared" si="58"/>
        <v>0</v>
      </c>
      <c r="AF54" s="90"/>
    </row>
    <row r="55" spans="1:32" ht="37.5" x14ac:dyDescent="0.3">
      <c r="A55" s="87" t="s">
        <v>72</v>
      </c>
      <c r="B55" s="90"/>
      <c r="C55" s="601"/>
      <c r="D55" s="601"/>
      <c r="E55" s="601"/>
      <c r="F55" s="601"/>
      <c r="G55" s="601"/>
      <c r="H55" s="601"/>
      <c r="I55" s="601"/>
      <c r="J55" s="601"/>
      <c r="K55" s="601"/>
      <c r="L55" s="90"/>
      <c r="M55" s="90"/>
      <c r="N55" s="90"/>
      <c r="O55" s="90"/>
      <c r="P55" s="90"/>
      <c r="Q55" s="90"/>
      <c r="R55" s="90"/>
      <c r="S55" s="90"/>
      <c r="T55" s="90"/>
      <c r="U55" s="90"/>
      <c r="V55" s="90"/>
      <c r="W55" s="90"/>
      <c r="X55" s="90"/>
      <c r="Y55" s="90"/>
      <c r="Z55" s="90"/>
      <c r="AA55" s="90"/>
      <c r="AB55" s="90"/>
      <c r="AC55" s="90"/>
      <c r="AD55" s="90"/>
      <c r="AE55" s="90"/>
      <c r="AF55" s="90"/>
    </row>
    <row r="56" spans="1:32" ht="18.75" x14ac:dyDescent="0.3">
      <c r="A56" s="88" t="s">
        <v>31</v>
      </c>
      <c r="B56" s="58">
        <f>B57+B58</f>
        <v>961.80000000000007</v>
      </c>
      <c r="C56" s="601">
        <f t="shared" ref="C56:E56" si="59">C57+C58</f>
        <v>0</v>
      </c>
      <c r="D56" s="601">
        <f t="shared" si="59"/>
        <v>0</v>
      </c>
      <c r="E56" s="601">
        <f t="shared" si="59"/>
        <v>0</v>
      </c>
      <c r="F56" s="600">
        <f>E56/B56*100</f>
        <v>0</v>
      </c>
      <c r="G56" s="600" t="e">
        <f>E56/C56*100</f>
        <v>#DIV/0!</v>
      </c>
      <c r="H56" s="601">
        <f>H57+H58</f>
        <v>0</v>
      </c>
      <c r="I56" s="601">
        <f t="shared" ref="I56:AE56" si="60">I57+I58</f>
        <v>0</v>
      </c>
      <c r="J56" s="601">
        <f t="shared" si="60"/>
        <v>0</v>
      </c>
      <c r="K56" s="601">
        <f t="shared" si="60"/>
        <v>0</v>
      </c>
      <c r="L56" s="58">
        <f t="shared" si="60"/>
        <v>350</v>
      </c>
      <c r="M56" s="58">
        <f t="shared" si="60"/>
        <v>122.8</v>
      </c>
      <c r="N56" s="58">
        <f t="shared" si="60"/>
        <v>0</v>
      </c>
      <c r="O56" s="58">
        <f t="shared" si="60"/>
        <v>0</v>
      </c>
      <c r="P56" s="58">
        <f t="shared" si="60"/>
        <v>0</v>
      </c>
      <c r="Q56" s="58">
        <f t="shared" si="60"/>
        <v>0</v>
      </c>
      <c r="R56" s="58">
        <f t="shared" si="60"/>
        <v>0</v>
      </c>
      <c r="S56" s="58">
        <f t="shared" si="60"/>
        <v>0</v>
      </c>
      <c r="T56" s="58">
        <f t="shared" si="60"/>
        <v>0</v>
      </c>
      <c r="U56" s="58">
        <f t="shared" si="60"/>
        <v>0</v>
      </c>
      <c r="V56" s="58">
        <f t="shared" si="60"/>
        <v>0</v>
      </c>
      <c r="W56" s="58">
        <f t="shared" si="60"/>
        <v>0</v>
      </c>
      <c r="X56" s="58">
        <f t="shared" si="60"/>
        <v>0</v>
      </c>
      <c r="Y56" s="58">
        <f t="shared" si="60"/>
        <v>0</v>
      </c>
      <c r="Z56" s="58">
        <f t="shared" si="60"/>
        <v>302</v>
      </c>
      <c r="AA56" s="58">
        <f t="shared" si="60"/>
        <v>0</v>
      </c>
      <c r="AB56" s="58">
        <f t="shared" si="60"/>
        <v>309.8</v>
      </c>
      <c r="AC56" s="58">
        <f t="shared" si="60"/>
        <v>0</v>
      </c>
      <c r="AD56" s="58">
        <f t="shared" si="60"/>
        <v>0</v>
      </c>
      <c r="AE56" s="58">
        <f t="shared" si="60"/>
        <v>0</v>
      </c>
      <c r="AF56" s="90"/>
    </row>
    <row r="57" spans="1:32" ht="18.75" x14ac:dyDescent="0.3">
      <c r="A57" s="82" t="s">
        <v>97</v>
      </c>
      <c r="B57" s="58">
        <f>B52</f>
        <v>195.6</v>
      </c>
      <c r="C57" s="601">
        <f t="shared" ref="C57:E57" si="61">C52</f>
        <v>0</v>
      </c>
      <c r="D57" s="601">
        <f t="shared" si="61"/>
        <v>0</v>
      </c>
      <c r="E57" s="601">
        <f t="shared" si="61"/>
        <v>0</v>
      </c>
      <c r="F57" s="600">
        <f t="shared" ref="F57" si="62">E57/B57*100</f>
        <v>0</v>
      </c>
      <c r="G57" s="600" t="e">
        <f t="shared" ref="G57" si="63">E57/C57*100</f>
        <v>#DIV/0!</v>
      </c>
      <c r="H57" s="601">
        <f>H52</f>
        <v>0</v>
      </c>
      <c r="I57" s="601">
        <f t="shared" ref="I57:AE57" si="64">I52</f>
        <v>0</v>
      </c>
      <c r="J57" s="601">
        <f t="shared" si="64"/>
        <v>0</v>
      </c>
      <c r="K57" s="601">
        <f t="shared" si="64"/>
        <v>0</v>
      </c>
      <c r="L57" s="58">
        <f t="shared" si="64"/>
        <v>97.8</v>
      </c>
      <c r="M57" s="58">
        <f t="shared" si="64"/>
        <v>97.8</v>
      </c>
      <c r="N57" s="58">
        <f t="shared" si="64"/>
        <v>0</v>
      </c>
      <c r="O57" s="58">
        <f t="shared" si="64"/>
        <v>0</v>
      </c>
      <c r="P57" s="58">
        <f t="shared" si="64"/>
        <v>0</v>
      </c>
      <c r="Q57" s="58">
        <f t="shared" si="64"/>
        <v>0</v>
      </c>
      <c r="R57" s="58">
        <f t="shared" si="64"/>
        <v>0</v>
      </c>
      <c r="S57" s="58">
        <f t="shared" si="64"/>
        <v>0</v>
      </c>
      <c r="T57" s="58">
        <f t="shared" si="64"/>
        <v>0</v>
      </c>
      <c r="U57" s="58">
        <f t="shared" si="64"/>
        <v>0</v>
      </c>
      <c r="V57" s="58">
        <f t="shared" si="64"/>
        <v>0</v>
      </c>
      <c r="W57" s="58">
        <f t="shared" si="64"/>
        <v>0</v>
      </c>
      <c r="X57" s="58">
        <f t="shared" si="64"/>
        <v>0</v>
      </c>
      <c r="Y57" s="58">
        <f t="shared" si="64"/>
        <v>0</v>
      </c>
      <c r="Z57" s="58">
        <f t="shared" si="64"/>
        <v>97.8</v>
      </c>
      <c r="AA57" s="58">
        <f t="shared" si="64"/>
        <v>0</v>
      </c>
      <c r="AB57" s="58">
        <f t="shared" si="64"/>
        <v>0</v>
      </c>
      <c r="AC57" s="58">
        <f t="shared" si="64"/>
        <v>0</v>
      </c>
      <c r="AD57" s="58">
        <f t="shared" si="64"/>
        <v>0</v>
      </c>
      <c r="AE57" s="58">
        <f t="shared" si="64"/>
        <v>0</v>
      </c>
      <c r="AF57" s="90"/>
    </row>
    <row r="58" spans="1:32" ht="18.75" x14ac:dyDescent="0.3">
      <c r="A58" s="77" t="s">
        <v>33</v>
      </c>
      <c r="B58" s="58">
        <f>B53</f>
        <v>766.2</v>
      </c>
      <c r="C58" s="601">
        <f t="shared" ref="C58:E58" si="65">C53</f>
        <v>0</v>
      </c>
      <c r="D58" s="601">
        <f t="shared" si="65"/>
        <v>0</v>
      </c>
      <c r="E58" s="601">
        <f t="shared" si="65"/>
        <v>0</v>
      </c>
      <c r="F58" s="600">
        <f>E58/B58*100</f>
        <v>0</v>
      </c>
      <c r="G58" s="600" t="e">
        <f>E58/C58*100</f>
        <v>#DIV/0!</v>
      </c>
      <c r="H58" s="601">
        <f>H53</f>
        <v>0</v>
      </c>
      <c r="I58" s="601">
        <f t="shared" ref="I58:AE58" si="66">I53</f>
        <v>0</v>
      </c>
      <c r="J58" s="601">
        <f t="shared" si="66"/>
        <v>0</v>
      </c>
      <c r="K58" s="601">
        <f t="shared" si="66"/>
        <v>0</v>
      </c>
      <c r="L58" s="58">
        <f t="shared" si="66"/>
        <v>252.2</v>
      </c>
      <c r="M58" s="58">
        <f t="shared" si="66"/>
        <v>25</v>
      </c>
      <c r="N58" s="58">
        <f t="shared" si="66"/>
        <v>0</v>
      </c>
      <c r="O58" s="58">
        <f t="shared" si="66"/>
        <v>0</v>
      </c>
      <c r="P58" s="58">
        <f t="shared" si="66"/>
        <v>0</v>
      </c>
      <c r="Q58" s="58">
        <f t="shared" si="66"/>
        <v>0</v>
      </c>
      <c r="R58" s="58">
        <f t="shared" si="66"/>
        <v>0</v>
      </c>
      <c r="S58" s="58">
        <f t="shared" si="66"/>
        <v>0</v>
      </c>
      <c r="T58" s="58">
        <f t="shared" si="66"/>
        <v>0</v>
      </c>
      <c r="U58" s="58">
        <f t="shared" si="66"/>
        <v>0</v>
      </c>
      <c r="V58" s="58">
        <f t="shared" si="66"/>
        <v>0</v>
      </c>
      <c r="W58" s="58">
        <f t="shared" si="66"/>
        <v>0</v>
      </c>
      <c r="X58" s="58">
        <f t="shared" si="66"/>
        <v>0</v>
      </c>
      <c r="Y58" s="58">
        <f t="shared" si="66"/>
        <v>0</v>
      </c>
      <c r="Z58" s="58">
        <f t="shared" si="66"/>
        <v>204.2</v>
      </c>
      <c r="AA58" s="58">
        <f t="shared" si="66"/>
        <v>0</v>
      </c>
      <c r="AB58" s="58">
        <f t="shared" si="66"/>
        <v>309.8</v>
      </c>
      <c r="AC58" s="58">
        <f t="shared" si="66"/>
        <v>0</v>
      </c>
      <c r="AD58" s="58">
        <f t="shared" si="66"/>
        <v>0</v>
      </c>
      <c r="AE58" s="58">
        <f t="shared" si="66"/>
        <v>0</v>
      </c>
      <c r="AF58" s="90"/>
    </row>
    <row r="59" spans="1:32" ht="37.5" x14ac:dyDescent="0.3">
      <c r="A59" s="84" t="s">
        <v>130</v>
      </c>
      <c r="B59" s="58">
        <f>B54</f>
        <v>456.4</v>
      </c>
      <c r="C59" s="601">
        <f t="shared" ref="C59:E59" si="67">C54</f>
        <v>0</v>
      </c>
      <c r="D59" s="601">
        <f t="shared" si="67"/>
        <v>0</v>
      </c>
      <c r="E59" s="601">
        <f t="shared" si="67"/>
        <v>25</v>
      </c>
      <c r="F59" s="600">
        <f>E59/B59*100</f>
        <v>5.4776511831726555</v>
      </c>
      <c r="G59" s="600" t="e">
        <f>E59/C59*100</f>
        <v>#DIV/0!</v>
      </c>
      <c r="H59" s="601">
        <f>H54</f>
        <v>0</v>
      </c>
      <c r="I59" s="601">
        <f t="shared" ref="I59:AE59" si="68">I54</f>
        <v>0</v>
      </c>
      <c r="J59" s="601">
        <f t="shared" si="68"/>
        <v>0</v>
      </c>
      <c r="K59" s="601">
        <f t="shared" si="68"/>
        <v>0</v>
      </c>
      <c r="L59" s="58">
        <f t="shared" si="68"/>
        <v>228.2</v>
      </c>
      <c r="M59" s="58">
        <f t="shared" si="68"/>
        <v>25</v>
      </c>
      <c r="N59" s="58">
        <f t="shared" si="68"/>
        <v>0</v>
      </c>
      <c r="O59" s="58">
        <f t="shared" si="68"/>
        <v>0</v>
      </c>
      <c r="P59" s="58">
        <f t="shared" si="68"/>
        <v>0</v>
      </c>
      <c r="Q59" s="58">
        <f t="shared" si="68"/>
        <v>0</v>
      </c>
      <c r="R59" s="58">
        <f t="shared" si="68"/>
        <v>0</v>
      </c>
      <c r="S59" s="58">
        <f t="shared" si="68"/>
        <v>0</v>
      </c>
      <c r="T59" s="58">
        <f t="shared" si="68"/>
        <v>0</v>
      </c>
      <c r="U59" s="58">
        <f t="shared" si="68"/>
        <v>0</v>
      </c>
      <c r="V59" s="58">
        <f t="shared" si="68"/>
        <v>0</v>
      </c>
      <c r="W59" s="58">
        <f t="shared" si="68"/>
        <v>0</v>
      </c>
      <c r="X59" s="58">
        <f t="shared" si="68"/>
        <v>0</v>
      </c>
      <c r="Y59" s="58">
        <f t="shared" si="68"/>
        <v>0</v>
      </c>
      <c r="Z59" s="58">
        <f t="shared" si="68"/>
        <v>228.2</v>
      </c>
      <c r="AA59" s="58">
        <f t="shared" si="68"/>
        <v>0</v>
      </c>
      <c r="AB59" s="58">
        <f t="shared" si="68"/>
        <v>0</v>
      </c>
      <c r="AC59" s="58">
        <f t="shared" si="68"/>
        <v>0</v>
      </c>
      <c r="AD59" s="58">
        <f t="shared" si="68"/>
        <v>0</v>
      </c>
      <c r="AE59" s="58">
        <f t="shared" si="68"/>
        <v>0</v>
      </c>
      <c r="AF59" s="90"/>
    </row>
    <row r="60" spans="1:32" ht="131.25" x14ac:dyDescent="0.3">
      <c r="A60" s="50" t="s">
        <v>146</v>
      </c>
      <c r="B60" s="90"/>
      <c r="C60" s="601"/>
      <c r="D60" s="601"/>
      <c r="E60" s="601"/>
      <c r="F60" s="601"/>
      <c r="G60" s="601"/>
      <c r="H60" s="601"/>
      <c r="I60" s="601"/>
      <c r="J60" s="601"/>
      <c r="K60" s="601"/>
      <c r="L60" s="90"/>
      <c r="M60" s="90"/>
      <c r="N60" s="90"/>
      <c r="O60" s="90"/>
      <c r="P60" s="90"/>
      <c r="Q60" s="90"/>
      <c r="R60" s="90"/>
      <c r="S60" s="90"/>
      <c r="T60" s="90"/>
      <c r="U60" s="90"/>
      <c r="V60" s="90"/>
      <c r="W60" s="90"/>
      <c r="X60" s="90"/>
      <c r="Y60" s="90"/>
      <c r="Z60" s="90"/>
      <c r="AA60" s="90"/>
      <c r="AB60" s="90"/>
      <c r="AC60" s="90"/>
      <c r="AD60" s="90"/>
      <c r="AE60" s="90"/>
      <c r="AF60" s="90"/>
    </row>
    <row r="61" spans="1:32" ht="18.75" x14ac:dyDescent="0.3">
      <c r="A61" s="15" t="s">
        <v>54</v>
      </c>
      <c r="B61" s="90"/>
      <c r="C61" s="601"/>
      <c r="D61" s="601"/>
      <c r="E61" s="601"/>
      <c r="F61" s="601"/>
      <c r="G61" s="601"/>
      <c r="H61" s="601"/>
      <c r="I61" s="601"/>
      <c r="J61" s="601"/>
      <c r="K61" s="601"/>
      <c r="L61" s="90"/>
      <c r="M61" s="90"/>
      <c r="N61" s="90"/>
      <c r="O61" s="90"/>
      <c r="P61" s="90"/>
      <c r="Q61" s="90"/>
      <c r="R61" s="90"/>
      <c r="S61" s="90"/>
      <c r="T61" s="90"/>
      <c r="U61" s="90"/>
      <c r="V61" s="90"/>
      <c r="W61" s="90"/>
      <c r="X61" s="90"/>
      <c r="Y61" s="90"/>
      <c r="Z61" s="90"/>
      <c r="AA61" s="90"/>
      <c r="AB61" s="90"/>
      <c r="AC61" s="90"/>
      <c r="AD61" s="90"/>
      <c r="AE61" s="90"/>
      <c r="AF61" s="90"/>
    </row>
    <row r="62" spans="1:32" ht="37.5" x14ac:dyDescent="0.3">
      <c r="A62" s="85" t="s">
        <v>147</v>
      </c>
      <c r="B62" s="58"/>
      <c r="C62" s="601"/>
      <c r="D62" s="601"/>
      <c r="E62" s="601"/>
      <c r="F62" s="601"/>
      <c r="G62" s="601"/>
      <c r="H62" s="601"/>
      <c r="I62" s="601"/>
      <c r="J62" s="601"/>
      <c r="K62" s="601"/>
      <c r="L62" s="90"/>
      <c r="M62" s="90"/>
      <c r="N62" s="90"/>
      <c r="O62" s="90"/>
      <c r="P62" s="90"/>
      <c r="Q62" s="90"/>
      <c r="R62" s="90"/>
      <c r="S62" s="90"/>
      <c r="T62" s="90"/>
      <c r="U62" s="90"/>
      <c r="V62" s="90"/>
      <c r="W62" s="90"/>
      <c r="X62" s="90"/>
      <c r="Y62" s="90"/>
      <c r="Z62" s="90"/>
      <c r="AA62" s="90"/>
      <c r="AB62" s="90"/>
      <c r="AC62" s="90"/>
      <c r="AD62" s="90"/>
      <c r="AE62" s="90"/>
      <c r="AF62" s="90"/>
    </row>
    <row r="63" spans="1:32" ht="18.75" x14ac:dyDescent="0.3">
      <c r="A63" s="82" t="s">
        <v>31</v>
      </c>
      <c r="B63" s="47">
        <f>B64</f>
        <v>89</v>
      </c>
      <c r="C63" s="600">
        <f t="shared" ref="C63:E63" si="69">C64</f>
        <v>0</v>
      </c>
      <c r="D63" s="600">
        <f t="shared" si="69"/>
        <v>0</v>
      </c>
      <c r="E63" s="600">
        <f t="shared" si="69"/>
        <v>0</v>
      </c>
      <c r="F63" s="600">
        <f t="shared" ref="F63:F64" si="70">E63/B63*100</f>
        <v>0</v>
      </c>
      <c r="G63" s="600" t="e">
        <f t="shared" ref="G63:G64" si="71">E63/C63*100</f>
        <v>#DIV/0!</v>
      </c>
      <c r="H63" s="600">
        <f>H64</f>
        <v>0</v>
      </c>
      <c r="I63" s="600">
        <f t="shared" ref="I63:AE63" si="72">I64</f>
        <v>0</v>
      </c>
      <c r="J63" s="600">
        <f t="shared" si="72"/>
        <v>0</v>
      </c>
      <c r="K63" s="600">
        <f t="shared" si="72"/>
        <v>0</v>
      </c>
      <c r="L63" s="47">
        <f t="shared" si="72"/>
        <v>80</v>
      </c>
      <c r="M63" s="47">
        <f t="shared" si="72"/>
        <v>0</v>
      </c>
      <c r="N63" s="47">
        <f t="shared" si="72"/>
        <v>0</v>
      </c>
      <c r="O63" s="47">
        <f t="shared" si="72"/>
        <v>0</v>
      </c>
      <c r="P63" s="47">
        <f t="shared" si="72"/>
        <v>0</v>
      </c>
      <c r="Q63" s="47">
        <f t="shared" si="72"/>
        <v>0</v>
      </c>
      <c r="R63" s="47">
        <f t="shared" si="72"/>
        <v>0</v>
      </c>
      <c r="S63" s="47">
        <f t="shared" si="72"/>
        <v>0</v>
      </c>
      <c r="T63" s="47">
        <f t="shared" si="72"/>
        <v>0</v>
      </c>
      <c r="U63" s="47">
        <f t="shared" si="72"/>
        <v>0</v>
      </c>
      <c r="V63" s="47">
        <f t="shared" si="72"/>
        <v>0</v>
      </c>
      <c r="W63" s="47">
        <f t="shared" si="72"/>
        <v>0</v>
      </c>
      <c r="X63" s="47">
        <f t="shared" si="72"/>
        <v>9</v>
      </c>
      <c r="Y63" s="47">
        <f t="shared" si="72"/>
        <v>0</v>
      </c>
      <c r="Z63" s="47">
        <f t="shared" si="72"/>
        <v>0</v>
      </c>
      <c r="AA63" s="47">
        <f t="shared" si="72"/>
        <v>0</v>
      </c>
      <c r="AB63" s="47">
        <f t="shared" si="72"/>
        <v>0</v>
      </c>
      <c r="AC63" s="47">
        <f t="shared" si="72"/>
        <v>0</v>
      </c>
      <c r="AD63" s="47">
        <f t="shared" si="72"/>
        <v>0</v>
      </c>
      <c r="AE63" s="47">
        <f t="shared" si="72"/>
        <v>0</v>
      </c>
      <c r="AF63" s="90"/>
    </row>
    <row r="64" spans="1:32" ht="18.75" x14ac:dyDescent="0.3">
      <c r="A64" s="82" t="s">
        <v>33</v>
      </c>
      <c r="B64" s="47">
        <f>B67+B70+B73+B76+B79</f>
        <v>89</v>
      </c>
      <c r="C64" s="600">
        <f t="shared" ref="C64:E64" si="73">C67+C70+C73+C76+C79</f>
        <v>0</v>
      </c>
      <c r="D64" s="600">
        <f t="shared" si="73"/>
        <v>0</v>
      </c>
      <c r="E64" s="600">
        <f t="shared" si="73"/>
        <v>0</v>
      </c>
      <c r="F64" s="600">
        <f t="shared" si="70"/>
        <v>0</v>
      </c>
      <c r="G64" s="600" t="e">
        <f t="shared" si="71"/>
        <v>#DIV/0!</v>
      </c>
      <c r="H64" s="600">
        <f>H67+H70+H73+H76+H79</f>
        <v>0</v>
      </c>
      <c r="I64" s="600">
        <f t="shared" ref="I64:AE64" si="74">I67+I70+I73+I76+I79</f>
        <v>0</v>
      </c>
      <c r="J64" s="600">
        <f t="shared" si="74"/>
        <v>0</v>
      </c>
      <c r="K64" s="600">
        <f t="shared" si="74"/>
        <v>0</v>
      </c>
      <c r="L64" s="47">
        <f t="shared" si="74"/>
        <v>80</v>
      </c>
      <c r="M64" s="47">
        <f t="shared" si="74"/>
        <v>0</v>
      </c>
      <c r="N64" s="47">
        <f t="shared" si="74"/>
        <v>0</v>
      </c>
      <c r="O64" s="47">
        <f t="shared" si="74"/>
        <v>0</v>
      </c>
      <c r="P64" s="47">
        <f t="shared" si="74"/>
        <v>0</v>
      </c>
      <c r="Q64" s="47">
        <f t="shared" si="74"/>
        <v>0</v>
      </c>
      <c r="R64" s="47">
        <f t="shared" si="74"/>
        <v>0</v>
      </c>
      <c r="S64" s="47">
        <f t="shared" si="74"/>
        <v>0</v>
      </c>
      <c r="T64" s="47">
        <f t="shared" si="74"/>
        <v>0</v>
      </c>
      <c r="U64" s="47">
        <f t="shared" si="74"/>
        <v>0</v>
      </c>
      <c r="V64" s="47">
        <f t="shared" si="74"/>
        <v>0</v>
      </c>
      <c r="W64" s="47">
        <f t="shared" si="74"/>
        <v>0</v>
      </c>
      <c r="X64" s="47">
        <f t="shared" si="74"/>
        <v>9</v>
      </c>
      <c r="Y64" s="47">
        <f t="shared" si="74"/>
        <v>0</v>
      </c>
      <c r="Z64" s="47">
        <f t="shared" si="74"/>
        <v>0</v>
      </c>
      <c r="AA64" s="47">
        <f t="shared" si="74"/>
        <v>0</v>
      </c>
      <c r="AB64" s="47">
        <f t="shared" si="74"/>
        <v>0</v>
      </c>
      <c r="AC64" s="47">
        <f t="shared" si="74"/>
        <v>0</v>
      </c>
      <c r="AD64" s="47">
        <f t="shared" si="74"/>
        <v>0</v>
      </c>
      <c r="AE64" s="47">
        <f t="shared" si="74"/>
        <v>0</v>
      </c>
      <c r="AF64" s="90"/>
    </row>
    <row r="65" spans="1:32" ht="243.75" hidden="1" x14ac:dyDescent="0.3">
      <c r="A65" s="86" t="s">
        <v>148</v>
      </c>
      <c r="B65" s="90"/>
      <c r="C65" s="601"/>
      <c r="D65" s="601"/>
      <c r="E65" s="601"/>
      <c r="F65" s="601"/>
      <c r="G65" s="601"/>
      <c r="H65" s="601"/>
      <c r="I65" s="601"/>
      <c r="J65" s="601"/>
      <c r="K65" s="601"/>
      <c r="L65" s="90"/>
      <c r="M65" s="90"/>
      <c r="N65" s="90"/>
      <c r="O65" s="90"/>
      <c r="P65" s="90"/>
      <c r="Q65" s="90"/>
      <c r="R65" s="90"/>
      <c r="S65" s="90"/>
      <c r="T65" s="90"/>
      <c r="U65" s="90"/>
      <c r="V65" s="90"/>
      <c r="W65" s="90"/>
      <c r="X65" s="90"/>
      <c r="Y65" s="90"/>
      <c r="Z65" s="90"/>
      <c r="AA65" s="90"/>
      <c r="AB65" s="90"/>
      <c r="AC65" s="90"/>
      <c r="AD65" s="90"/>
      <c r="AE65" s="90"/>
      <c r="AF65" s="90"/>
    </row>
    <row r="66" spans="1:32" ht="18.75" hidden="1" x14ac:dyDescent="0.3">
      <c r="A66" s="82" t="s">
        <v>31</v>
      </c>
      <c r="B66" s="47">
        <f>B67</f>
        <v>0</v>
      </c>
      <c r="C66" s="600">
        <f>C67</f>
        <v>0</v>
      </c>
      <c r="D66" s="600">
        <f>D67</f>
        <v>0</v>
      </c>
      <c r="E66" s="600">
        <f t="shared" ref="E66" si="75">E67</f>
        <v>0</v>
      </c>
      <c r="F66" s="600" t="e">
        <f t="shared" ref="F66:F67" si="76">E66/B66*100</f>
        <v>#DIV/0!</v>
      </c>
      <c r="G66" s="600" t="e">
        <f t="shared" ref="G66:G67" si="77">E66/C66*100</f>
        <v>#DIV/0!</v>
      </c>
      <c r="H66" s="601"/>
      <c r="I66" s="601"/>
      <c r="J66" s="601"/>
      <c r="K66" s="601"/>
      <c r="L66" s="90"/>
      <c r="M66" s="90"/>
      <c r="N66" s="90"/>
      <c r="O66" s="90"/>
      <c r="P66" s="90"/>
      <c r="Q66" s="90"/>
      <c r="R66" s="90"/>
      <c r="S66" s="90"/>
      <c r="T66" s="90"/>
      <c r="U66" s="90"/>
      <c r="V66" s="90"/>
      <c r="W66" s="90"/>
      <c r="X66" s="90"/>
      <c r="Y66" s="90"/>
      <c r="Z66" s="90"/>
      <c r="AA66" s="90"/>
      <c r="AB66" s="90"/>
      <c r="AC66" s="90"/>
      <c r="AD66" s="90"/>
      <c r="AE66" s="90"/>
      <c r="AF66" s="90"/>
    </row>
    <row r="67" spans="1:32" ht="18.75" hidden="1" x14ac:dyDescent="0.3">
      <c r="A67" s="82" t="s">
        <v>33</v>
      </c>
      <c r="B67" s="47">
        <f>H67+J67+L67+N67+P67+R67+T67+V67+X67+Z67+AB67+AD67</f>
        <v>0</v>
      </c>
      <c r="C67" s="600">
        <f>H67</f>
        <v>0</v>
      </c>
      <c r="D67" s="600"/>
      <c r="E67" s="600">
        <f>I67</f>
        <v>0</v>
      </c>
      <c r="F67" s="600" t="e">
        <f t="shared" si="76"/>
        <v>#DIV/0!</v>
      </c>
      <c r="G67" s="600" t="e">
        <f t="shared" si="77"/>
        <v>#DIV/0!</v>
      </c>
      <c r="H67" s="601"/>
      <c r="I67" s="601"/>
      <c r="J67" s="601"/>
      <c r="K67" s="601"/>
      <c r="L67" s="90"/>
      <c r="M67" s="90"/>
      <c r="N67" s="90"/>
      <c r="O67" s="90"/>
      <c r="P67" s="90"/>
      <c r="Q67" s="90"/>
      <c r="R67" s="90"/>
      <c r="S67" s="90"/>
      <c r="T67" s="90"/>
      <c r="U67" s="90"/>
      <c r="V67" s="90"/>
      <c r="W67" s="90"/>
      <c r="X67" s="90"/>
      <c r="Y67" s="90"/>
      <c r="Z67" s="90"/>
      <c r="AA67" s="90"/>
      <c r="AB67" s="90"/>
      <c r="AC67" s="90"/>
      <c r="AD67" s="90"/>
      <c r="AE67" s="90"/>
      <c r="AF67" s="90"/>
    </row>
    <row r="68" spans="1:32" ht="112.5" x14ac:dyDescent="0.3">
      <c r="A68" s="82" t="s">
        <v>149</v>
      </c>
      <c r="B68" s="90"/>
      <c r="C68" s="601"/>
      <c r="D68" s="601"/>
      <c r="E68" s="601"/>
      <c r="F68" s="601"/>
      <c r="G68" s="601"/>
      <c r="H68" s="601"/>
      <c r="I68" s="601"/>
      <c r="J68" s="601"/>
      <c r="K68" s="601"/>
      <c r="L68" s="90"/>
      <c r="M68" s="90"/>
      <c r="N68" s="90"/>
      <c r="O68" s="90"/>
      <c r="P68" s="90"/>
      <c r="Q68" s="90"/>
      <c r="R68" s="90"/>
      <c r="S68" s="90"/>
      <c r="T68" s="90"/>
      <c r="U68" s="90"/>
      <c r="V68" s="90"/>
      <c r="W68" s="90"/>
      <c r="X68" s="90"/>
      <c r="Y68" s="90"/>
      <c r="Z68" s="90"/>
      <c r="AA68" s="90"/>
      <c r="AB68" s="90"/>
      <c r="AC68" s="90"/>
      <c r="AD68" s="90"/>
      <c r="AE68" s="90"/>
      <c r="AF68" s="90"/>
    </row>
    <row r="69" spans="1:32" ht="18.75" x14ac:dyDescent="0.3">
      <c r="A69" s="82" t="s">
        <v>31</v>
      </c>
      <c r="B69" s="58">
        <f>B70</f>
        <v>9</v>
      </c>
      <c r="C69" s="601">
        <f t="shared" ref="C69:E69" si="78">C70</f>
        <v>0</v>
      </c>
      <c r="D69" s="601">
        <f t="shared" si="78"/>
        <v>0</v>
      </c>
      <c r="E69" s="601">
        <f t="shared" si="78"/>
        <v>0</v>
      </c>
      <c r="F69" s="600">
        <f>E69/B69*100</f>
        <v>0</v>
      </c>
      <c r="G69" s="600" t="e">
        <f t="shared" ref="G69:G70" si="79">E69/C69*100</f>
        <v>#DIV/0!</v>
      </c>
      <c r="H69" s="601">
        <v>0</v>
      </c>
      <c r="I69" s="601">
        <v>0</v>
      </c>
      <c r="J69" s="601">
        <v>0</v>
      </c>
      <c r="K69" s="601">
        <v>0</v>
      </c>
      <c r="L69" s="58">
        <v>0</v>
      </c>
      <c r="M69" s="58">
        <v>0</v>
      </c>
      <c r="N69" s="58"/>
      <c r="O69" s="58"/>
      <c r="P69" s="58"/>
      <c r="Q69" s="58"/>
      <c r="R69" s="58"/>
      <c r="S69" s="58"/>
      <c r="T69" s="58"/>
      <c r="U69" s="58"/>
      <c r="V69" s="58"/>
      <c r="W69" s="58"/>
      <c r="X69" s="58"/>
      <c r="Y69" s="58"/>
      <c r="Z69" s="58"/>
      <c r="AA69" s="58"/>
      <c r="AB69" s="58"/>
      <c r="AC69" s="58"/>
      <c r="AD69" s="58"/>
      <c r="AE69" s="58"/>
      <c r="AF69" s="90"/>
    </row>
    <row r="70" spans="1:32" ht="18.75" x14ac:dyDescent="0.3">
      <c r="A70" s="15" t="s">
        <v>93</v>
      </c>
      <c r="B70" s="47">
        <f>H70+J70+L70+N70+P70+R70+T70+V70+X70+Z70+AB70+AD70</f>
        <v>9</v>
      </c>
      <c r="C70" s="600">
        <f>H70</f>
        <v>0</v>
      </c>
      <c r="D70" s="600">
        <f>D68</f>
        <v>0</v>
      </c>
      <c r="E70" s="600">
        <f>I70</f>
        <v>0</v>
      </c>
      <c r="F70" s="600">
        <f>E70/B70*100</f>
        <v>0</v>
      </c>
      <c r="G70" s="600" t="e">
        <f t="shared" si="79"/>
        <v>#DIV/0!</v>
      </c>
      <c r="H70" s="600">
        <v>0</v>
      </c>
      <c r="I70" s="600">
        <v>0</v>
      </c>
      <c r="J70" s="600">
        <v>0</v>
      </c>
      <c r="K70" s="600">
        <v>0</v>
      </c>
      <c r="L70" s="47">
        <v>0</v>
      </c>
      <c r="M70" s="47">
        <v>0</v>
      </c>
      <c r="N70" s="47"/>
      <c r="O70" s="47"/>
      <c r="P70" s="47"/>
      <c r="Q70" s="47"/>
      <c r="R70" s="47"/>
      <c r="S70" s="47"/>
      <c r="T70" s="47"/>
      <c r="U70" s="47"/>
      <c r="V70" s="47"/>
      <c r="W70" s="47"/>
      <c r="X70" s="47">
        <v>9</v>
      </c>
      <c r="Y70" s="47"/>
      <c r="Z70" s="47"/>
      <c r="AA70" s="47"/>
      <c r="AB70" s="47"/>
      <c r="AC70" s="47"/>
      <c r="AD70" s="47"/>
      <c r="AE70" s="47"/>
      <c r="AF70" s="47"/>
    </row>
    <row r="71" spans="1:32" ht="393.75" hidden="1" x14ac:dyDescent="0.3">
      <c r="A71" s="15" t="s">
        <v>150</v>
      </c>
      <c r="B71" s="47"/>
      <c r="C71" s="600"/>
      <c r="D71" s="600"/>
      <c r="E71" s="600"/>
      <c r="F71" s="600"/>
      <c r="G71" s="600"/>
      <c r="H71" s="600"/>
      <c r="I71" s="600"/>
      <c r="J71" s="600"/>
      <c r="K71" s="600"/>
      <c r="L71" s="47"/>
      <c r="M71" s="47"/>
      <c r="N71" s="47"/>
      <c r="O71" s="47"/>
      <c r="P71" s="47"/>
      <c r="Q71" s="47"/>
      <c r="R71" s="47"/>
      <c r="S71" s="47"/>
      <c r="T71" s="47"/>
      <c r="U71" s="47"/>
      <c r="V71" s="47"/>
      <c r="W71" s="47"/>
      <c r="X71" s="47"/>
      <c r="Y71" s="47"/>
      <c r="Z71" s="47"/>
      <c r="AA71" s="47"/>
      <c r="AB71" s="47"/>
      <c r="AC71" s="47"/>
      <c r="AD71" s="47"/>
      <c r="AE71" s="47"/>
      <c r="AF71" s="47"/>
    </row>
    <row r="72" spans="1:32" ht="18.75" hidden="1" x14ac:dyDescent="0.3">
      <c r="A72" s="82" t="s">
        <v>31</v>
      </c>
      <c r="B72" s="47">
        <f>B73</f>
        <v>0</v>
      </c>
      <c r="C72" s="600">
        <f t="shared" ref="C72:E72" si="80">C73</f>
        <v>0</v>
      </c>
      <c r="D72" s="600">
        <f t="shared" si="80"/>
        <v>0</v>
      </c>
      <c r="E72" s="600">
        <f t="shared" si="80"/>
        <v>0</v>
      </c>
      <c r="F72" s="600" t="e">
        <f>E72/B72*100</f>
        <v>#DIV/0!</v>
      </c>
      <c r="G72" s="600" t="e">
        <f>E72/C72*100</f>
        <v>#DIV/0!</v>
      </c>
      <c r="H72" s="600"/>
      <c r="I72" s="600"/>
      <c r="J72" s="600"/>
      <c r="K72" s="600"/>
      <c r="L72" s="47"/>
      <c r="M72" s="47"/>
      <c r="N72" s="47"/>
      <c r="O72" s="47"/>
      <c r="P72" s="47"/>
      <c r="Q72" s="47"/>
      <c r="R72" s="47"/>
      <c r="S72" s="47"/>
      <c r="T72" s="47"/>
      <c r="U72" s="47"/>
      <c r="V72" s="47"/>
      <c r="W72" s="47"/>
      <c r="X72" s="47"/>
      <c r="Y72" s="47"/>
      <c r="Z72" s="47"/>
      <c r="AA72" s="47"/>
      <c r="AB72" s="47"/>
      <c r="AC72" s="47"/>
      <c r="AD72" s="47"/>
      <c r="AE72" s="47"/>
      <c r="AF72" s="47"/>
    </row>
    <row r="73" spans="1:32" ht="18.75" hidden="1" x14ac:dyDescent="0.3">
      <c r="A73" s="82" t="s">
        <v>33</v>
      </c>
      <c r="B73" s="47">
        <f>H73+J73+L73+N73+P73+R73+T73+V73+X73+Z73+AB73+AD73</f>
        <v>0</v>
      </c>
      <c r="C73" s="600">
        <f>H73</f>
        <v>0</v>
      </c>
      <c r="D73" s="600"/>
      <c r="E73" s="600">
        <f>I73</f>
        <v>0</v>
      </c>
      <c r="F73" s="600" t="e">
        <f t="shared" ref="F73:G73" si="81">D73/B73*100</f>
        <v>#DIV/0!</v>
      </c>
      <c r="G73" s="600" t="e">
        <f t="shared" si="81"/>
        <v>#DIV/0!</v>
      </c>
      <c r="H73" s="600"/>
      <c r="I73" s="600"/>
      <c r="J73" s="600"/>
      <c r="K73" s="600"/>
      <c r="L73" s="47"/>
      <c r="M73" s="47"/>
      <c r="N73" s="47"/>
      <c r="O73" s="47"/>
      <c r="P73" s="47"/>
      <c r="Q73" s="47"/>
      <c r="R73" s="47"/>
      <c r="S73" s="47"/>
      <c r="T73" s="47"/>
      <c r="U73" s="47"/>
      <c r="V73" s="47"/>
      <c r="W73" s="47"/>
      <c r="X73" s="47"/>
      <c r="Y73" s="47"/>
      <c r="Z73" s="47"/>
      <c r="AA73" s="47"/>
      <c r="AB73" s="47"/>
      <c r="AC73" s="47"/>
      <c r="AD73" s="47"/>
      <c r="AE73" s="47"/>
      <c r="AF73" s="47"/>
    </row>
    <row r="74" spans="1:32" ht="168.75" hidden="1" x14ac:dyDescent="0.3">
      <c r="A74" s="15" t="s">
        <v>151</v>
      </c>
      <c r="B74" s="47"/>
      <c r="C74" s="600"/>
      <c r="D74" s="600"/>
      <c r="E74" s="600"/>
      <c r="F74" s="600"/>
      <c r="G74" s="600"/>
      <c r="H74" s="600"/>
      <c r="I74" s="600"/>
      <c r="J74" s="600"/>
      <c r="K74" s="600"/>
      <c r="L74" s="47"/>
      <c r="M74" s="47"/>
      <c r="N74" s="47"/>
      <c r="O74" s="47"/>
      <c r="P74" s="47"/>
      <c r="Q74" s="47"/>
      <c r="R74" s="47"/>
      <c r="S74" s="47"/>
      <c r="T74" s="47"/>
      <c r="U74" s="47"/>
      <c r="V74" s="47"/>
      <c r="W74" s="47"/>
      <c r="X74" s="47"/>
      <c r="Y74" s="47"/>
      <c r="Z74" s="47"/>
      <c r="AA74" s="47"/>
      <c r="AB74" s="47"/>
      <c r="AC74" s="47"/>
      <c r="AD74" s="47"/>
      <c r="AE74" s="47"/>
      <c r="AF74" s="47"/>
    </row>
    <row r="75" spans="1:32" ht="18.75" hidden="1" x14ac:dyDescent="0.3">
      <c r="A75" s="82" t="s">
        <v>31</v>
      </c>
      <c r="B75" s="47">
        <f>B76</f>
        <v>0</v>
      </c>
      <c r="C75" s="600">
        <f t="shared" ref="C75:E75" si="82">C76</f>
        <v>0</v>
      </c>
      <c r="D75" s="600">
        <f t="shared" si="82"/>
        <v>0</v>
      </c>
      <c r="E75" s="600">
        <f t="shared" si="82"/>
        <v>0</v>
      </c>
      <c r="F75" s="600" t="e">
        <f>E75/B75*100</f>
        <v>#DIV/0!</v>
      </c>
      <c r="G75" s="600" t="e">
        <f>E75/C75*100</f>
        <v>#DIV/0!</v>
      </c>
      <c r="H75" s="600"/>
      <c r="I75" s="600"/>
      <c r="J75" s="600"/>
      <c r="K75" s="600"/>
      <c r="L75" s="47"/>
      <c r="M75" s="47"/>
      <c r="N75" s="47"/>
      <c r="O75" s="47"/>
      <c r="P75" s="47"/>
      <c r="Q75" s="47"/>
      <c r="R75" s="47"/>
      <c r="S75" s="47"/>
      <c r="T75" s="47"/>
      <c r="U75" s="47"/>
      <c r="V75" s="47"/>
      <c r="W75" s="47"/>
      <c r="X75" s="47"/>
      <c r="Y75" s="47"/>
      <c r="Z75" s="47"/>
      <c r="AA75" s="47"/>
      <c r="AB75" s="47"/>
      <c r="AC75" s="47"/>
      <c r="AD75" s="47"/>
      <c r="AE75" s="47"/>
      <c r="AF75" s="47"/>
    </row>
    <row r="76" spans="1:32" ht="18.75" hidden="1" x14ac:dyDescent="0.3">
      <c r="A76" s="82" t="s">
        <v>33</v>
      </c>
      <c r="B76" s="47">
        <f>H76+J76+L76+N76+P76+R76+T76+V76+X76+Z76+AB76+AD76</f>
        <v>0</v>
      </c>
      <c r="C76" s="600">
        <f>H76</f>
        <v>0</v>
      </c>
      <c r="D76" s="600"/>
      <c r="E76" s="600">
        <f>I76</f>
        <v>0</v>
      </c>
      <c r="F76" s="600" t="e">
        <f t="shared" ref="F76" si="83">D76/B76*100</f>
        <v>#DIV/0!</v>
      </c>
      <c r="G76" s="600" t="e">
        <f t="shared" ref="G76" si="84">E76/C76*100</f>
        <v>#DIV/0!</v>
      </c>
      <c r="H76" s="600"/>
      <c r="I76" s="600"/>
      <c r="J76" s="600"/>
      <c r="K76" s="600"/>
      <c r="L76" s="47"/>
      <c r="M76" s="47"/>
      <c r="N76" s="47"/>
      <c r="O76" s="47"/>
      <c r="P76" s="47"/>
      <c r="Q76" s="47"/>
      <c r="R76" s="47"/>
      <c r="S76" s="47"/>
      <c r="T76" s="47"/>
      <c r="U76" s="47"/>
      <c r="V76" s="47"/>
      <c r="W76" s="47"/>
      <c r="X76" s="47"/>
      <c r="Y76" s="47"/>
      <c r="Z76" s="47"/>
      <c r="AA76" s="47"/>
      <c r="AB76" s="47"/>
      <c r="AC76" s="47"/>
      <c r="AD76" s="47"/>
      <c r="AE76" s="47"/>
      <c r="AF76" s="47"/>
    </row>
    <row r="77" spans="1:32" ht="162" x14ac:dyDescent="0.3">
      <c r="A77" s="15" t="s">
        <v>152</v>
      </c>
      <c r="B77" s="47"/>
      <c r="C77" s="600"/>
      <c r="D77" s="600"/>
      <c r="E77" s="600"/>
      <c r="F77" s="600"/>
      <c r="G77" s="600"/>
      <c r="H77" s="600"/>
      <c r="I77" s="600"/>
      <c r="J77" s="600"/>
      <c r="K77" s="600"/>
      <c r="L77" s="47"/>
      <c r="M77" s="47"/>
      <c r="N77" s="47"/>
      <c r="O77" s="47"/>
      <c r="P77" s="47"/>
      <c r="Q77" s="47"/>
      <c r="R77" s="47"/>
      <c r="S77" s="47"/>
      <c r="T77" s="47"/>
      <c r="U77" s="47"/>
      <c r="V77" s="47"/>
      <c r="W77" s="47"/>
      <c r="X77" s="47"/>
      <c r="Y77" s="47"/>
      <c r="Z77" s="47"/>
      <c r="AA77" s="47"/>
      <c r="AB77" s="47"/>
      <c r="AC77" s="47"/>
      <c r="AD77" s="47"/>
      <c r="AE77" s="47"/>
      <c r="AF77" s="717" t="s">
        <v>545</v>
      </c>
    </row>
    <row r="78" spans="1:32" ht="18.75" x14ac:dyDescent="0.3">
      <c r="A78" s="82" t="s">
        <v>31</v>
      </c>
      <c r="B78" s="47">
        <f>B79</f>
        <v>80</v>
      </c>
      <c r="C78" s="600">
        <f t="shared" ref="C78:E78" si="85">C79</f>
        <v>0</v>
      </c>
      <c r="D78" s="600">
        <f t="shared" si="85"/>
        <v>0</v>
      </c>
      <c r="E78" s="600">
        <f t="shared" si="85"/>
        <v>0</v>
      </c>
      <c r="F78" s="600">
        <f>E78/B78*100</f>
        <v>0</v>
      </c>
      <c r="G78" s="600" t="e">
        <f>E78/C78*100</f>
        <v>#DIV/0!</v>
      </c>
      <c r="H78" s="600">
        <v>0</v>
      </c>
      <c r="I78" s="600">
        <v>0</v>
      </c>
      <c r="J78" s="600">
        <v>0</v>
      </c>
      <c r="K78" s="600">
        <v>0</v>
      </c>
      <c r="L78" s="47">
        <v>0</v>
      </c>
      <c r="M78" s="47">
        <v>0</v>
      </c>
      <c r="N78" s="47"/>
      <c r="O78" s="47"/>
      <c r="P78" s="47"/>
      <c r="Q78" s="47"/>
      <c r="R78" s="47"/>
      <c r="S78" s="47"/>
      <c r="T78" s="47"/>
      <c r="U78" s="47"/>
      <c r="V78" s="47"/>
      <c r="W78" s="47"/>
      <c r="X78" s="47"/>
      <c r="Y78" s="47"/>
      <c r="Z78" s="47"/>
      <c r="AA78" s="47"/>
      <c r="AB78" s="47"/>
      <c r="AC78" s="47"/>
      <c r="AD78" s="47"/>
      <c r="AE78" s="47"/>
      <c r="AF78" s="47"/>
    </row>
    <row r="79" spans="1:32" ht="18.75" x14ac:dyDescent="0.3">
      <c r="A79" s="82" t="s">
        <v>33</v>
      </c>
      <c r="B79" s="47">
        <f>H79+J79+L79+N79+P79+R79+T79+V79+X79+Z79+AB79+AD79</f>
        <v>80</v>
      </c>
      <c r="C79" s="600">
        <f>H79</f>
        <v>0</v>
      </c>
      <c r="D79" s="600"/>
      <c r="E79" s="600">
        <f>I79</f>
        <v>0</v>
      </c>
      <c r="F79" s="600">
        <f t="shared" ref="F79" si="86">D79/B79*100</f>
        <v>0</v>
      </c>
      <c r="G79" s="600" t="e">
        <f t="shared" ref="G79" si="87">E79/C79*100</f>
        <v>#DIV/0!</v>
      </c>
      <c r="H79" s="600">
        <v>0</v>
      </c>
      <c r="I79" s="600">
        <v>0</v>
      </c>
      <c r="J79" s="600">
        <v>0</v>
      </c>
      <c r="K79" s="600">
        <v>0</v>
      </c>
      <c r="L79" s="47">
        <v>80</v>
      </c>
      <c r="M79" s="47">
        <v>0</v>
      </c>
      <c r="N79" s="47"/>
      <c r="O79" s="47"/>
      <c r="P79" s="47"/>
      <c r="Q79" s="47"/>
      <c r="R79" s="47"/>
      <c r="S79" s="47"/>
      <c r="T79" s="47"/>
      <c r="U79" s="47"/>
      <c r="V79" s="47"/>
      <c r="W79" s="47"/>
      <c r="X79" s="47"/>
      <c r="Y79" s="47"/>
      <c r="Z79" s="47"/>
      <c r="AA79" s="47"/>
      <c r="AB79" s="47"/>
      <c r="AC79" s="47"/>
      <c r="AD79" s="47"/>
      <c r="AE79" s="47"/>
      <c r="AF79" s="47"/>
    </row>
    <row r="80" spans="1:32" ht="168.75" x14ac:dyDescent="0.3">
      <c r="A80" s="83" t="s">
        <v>153</v>
      </c>
      <c r="B80" s="47">
        <v>40</v>
      </c>
      <c r="C80" s="600">
        <v>0</v>
      </c>
      <c r="D80" s="600">
        <v>0</v>
      </c>
      <c r="E80" s="600">
        <v>0</v>
      </c>
      <c r="F80" s="600">
        <v>0</v>
      </c>
      <c r="G80" s="600">
        <v>0</v>
      </c>
      <c r="H80" s="600">
        <v>0</v>
      </c>
      <c r="I80" s="600">
        <v>0</v>
      </c>
      <c r="J80" s="600">
        <v>0</v>
      </c>
      <c r="K80" s="600">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40</v>
      </c>
      <c r="AE80" s="47">
        <v>0</v>
      </c>
      <c r="AF80" s="47"/>
    </row>
    <row r="81" spans="1:32" ht="18.75" x14ac:dyDescent="0.3">
      <c r="A81" s="82" t="s">
        <v>31</v>
      </c>
      <c r="B81" s="47">
        <f>B82</f>
        <v>40</v>
      </c>
      <c r="C81" s="600">
        <f t="shared" ref="C81:E81" si="88">C82</f>
        <v>0</v>
      </c>
      <c r="D81" s="600">
        <f t="shared" si="88"/>
        <v>0</v>
      </c>
      <c r="E81" s="600">
        <f t="shared" si="88"/>
        <v>0</v>
      </c>
      <c r="F81" s="600">
        <f t="shared" ref="F81:G82" si="89">D81/B81*100</f>
        <v>0</v>
      </c>
      <c r="G81" s="600" t="e">
        <f t="shared" si="89"/>
        <v>#DIV/0!</v>
      </c>
      <c r="H81" s="600">
        <f>H82</f>
        <v>0</v>
      </c>
      <c r="I81" s="600">
        <f t="shared" ref="I81:AE81" si="90">I82</f>
        <v>0</v>
      </c>
      <c r="J81" s="600">
        <f t="shared" si="90"/>
        <v>0</v>
      </c>
      <c r="K81" s="600">
        <f t="shared" si="90"/>
        <v>0</v>
      </c>
      <c r="L81" s="47">
        <f t="shared" si="90"/>
        <v>0</v>
      </c>
      <c r="M81" s="47">
        <f t="shared" si="90"/>
        <v>0</v>
      </c>
      <c r="N81" s="47">
        <f t="shared" si="90"/>
        <v>0</v>
      </c>
      <c r="O81" s="47">
        <f t="shared" si="90"/>
        <v>0</v>
      </c>
      <c r="P81" s="47">
        <f t="shared" si="90"/>
        <v>0</v>
      </c>
      <c r="Q81" s="47">
        <f t="shared" si="90"/>
        <v>0</v>
      </c>
      <c r="R81" s="47">
        <f t="shared" si="90"/>
        <v>0</v>
      </c>
      <c r="S81" s="47">
        <f t="shared" si="90"/>
        <v>0</v>
      </c>
      <c r="T81" s="47">
        <f t="shared" si="90"/>
        <v>0</v>
      </c>
      <c r="U81" s="47">
        <f t="shared" si="90"/>
        <v>0</v>
      </c>
      <c r="V81" s="47">
        <f t="shared" si="90"/>
        <v>0</v>
      </c>
      <c r="W81" s="47">
        <f t="shared" si="90"/>
        <v>0</v>
      </c>
      <c r="X81" s="47">
        <f t="shared" si="90"/>
        <v>0</v>
      </c>
      <c r="Y81" s="47">
        <f t="shared" si="90"/>
        <v>0</v>
      </c>
      <c r="Z81" s="47">
        <f t="shared" si="90"/>
        <v>0</v>
      </c>
      <c r="AA81" s="47">
        <f t="shared" si="90"/>
        <v>0</v>
      </c>
      <c r="AB81" s="47">
        <f t="shared" si="90"/>
        <v>0</v>
      </c>
      <c r="AC81" s="47">
        <f t="shared" si="90"/>
        <v>0</v>
      </c>
      <c r="AD81" s="47">
        <f t="shared" si="90"/>
        <v>40</v>
      </c>
      <c r="AE81" s="47">
        <f t="shared" si="90"/>
        <v>0</v>
      </c>
      <c r="AF81" s="47"/>
    </row>
    <row r="82" spans="1:32" ht="18.75" x14ac:dyDescent="0.3">
      <c r="A82" s="82" t="s">
        <v>33</v>
      </c>
      <c r="B82" s="47">
        <f>B85+B88</f>
        <v>40</v>
      </c>
      <c r="C82" s="600">
        <f t="shared" ref="C82:E82" si="91">C85</f>
        <v>0</v>
      </c>
      <c r="D82" s="600">
        <f t="shared" si="91"/>
        <v>0</v>
      </c>
      <c r="E82" s="600">
        <f t="shared" si="91"/>
        <v>0</v>
      </c>
      <c r="F82" s="600">
        <f t="shared" si="89"/>
        <v>0</v>
      </c>
      <c r="G82" s="600" t="e">
        <f t="shared" si="89"/>
        <v>#DIV/0!</v>
      </c>
      <c r="H82" s="600">
        <f>H85+H88</f>
        <v>0</v>
      </c>
      <c r="I82" s="600">
        <f t="shared" ref="I82:AE82" si="92">I85+I88</f>
        <v>0</v>
      </c>
      <c r="J82" s="600">
        <f t="shared" si="92"/>
        <v>0</v>
      </c>
      <c r="K82" s="600">
        <f t="shared" si="92"/>
        <v>0</v>
      </c>
      <c r="L82" s="47">
        <f t="shared" si="92"/>
        <v>0</v>
      </c>
      <c r="M82" s="47">
        <f t="shared" si="92"/>
        <v>0</v>
      </c>
      <c r="N82" s="47">
        <f t="shared" si="92"/>
        <v>0</v>
      </c>
      <c r="O82" s="47">
        <f t="shared" si="92"/>
        <v>0</v>
      </c>
      <c r="P82" s="47">
        <f t="shared" si="92"/>
        <v>0</v>
      </c>
      <c r="Q82" s="47">
        <f t="shared" si="92"/>
        <v>0</v>
      </c>
      <c r="R82" s="47">
        <f t="shared" si="92"/>
        <v>0</v>
      </c>
      <c r="S82" s="47">
        <f t="shared" si="92"/>
        <v>0</v>
      </c>
      <c r="T82" s="47">
        <f t="shared" si="92"/>
        <v>0</v>
      </c>
      <c r="U82" s="47">
        <f t="shared" si="92"/>
        <v>0</v>
      </c>
      <c r="V82" s="47">
        <f t="shared" si="92"/>
        <v>0</v>
      </c>
      <c r="W82" s="47">
        <f t="shared" si="92"/>
        <v>0</v>
      </c>
      <c r="X82" s="47">
        <f t="shared" si="92"/>
        <v>0</v>
      </c>
      <c r="Y82" s="47">
        <f t="shared" si="92"/>
        <v>0</v>
      </c>
      <c r="Z82" s="47">
        <f t="shared" si="92"/>
        <v>0</v>
      </c>
      <c r="AA82" s="47">
        <f t="shared" si="92"/>
        <v>0</v>
      </c>
      <c r="AB82" s="47">
        <f t="shared" si="92"/>
        <v>0</v>
      </c>
      <c r="AC82" s="47">
        <f t="shared" si="92"/>
        <v>0</v>
      </c>
      <c r="AD82" s="47">
        <f t="shared" si="92"/>
        <v>40</v>
      </c>
      <c r="AE82" s="47">
        <f t="shared" si="92"/>
        <v>0</v>
      </c>
      <c r="AF82" s="47"/>
    </row>
    <row r="83" spans="1:32" ht="206.25" x14ac:dyDescent="0.3">
      <c r="A83" s="82" t="s">
        <v>154</v>
      </c>
      <c r="B83" s="47">
        <v>40</v>
      </c>
      <c r="C83" s="600">
        <v>0</v>
      </c>
      <c r="D83" s="600">
        <v>0</v>
      </c>
      <c r="E83" s="600">
        <v>0</v>
      </c>
      <c r="F83" s="600">
        <v>0</v>
      </c>
      <c r="G83" s="600">
        <v>0</v>
      </c>
      <c r="H83" s="600">
        <v>0</v>
      </c>
      <c r="I83" s="600">
        <v>0</v>
      </c>
      <c r="J83" s="600">
        <v>0</v>
      </c>
      <c r="K83" s="600">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40</v>
      </c>
      <c r="AE83" s="47">
        <v>0</v>
      </c>
      <c r="AF83" s="47"/>
    </row>
    <row r="84" spans="1:32" ht="18.75" x14ac:dyDescent="0.3">
      <c r="A84" s="82" t="s">
        <v>31</v>
      </c>
      <c r="B84" s="47">
        <f>B85</f>
        <v>40</v>
      </c>
      <c r="C84" s="600">
        <f t="shared" ref="C84:E84" si="93">C85</f>
        <v>0</v>
      </c>
      <c r="D84" s="600">
        <f t="shared" si="93"/>
        <v>0</v>
      </c>
      <c r="E84" s="600">
        <f t="shared" si="93"/>
        <v>0</v>
      </c>
      <c r="F84" s="600">
        <f>E84/B84*100</f>
        <v>0</v>
      </c>
      <c r="G84" s="600" t="e">
        <f>E84/C84*100</f>
        <v>#DIV/0!</v>
      </c>
      <c r="H84" s="600">
        <f>H85</f>
        <v>0</v>
      </c>
      <c r="I84" s="600">
        <f t="shared" ref="I84:AE84" si="94">I85</f>
        <v>0</v>
      </c>
      <c r="J84" s="600">
        <f t="shared" si="94"/>
        <v>0</v>
      </c>
      <c r="K84" s="600">
        <f t="shared" si="94"/>
        <v>0</v>
      </c>
      <c r="L84" s="47">
        <f t="shared" si="94"/>
        <v>0</v>
      </c>
      <c r="M84" s="47">
        <f t="shared" si="94"/>
        <v>0</v>
      </c>
      <c r="N84" s="47">
        <f t="shared" si="94"/>
        <v>0</v>
      </c>
      <c r="O84" s="47">
        <f t="shared" si="94"/>
        <v>0</v>
      </c>
      <c r="P84" s="47">
        <f t="shared" si="94"/>
        <v>0</v>
      </c>
      <c r="Q84" s="47">
        <f t="shared" si="94"/>
        <v>0</v>
      </c>
      <c r="R84" s="47">
        <f t="shared" si="94"/>
        <v>0</v>
      </c>
      <c r="S84" s="47">
        <f t="shared" si="94"/>
        <v>0</v>
      </c>
      <c r="T84" s="47">
        <f t="shared" si="94"/>
        <v>0</v>
      </c>
      <c r="U84" s="47">
        <f t="shared" si="94"/>
        <v>0</v>
      </c>
      <c r="V84" s="47">
        <f t="shared" si="94"/>
        <v>0</v>
      </c>
      <c r="W84" s="47">
        <f t="shared" si="94"/>
        <v>0</v>
      </c>
      <c r="X84" s="47">
        <f t="shared" si="94"/>
        <v>0</v>
      </c>
      <c r="Y84" s="47">
        <f t="shared" si="94"/>
        <v>0</v>
      </c>
      <c r="Z84" s="47">
        <f t="shared" si="94"/>
        <v>0</v>
      </c>
      <c r="AA84" s="47">
        <f t="shared" si="94"/>
        <v>0</v>
      </c>
      <c r="AB84" s="47">
        <f t="shared" si="94"/>
        <v>0</v>
      </c>
      <c r="AC84" s="47">
        <f t="shared" si="94"/>
        <v>0</v>
      </c>
      <c r="AD84" s="47">
        <f t="shared" si="94"/>
        <v>40</v>
      </c>
      <c r="AE84" s="47">
        <f t="shared" si="94"/>
        <v>0</v>
      </c>
      <c r="AF84" s="47"/>
    </row>
    <row r="85" spans="1:32" ht="18.75" x14ac:dyDescent="0.3">
      <c r="A85" s="82" t="s">
        <v>33</v>
      </c>
      <c r="B85" s="47">
        <f>H85+J85+L85+N85+P85+R85+T85+V85+X85+Z85+AB85+AD85</f>
        <v>40</v>
      </c>
      <c r="C85" s="600">
        <f>H85</f>
        <v>0</v>
      </c>
      <c r="D85" s="600">
        <v>0</v>
      </c>
      <c r="E85" s="600">
        <f>I85</f>
        <v>0</v>
      </c>
      <c r="F85" s="600">
        <f t="shared" ref="F85:G85" si="95">D85/B85*100</f>
        <v>0</v>
      </c>
      <c r="G85" s="600" t="e">
        <f t="shared" si="95"/>
        <v>#DIV/0!</v>
      </c>
      <c r="H85" s="600">
        <v>0</v>
      </c>
      <c r="I85" s="600">
        <v>0</v>
      </c>
      <c r="J85" s="600">
        <v>0</v>
      </c>
      <c r="K85" s="600">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40</v>
      </c>
      <c r="AE85" s="47">
        <v>0</v>
      </c>
      <c r="AF85" s="47"/>
    </row>
    <row r="86" spans="1:32" ht="225" hidden="1" x14ac:dyDescent="0.3">
      <c r="A86" s="82" t="s">
        <v>155</v>
      </c>
      <c r="B86" s="47">
        <v>0</v>
      </c>
      <c r="C86" s="600">
        <v>0</v>
      </c>
      <c r="D86" s="600">
        <v>0</v>
      </c>
      <c r="E86" s="600">
        <v>0</v>
      </c>
      <c r="F86" s="600">
        <v>0</v>
      </c>
      <c r="G86" s="600">
        <v>0</v>
      </c>
      <c r="H86" s="600">
        <v>0</v>
      </c>
      <c r="I86" s="600">
        <v>0</v>
      </c>
      <c r="J86" s="600">
        <v>0</v>
      </c>
      <c r="K86" s="600">
        <v>0</v>
      </c>
      <c r="L86" s="47">
        <v>0</v>
      </c>
      <c r="M86" s="47">
        <v>0</v>
      </c>
      <c r="N86" s="47">
        <v>0</v>
      </c>
      <c r="O86" s="47">
        <v>0</v>
      </c>
      <c r="P86" s="47">
        <v>0</v>
      </c>
      <c r="Q86" s="47">
        <v>0</v>
      </c>
      <c r="R86" s="47">
        <v>0</v>
      </c>
      <c r="S86" s="47">
        <v>0</v>
      </c>
      <c r="T86" s="47">
        <v>0</v>
      </c>
      <c r="U86" s="47"/>
      <c r="V86" s="47">
        <v>0</v>
      </c>
      <c r="W86" s="47">
        <v>0</v>
      </c>
      <c r="X86" s="47">
        <v>0</v>
      </c>
      <c r="Y86" s="47">
        <v>0</v>
      </c>
      <c r="Z86" s="47">
        <v>0</v>
      </c>
      <c r="AA86" s="47">
        <v>0</v>
      </c>
      <c r="AB86" s="47">
        <v>0</v>
      </c>
      <c r="AC86" s="47">
        <v>0</v>
      </c>
      <c r="AD86" s="47">
        <v>0</v>
      </c>
      <c r="AE86" s="47">
        <v>0</v>
      </c>
      <c r="AF86" s="47"/>
    </row>
    <row r="87" spans="1:32" ht="18.75" hidden="1" x14ac:dyDescent="0.3">
      <c r="A87" s="82" t="s">
        <v>31</v>
      </c>
      <c r="B87" s="47">
        <f>B88</f>
        <v>0</v>
      </c>
      <c r="C87" s="600">
        <f t="shared" ref="C87:E87" si="96">C88</f>
        <v>0</v>
      </c>
      <c r="D87" s="600">
        <f t="shared" si="96"/>
        <v>0</v>
      </c>
      <c r="E87" s="600">
        <f t="shared" si="96"/>
        <v>0</v>
      </c>
      <c r="F87" s="600" t="e">
        <f>E87/B87*100</f>
        <v>#DIV/0!</v>
      </c>
      <c r="G87" s="600" t="e">
        <f>E87/C87*100</f>
        <v>#DIV/0!</v>
      </c>
      <c r="H87" s="600">
        <f>H88</f>
        <v>0</v>
      </c>
      <c r="I87" s="600">
        <f t="shared" ref="I87:AE87" si="97">I88</f>
        <v>0</v>
      </c>
      <c r="J87" s="600">
        <f t="shared" si="97"/>
        <v>0</v>
      </c>
      <c r="K87" s="600">
        <f t="shared" si="97"/>
        <v>0</v>
      </c>
      <c r="L87" s="47">
        <f t="shared" si="97"/>
        <v>0</v>
      </c>
      <c r="M87" s="47">
        <f t="shared" si="97"/>
        <v>0</v>
      </c>
      <c r="N87" s="47">
        <f t="shared" si="97"/>
        <v>0</v>
      </c>
      <c r="O87" s="47">
        <f t="shared" si="97"/>
        <v>0</v>
      </c>
      <c r="P87" s="47">
        <f t="shared" si="97"/>
        <v>0</v>
      </c>
      <c r="Q87" s="47">
        <f t="shared" si="97"/>
        <v>0</v>
      </c>
      <c r="R87" s="47">
        <f t="shared" si="97"/>
        <v>0</v>
      </c>
      <c r="S87" s="47">
        <f t="shared" si="97"/>
        <v>0</v>
      </c>
      <c r="T87" s="47">
        <f t="shared" si="97"/>
        <v>0</v>
      </c>
      <c r="U87" s="47">
        <f t="shared" si="97"/>
        <v>0</v>
      </c>
      <c r="V87" s="47">
        <f t="shared" si="97"/>
        <v>0</v>
      </c>
      <c r="W87" s="47">
        <f t="shared" si="97"/>
        <v>0</v>
      </c>
      <c r="X87" s="47">
        <f t="shared" si="97"/>
        <v>0</v>
      </c>
      <c r="Y87" s="47">
        <f t="shared" si="97"/>
        <v>0</v>
      </c>
      <c r="Z87" s="47">
        <f t="shared" si="97"/>
        <v>0</v>
      </c>
      <c r="AA87" s="47">
        <f t="shared" si="97"/>
        <v>0</v>
      </c>
      <c r="AB87" s="47">
        <f t="shared" si="97"/>
        <v>0</v>
      </c>
      <c r="AC87" s="47">
        <f t="shared" si="97"/>
        <v>0</v>
      </c>
      <c r="AD87" s="47">
        <f t="shared" si="97"/>
        <v>0</v>
      </c>
      <c r="AE87" s="47">
        <f t="shared" si="97"/>
        <v>0</v>
      </c>
      <c r="AF87" s="47"/>
    </row>
    <row r="88" spans="1:32" ht="18.75" hidden="1" x14ac:dyDescent="0.3">
      <c r="A88" s="82" t="s">
        <v>33</v>
      </c>
      <c r="B88" s="47">
        <f>H88+J88+L88+N88+P88+R88+T88+V88+X88+Z88+AB88+AD88</f>
        <v>0</v>
      </c>
      <c r="C88" s="600">
        <f>H88</f>
        <v>0</v>
      </c>
      <c r="D88" s="600"/>
      <c r="E88" s="600">
        <f>I88</f>
        <v>0</v>
      </c>
      <c r="F88" s="600" t="e">
        <f t="shared" ref="F88" si="98">D88/B88*100</f>
        <v>#DIV/0!</v>
      </c>
      <c r="G88" s="600" t="e">
        <f t="shared" ref="G88" si="99">E88/C88*100</f>
        <v>#DIV/0!</v>
      </c>
      <c r="H88" s="600"/>
      <c r="I88" s="600"/>
      <c r="J88" s="600"/>
      <c r="K88" s="600"/>
      <c r="L88" s="47"/>
      <c r="M88" s="47"/>
      <c r="N88" s="47"/>
      <c r="O88" s="47"/>
      <c r="P88" s="47"/>
      <c r="Q88" s="47"/>
      <c r="R88" s="47"/>
      <c r="S88" s="47"/>
      <c r="T88" s="47"/>
      <c r="U88" s="47"/>
      <c r="V88" s="47"/>
      <c r="W88" s="47"/>
      <c r="X88" s="47"/>
      <c r="Y88" s="47"/>
      <c r="Z88" s="47"/>
      <c r="AA88" s="47"/>
      <c r="AB88" s="47"/>
      <c r="AC88" s="47"/>
      <c r="AD88" s="47"/>
      <c r="AE88" s="47"/>
      <c r="AF88" s="47"/>
    </row>
    <row r="89" spans="1:32" ht="75" x14ac:dyDescent="0.3">
      <c r="A89" s="83" t="s">
        <v>156</v>
      </c>
      <c r="B89" s="47"/>
      <c r="C89" s="600"/>
      <c r="D89" s="600"/>
      <c r="E89" s="600"/>
      <c r="F89" s="600"/>
      <c r="G89" s="600"/>
      <c r="H89" s="600"/>
      <c r="I89" s="600"/>
      <c r="J89" s="600"/>
      <c r="K89" s="600"/>
      <c r="L89" s="47"/>
      <c r="M89" s="47"/>
      <c r="N89" s="47"/>
      <c r="O89" s="47"/>
      <c r="P89" s="47"/>
      <c r="Q89" s="47"/>
      <c r="R89" s="47"/>
      <c r="S89" s="47"/>
      <c r="T89" s="47"/>
      <c r="U89" s="47"/>
      <c r="V89" s="47"/>
      <c r="W89" s="47"/>
      <c r="X89" s="47"/>
      <c r="Y89" s="47"/>
      <c r="Z89" s="47"/>
      <c r="AA89" s="47"/>
      <c r="AB89" s="47"/>
      <c r="AC89" s="47"/>
      <c r="AD89" s="47"/>
      <c r="AE89" s="47"/>
      <c r="AF89" s="47"/>
    </row>
    <row r="90" spans="1:32" ht="18.75" x14ac:dyDescent="0.3">
      <c r="A90" s="82" t="s">
        <v>31</v>
      </c>
      <c r="B90" s="47">
        <f>B91</f>
        <v>6.7</v>
      </c>
      <c r="C90" s="600">
        <f>C91</f>
        <v>0</v>
      </c>
      <c r="D90" s="600">
        <f t="shared" ref="D90:E90" si="100">D91</f>
        <v>0</v>
      </c>
      <c r="E90" s="600">
        <f t="shared" si="100"/>
        <v>0</v>
      </c>
      <c r="F90" s="600">
        <f>E90/B90*100</f>
        <v>0</v>
      </c>
      <c r="G90" s="600" t="e">
        <f>E90/C90*100</f>
        <v>#DIV/0!</v>
      </c>
      <c r="H90" s="600">
        <f>H91</f>
        <v>0</v>
      </c>
      <c r="I90" s="600">
        <f t="shared" ref="I90:AE90" si="101">I91</f>
        <v>0</v>
      </c>
      <c r="J90" s="600">
        <f t="shared" si="101"/>
        <v>0</v>
      </c>
      <c r="K90" s="600">
        <f t="shared" si="101"/>
        <v>0</v>
      </c>
      <c r="L90" s="47">
        <f t="shared" si="101"/>
        <v>0</v>
      </c>
      <c r="M90" s="47">
        <f t="shared" si="101"/>
        <v>0</v>
      </c>
      <c r="N90" s="47">
        <f t="shared" si="101"/>
        <v>0</v>
      </c>
      <c r="O90" s="47">
        <f t="shared" si="101"/>
        <v>0</v>
      </c>
      <c r="P90" s="47">
        <f t="shared" si="101"/>
        <v>0</v>
      </c>
      <c r="Q90" s="47">
        <f t="shared" si="101"/>
        <v>0</v>
      </c>
      <c r="R90" s="47">
        <f t="shared" si="101"/>
        <v>0</v>
      </c>
      <c r="S90" s="47">
        <f t="shared" si="101"/>
        <v>0</v>
      </c>
      <c r="T90" s="47">
        <f t="shared" si="101"/>
        <v>0</v>
      </c>
      <c r="U90" s="47">
        <f t="shared" si="101"/>
        <v>0</v>
      </c>
      <c r="V90" s="47">
        <f t="shared" si="101"/>
        <v>6.7</v>
      </c>
      <c r="W90" s="47">
        <f t="shared" si="101"/>
        <v>0</v>
      </c>
      <c r="X90" s="47">
        <f t="shared" si="101"/>
        <v>0</v>
      </c>
      <c r="Y90" s="47">
        <f t="shared" si="101"/>
        <v>0</v>
      </c>
      <c r="Z90" s="47">
        <f t="shared" si="101"/>
        <v>0</v>
      </c>
      <c r="AA90" s="47">
        <f t="shared" si="101"/>
        <v>0</v>
      </c>
      <c r="AB90" s="47">
        <f t="shared" si="101"/>
        <v>0</v>
      </c>
      <c r="AC90" s="47">
        <f t="shared" si="101"/>
        <v>0</v>
      </c>
      <c r="AD90" s="47">
        <f t="shared" si="101"/>
        <v>0</v>
      </c>
      <c r="AE90" s="47">
        <f t="shared" si="101"/>
        <v>0</v>
      </c>
      <c r="AF90" s="47"/>
    </row>
    <row r="91" spans="1:32" ht="18.75" x14ac:dyDescent="0.3">
      <c r="A91" s="82" t="s">
        <v>33</v>
      </c>
      <c r="B91" s="47">
        <f>B94+B97</f>
        <v>6.7</v>
      </c>
      <c r="C91" s="600">
        <f t="shared" ref="C91:E91" si="102">C94</f>
        <v>0</v>
      </c>
      <c r="D91" s="600">
        <f t="shared" si="102"/>
        <v>0</v>
      </c>
      <c r="E91" s="600">
        <f t="shared" si="102"/>
        <v>0</v>
      </c>
      <c r="F91" s="600">
        <f t="shared" ref="F91:G91" si="103">D91/B91*100</f>
        <v>0</v>
      </c>
      <c r="G91" s="600" t="e">
        <f t="shared" si="103"/>
        <v>#DIV/0!</v>
      </c>
      <c r="H91" s="600">
        <f>H94</f>
        <v>0</v>
      </c>
      <c r="I91" s="600">
        <f t="shared" ref="I91:AE91" si="104">I94</f>
        <v>0</v>
      </c>
      <c r="J91" s="600">
        <f t="shared" si="104"/>
        <v>0</v>
      </c>
      <c r="K91" s="600">
        <f t="shared" si="104"/>
        <v>0</v>
      </c>
      <c r="L91" s="47">
        <f t="shared" si="104"/>
        <v>0</v>
      </c>
      <c r="M91" s="47">
        <f t="shared" si="104"/>
        <v>0</v>
      </c>
      <c r="N91" s="47">
        <f t="shared" si="104"/>
        <v>0</v>
      </c>
      <c r="O91" s="47">
        <f t="shared" si="104"/>
        <v>0</v>
      </c>
      <c r="P91" s="47">
        <f t="shared" si="104"/>
        <v>0</v>
      </c>
      <c r="Q91" s="47">
        <f t="shared" si="104"/>
        <v>0</v>
      </c>
      <c r="R91" s="47">
        <f t="shared" si="104"/>
        <v>0</v>
      </c>
      <c r="S91" s="47">
        <f t="shared" si="104"/>
        <v>0</v>
      </c>
      <c r="T91" s="47">
        <f t="shared" si="104"/>
        <v>0</v>
      </c>
      <c r="U91" s="47">
        <f t="shared" si="104"/>
        <v>0</v>
      </c>
      <c r="V91" s="47">
        <f t="shared" si="104"/>
        <v>6.7</v>
      </c>
      <c r="W91" s="47">
        <f t="shared" si="104"/>
        <v>0</v>
      </c>
      <c r="X91" s="47">
        <f t="shared" si="104"/>
        <v>0</v>
      </c>
      <c r="Y91" s="47">
        <f t="shared" si="104"/>
        <v>0</v>
      </c>
      <c r="Z91" s="47">
        <f t="shared" si="104"/>
        <v>0</v>
      </c>
      <c r="AA91" s="47">
        <f t="shared" si="104"/>
        <v>0</v>
      </c>
      <c r="AB91" s="47">
        <f t="shared" si="104"/>
        <v>0</v>
      </c>
      <c r="AC91" s="47">
        <f t="shared" si="104"/>
        <v>0</v>
      </c>
      <c r="AD91" s="47">
        <f t="shared" si="104"/>
        <v>0</v>
      </c>
      <c r="AE91" s="47">
        <f t="shared" si="104"/>
        <v>0</v>
      </c>
      <c r="AF91" s="47"/>
    </row>
    <row r="92" spans="1:32" s="10" customFormat="1" ht="131.25" x14ac:dyDescent="0.3">
      <c r="A92" s="15" t="s">
        <v>157</v>
      </c>
      <c r="B92" s="47"/>
      <c r="C92" s="600"/>
      <c r="D92" s="600"/>
      <c r="E92" s="600"/>
      <c r="F92" s="600"/>
      <c r="G92" s="600"/>
      <c r="H92" s="600"/>
      <c r="I92" s="600"/>
      <c r="J92" s="600"/>
      <c r="K92" s="600"/>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82" t="s">
        <v>31</v>
      </c>
      <c r="B93" s="47">
        <f>B94</f>
        <v>6.7</v>
      </c>
      <c r="C93" s="600">
        <f t="shared" ref="C93:E93" si="105">C94</f>
        <v>0</v>
      </c>
      <c r="D93" s="600">
        <f t="shared" si="105"/>
        <v>0</v>
      </c>
      <c r="E93" s="600">
        <f t="shared" si="105"/>
        <v>0</v>
      </c>
      <c r="F93" s="600">
        <f>E93/B93*100</f>
        <v>0</v>
      </c>
      <c r="G93" s="600" t="e">
        <f>E93/C93*100</f>
        <v>#DIV/0!</v>
      </c>
      <c r="H93" s="600">
        <f>H94</f>
        <v>0</v>
      </c>
      <c r="I93" s="600">
        <f t="shared" ref="I93:AE93" si="106">I94</f>
        <v>0</v>
      </c>
      <c r="J93" s="600">
        <f t="shared" si="106"/>
        <v>0</v>
      </c>
      <c r="K93" s="600">
        <f t="shared" si="106"/>
        <v>0</v>
      </c>
      <c r="L93" s="47">
        <f t="shared" si="106"/>
        <v>0</v>
      </c>
      <c r="M93" s="47">
        <f t="shared" si="106"/>
        <v>0</v>
      </c>
      <c r="N93" s="47">
        <f t="shared" si="106"/>
        <v>0</v>
      </c>
      <c r="O93" s="47">
        <f t="shared" si="106"/>
        <v>0</v>
      </c>
      <c r="P93" s="47">
        <f t="shared" si="106"/>
        <v>0</v>
      </c>
      <c r="Q93" s="47">
        <f t="shared" si="106"/>
        <v>0</v>
      </c>
      <c r="R93" s="47">
        <f t="shared" si="106"/>
        <v>0</v>
      </c>
      <c r="S93" s="47">
        <f t="shared" si="106"/>
        <v>0</v>
      </c>
      <c r="T93" s="47">
        <f t="shared" si="106"/>
        <v>0</v>
      </c>
      <c r="U93" s="47">
        <f t="shared" si="106"/>
        <v>0</v>
      </c>
      <c r="V93" s="47">
        <f t="shared" si="106"/>
        <v>6.7</v>
      </c>
      <c r="W93" s="47">
        <f t="shared" si="106"/>
        <v>0</v>
      </c>
      <c r="X93" s="47">
        <f t="shared" si="106"/>
        <v>0</v>
      </c>
      <c r="Y93" s="47">
        <f t="shared" si="106"/>
        <v>0</v>
      </c>
      <c r="Z93" s="47">
        <f t="shared" si="106"/>
        <v>0</v>
      </c>
      <c r="AA93" s="47">
        <f t="shared" si="106"/>
        <v>0</v>
      </c>
      <c r="AB93" s="47">
        <f t="shared" si="106"/>
        <v>0</v>
      </c>
      <c r="AC93" s="47">
        <f t="shared" si="106"/>
        <v>0</v>
      </c>
      <c r="AD93" s="47">
        <f t="shared" si="106"/>
        <v>0</v>
      </c>
      <c r="AE93" s="47">
        <f t="shared" si="106"/>
        <v>0</v>
      </c>
      <c r="AF93" s="47"/>
    </row>
    <row r="94" spans="1:32" s="10" customFormat="1" ht="18.75" x14ac:dyDescent="0.3">
      <c r="A94" s="82" t="s">
        <v>33</v>
      </c>
      <c r="B94" s="47">
        <f>H94+J94+L94+N94+P94+R94+T94+V94+X94+Z94+AB94+AD94</f>
        <v>6.7</v>
      </c>
      <c r="C94" s="600">
        <f>H94</f>
        <v>0</v>
      </c>
      <c r="D94" s="600"/>
      <c r="E94" s="600">
        <f>I94</f>
        <v>0</v>
      </c>
      <c r="F94" s="600">
        <f t="shared" ref="F94:G94" si="107">D94/B94*100</f>
        <v>0</v>
      </c>
      <c r="G94" s="600" t="e">
        <f t="shared" si="107"/>
        <v>#DIV/0!</v>
      </c>
      <c r="H94" s="600"/>
      <c r="I94" s="600"/>
      <c r="J94" s="600"/>
      <c r="K94" s="600"/>
      <c r="L94" s="47"/>
      <c r="M94" s="47"/>
      <c r="N94" s="47"/>
      <c r="O94" s="47"/>
      <c r="P94" s="47"/>
      <c r="Q94" s="47"/>
      <c r="R94" s="47"/>
      <c r="S94" s="47"/>
      <c r="T94" s="47"/>
      <c r="U94" s="47"/>
      <c r="V94" s="47">
        <v>6.7</v>
      </c>
      <c r="W94" s="47"/>
      <c r="X94" s="47"/>
      <c r="Y94" s="47"/>
      <c r="Z94" s="47"/>
      <c r="AA94" s="47"/>
      <c r="AB94" s="47"/>
      <c r="AC94" s="47"/>
      <c r="AD94" s="47"/>
      <c r="AE94" s="47"/>
      <c r="AF94" s="47"/>
    </row>
    <row r="95" spans="1:32" s="10" customFormat="1" ht="206.25" hidden="1" x14ac:dyDescent="0.3">
      <c r="A95" s="50" t="s">
        <v>158</v>
      </c>
      <c r="B95" s="47"/>
      <c r="C95" s="600"/>
      <c r="D95" s="600"/>
      <c r="E95" s="600"/>
      <c r="F95" s="600"/>
      <c r="G95" s="600"/>
      <c r="H95" s="600"/>
      <c r="I95" s="600"/>
      <c r="J95" s="600"/>
      <c r="K95" s="600"/>
      <c r="L95" s="47"/>
      <c r="M95" s="47"/>
      <c r="N95" s="47"/>
      <c r="O95" s="47"/>
      <c r="P95" s="47"/>
      <c r="Q95" s="47"/>
      <c r="R95" s="47"/>
      <c r="S95" s="47"/>
      <c r="T95" s="47"/>
      <c r="U95" s="47"/>
      <c r="V95" s="47"/>
      <c r="W95" s="47"/>
      <c r="X95" s="47"/>
      <c r="Y95" s="47"/>
      <c r="Z95" s="47"/>
      <c r="AA95" s="47"/>
      <c r="AB95" s="47"/>
      <c r="AC95" s="47"/>
      <c r="AD95" s="47"/>
      <c r="AE95" s="47"/>
      <c r="AF95" s="47"/>
    </row>
    <row r="96" spans="1:32" s="10" customFormat="1" ht="18.75" hidden="1" x14ac:dyDescent="0.3">
      <c r="A96" s="82" t="s">
        <v>31</v>
      </c>
      <c r="B96" s="47"/>
      <c r="C96" s="600"/>
      <c r="D96" s="600"/>
      <c r="E96" s="600"/>
      <c r="F96" s="600"/>
      <c r="G96" s="600"/>
      <c r="H96" s="600"/>
      <c r="I96" s="600"/>
      <c r="J96" s="600"/>
      <c r="K96" s="600"/>
      <c r="L96" s="47"/>
      <c r="M96" s="47"/>
      <c r="N96" s="47"/>
      <c r="O96" s="47"/>
      <c r="P96" s="47"/>
      <c r="Q96" s="47"/>
      <c r="R96" s="47"/>
      <c r="S96" s="47"/>
      <c r="T96" s="47"/>
      <c r="U96" s="47"/>
      <c r="V96" s="47"/>
      <c r="W96" s="47"/>
      <c r="X96" s="47"/>
      <c r="Y96" s="47"/>
      <c r="Z96" s="47"/>
      <c r="AA96" s="47"/>
      <c r="AB96" s="47"/>
      <c r="AC96" s="47"/>
      <c r="AD96" s="47"/>
      <c r="AE96" s="47"/>
      <c r="AF96" s="47"/>
    </row>
    <row r="97" spans="1:32" s="10" customFormat="1" ht="18.75" hidden="1" x14ac:dyDescent="0.3">
      <c r="A97" s="82" t="s">
        <v>33</v>
      </c>
      <c r="B97" s="47"/>
      <c r="C97" s="600"/>
      <c r="D97" s="600"/>
      <c r="E97" s="600"/>
      <c r="F97" s="600"/>
      <c r="G97" s="600"/>
      <c r="H97" s="600"/>
      <c r="I97" s="600"/>
      <c r="J97" s="600"/>
      <c r="K97" s="600"/>
      <c r="L97" s="47"/>
      <c r="M97" s="47"/>
      <c r="N97" s="47"/>
      <c r="O97" s="47"/>
      <c r="P97" s="47"/>
      <c r="Q97" s="47"/>
      <c r="R97" s="47"/>
      <c r="S97" s="47"/>
      <c r="T97" s="47"/>
      <c r="U97" s="47"/>
      <c r="V97" s="47"/>
      <c r="W97" s="47"/>
      <c r="X97" s="47"/>
      <c r="Y97" s="47"/>
      <c r="Z97" s="47"/>
      <c r="AA97" s="47"/>
      <c r="AB97" s="47"/>
      <c r="AC97" s="47"/>
      <c r="AD97" s="47"/>
      <c r="AE97" s="47"/>
      <c r="AF97" s="47"/>
    </row>
    <row r="98" spans="1:32" ht="18.75" x14ac:dyDescent="0.3">
      <c r="A98" s="56" t="s">
        <v>35</v>
      </c>
      <c r="B98" s="47"/>
      <c r="C98" s="600"/>
      <c r="D98" s="600"/>
      <c r="E98" s="600"/>
      <c r="F98" s="600"/>
      <c r="G98" s="600"/>
      <c r="H98" s="600"/>
      <c r="I98" s="600"/>
      <c r="J98" s="600"/>
      <c r="K98" s="600"/>
      <c r="L98" s="47"/>
      <c r="M98" s="47"/>
      <c r="N98" s="47"/>
      <c r="O98" s="47"/>
      <c r="P98" s="47"/>
      <c r="Q98" s="47"/>
      <c r="R98" s="47"/>
      <c r="S98" s="47"/>
      <c r="T98" s="47"/>
      <c r="U98" s="47"/>
      <c r="V98" s="47"/>
      <c r="W98" s="47"/>
      <c r="X98" s="47"/>
      <c r="Y98" s="47"/>
      <c r="Z98" s="47"/>
      <c r="AA98" s="47"/>
      <c r="AB98" s="47"/>
      <c r="AC98" s="47"/>
      <c r="AD98" s="47"/>
      <c r="AE98" s="47"/>
      <c r="AF98" s="47"/>
    </row>
    <row r="99" spans="1:32" ht="18.75" x14ac:dyDescent="0.3">
      <c r="A99" s="82" t="s">
        <v>31</v>
      </c>
      <c r="B99" s="47">
        <f>B100</f>
        <v>135.69999999999999</v>
      </c>
      <c r="C99" s="600">
        <f t="shared" ref="C99:E99" si="108">C100</f>
        <v>0</v>
      </c>
      <c r="D99" s="600">
        <f t="shared" si="108"/>
        <v>0</v>
      </c>
      <c r="E99" s="600">
        <f t="shared" si="108"/>
        <v>0</v>
      </c>
      <c r="F99" s="600">
        <f t="shared" ref="F99:G100" si="109">D99/B99*100</f>
        <v>0</v>
      </c>
      <c r="G99" s="600" t="e">
        <f t="shared" si="109"/>
        <v>#DIV/0!</v>
      </c>
      <c r="H99" s="600">
        <v>0</v>
      </c>
      <c r="I99" s="600">
        <v>0</v>
      </c>
      <c r="J99" s="600">
        <v>0</v>
      </c>
      <c r="K99" s="600">
        <v>0</v>
      </c>
      <c r="L99" s="47">
        <v>0</v>
      </c>
      <c r="M99" s="47">
        <v>0</v>
      </c>
      <c r="N99" s="47"/>
      <c r="O99" s="47"/>
      <c r="P99" s="47"/>
      <c r="Q99" s="47"/>
      <c r="R99" s="47"/>
      <c r="S99" s="47"/>
      <c r="T99" s="47"/>
      <c r="U99" s="47"/>
      <c r="V99" s="47"/>
      <c r="W99" s="47"/>
      <c r="X99" s="47"/>
      <c r="Y99" s="47"/>
      <c r="Z99" s="47"/>
      <c r="AA99" s="47"/>
      <c r="AB99" s="47"/>
      <c r="AC99" s="47"/>
      <c r="AD99" s="47"/>
      <c r="AE99" s="47"/>
      <c r="AF99" s="47"/>
    </row>
    <row r="100" spans="1:32" ht="18.75" x14ac:dyDescent="0.3">
      <c r="A100" s="82" t="s">
        <v>33</v>
      </c>
      <c r="B100" s="47">
        <f>B64+B82+B91+B97</f>
        <v>135.69999999999999</v>
      </c>
      <c r="C100" s="600">
        <f>C64+C82+C91</f>
        <v>0</v>
      </c>
      <c r="D100" s="600">
        <f>D64+D82+D91</f>
        <v>0</v>
      </c>
      <c r="E100" s="600">
        <f>E64+E82+E91</f>
        <v>0</v>
      </c>
      <c r="F100" s="600">
        <f t="shared" si="109"/>
        <v>0</v>
      </c>
      <c r="G100" s="600" t="e">
        <f t="shared" si="109"/>
        <v>#DIV/0!</v>
      </c>
      <c r="H100" s="600">
        <v>0</v>
      </c>
      <c r="I100" s="600">
        <v>0</v>
      </c>
      <c r="J100" s="600">
        <v>0</v>
      </c>
      <c r="K100" s="600">
        <v>0</v>
      </c>
      <c r="L100" s="47">
        <v>0</v>
      </c>
      <c r="M100" s="47">
        <v>0</v>
      </c>
      <c r="N100" s="47"/>
      <c r="O100" s="47"/>
      <c r="P100" s="47"/>
      <c r="Q100" s="47"/>
      <c r="R100" s="47"/>
      <c r="S100" s="47"/>
      <c r="T100" s="47"/>
      <c r="U100" s="47"/>
      <c r="V100" s="47"/>
      <c r="W100" s="47"/>
      <c r="X100" s="47"/>
      <c r="Y100" s="47"/>
      <c r="Z100" s="47"/>
      <c r="AA100" s="47"/>
      <c r="AB100" s="47"/>
      <c r="AC100" s="47"/>
      <c r="AD100" s="47"/>
      <c r="AE100" s="47"/>
      <c r="AF100" s="47"/>
    </row>
    <row r="101" spans="1:32" ht="37.5" x14ac:dyDescent="0.3">
      <c r="A101" s="87" t="s">
        <v>73</v>
      </c>
      <c r="B101" s="90"/>
      <c r="C101" s="601"/>
      <c r="D101" s="601"/>
      <c r="E101" s="601"/>
      <c r="F101" s="601"/>
      <c r="G101" s="601"/>
      <c r="H101" s="601"/>
      <c r="I101" s="601"/>
      <c r="J101" s="601"/>
      <c r="K101" s="601"/>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18.75" x14ac:dyDescent="0.3">
      <c r="A102" s="88" t="s">
        <v>31</v>
      </c>
      <c r="B102" s="58">
        <f>B103</f>
        <v>135.69999999999999</v>
      </c>
      <c r="C102" s="601">
        <f t="shared" ref="C102:E102" si="110">C103</f>
        <v>0</v>
      </c>
      <c r="D102" s="601">
        <f t="shared" si="110"/>
        <v>0</v>
      </c>
      <c r="E102" s="601">
        <f t="shared" si="110"/>
        <v>0</v>
      </c>
      <c r="F102" s="600">
        <f t="shared" ref="F102:F103" si="111">E102/B102*100</f>
        <v>0</v>
      </c>
      <c r="G102" s="600" t="e">
        <f t="shared" ref="G102:G103" si="112">E102/C102*100</f>
        <v>#DIV/0!</v>
      </c>
      <c r="H102" s="601">
        <v>0</v>
      </c>
      <c r="I102" s="601">
        <v>0</v>
      </c>
      <c r="J102" s="601">
        <v>0</v>
      </c>
      <c r="K102" s="601">
        <v>0</v>
      </c>
      <c r="L102" s="58">
        <v>0</v>
      </c>
      <c r="M102" s="58">
        <v>0</v>
      </c>
      <c r="N102" s="58"/>
      <c r="O102" s="58"/>
      <c r="P102" s="58"/>
      <c r="Q102" s="58"/>
      <c r="R102" s="58"/>
      <c r="S102" s="58"/>
      <c r="T102" s="58"/>
      <c r="U102" s="58"/>
      <c r="V102" s="58"/>
      <c r="W102" s="58"/>
      <c r="X102" s="58"/>
      <c r="Y102" s="58"/>
      <c r="Z102" s="58"/>
      <c r="AA102" s="58"/>
      <c r="AB102" s="58"/>
      <c r="AC102" s="58"/>
      <c r="AD102" s="58"/>
      <c r="AE102" s="58"/>
      <c r="AF102" s="90"/>
    </row>
    <row r="103" spans="1:32" ht="18.75" x14ac:dyDescent="0.3">
      <c r="A103" s="82" t="s">
        <v>33</v>
      </c>
      <c r="B103" s="58">
        <f>B100</f>
        <v>135.69999999999999</v>
      </c>
      <c r="C103" s="601">
        <f t="shared" ref="C103:E103" si="113">C100</f>
        <v>0</v>
      </c>
      <c r="D103" s="601">
        <f t="shared" si="113"/>
        <v>0</v>
      </c>
      <c r="E103" s="601">
        <f t="shared" si="113"/>
        <v>0</v>
      </c>
      <c r="F103" s="600">
        <f t="shared" si="111"/>
        <v>0</v>
      </c>
      <c r="G103" s="600" t="e">
        <f t="shared" si="112"/>
        <v>#DIV/0!</v>
      </c>
      <c r="H103" s="601">
        <v>0</v>
      </c>
      <c r="I103" s="601">
        <v>0</v>
      </c>
      <c r="J103" s="601">
        <v>0</v>
      </c>
      <c r="K103" s="601">
        <v>0</v>
      </c>
      <c r="L103" s="58">
        <v>0</v>
      </c>
      <c r="M103" s="58">
        <v>0</v>
      </c>
      <c r="N103" s="58"/>
      <c r="O103" s="58"/>
      <c r="P103" s="58"/>
      <c r="Q103" s="58"/>
      <c r="R103" s="58"/>
      <c r="S103" s="58"/>
      <c r="T103" s="58"/>
      <c r="U103" s="58"/>
      <c r="V103" s="58"/>
      <c r="W103" s="58"/>
      <c r="X103" s="58"/>
      <c r="Y103" s="58"/>
      <c r="Z103" s="58"/>
      <c r="AA103" s="58"/>
      <c r="AB103" s="58"/>
      <c r="AC103" s="58"/>
      <c r="AD103" s="58"/>
      <c r="AE103" s="58"/>
      <c r="AF103" s="90"/>
    </row>
    <row r="104" spans="1:32" ht="93.75" x14ac:dyDescent="0.3">
      <c r="A104" s="50" t="s">
        <v>159</v>
      </c>
      <c r="B104" s="90"/>
      <c r="C104" s="601"/>
      <c r="D104" s="601"/>
      <c r="E104" s="601"/>
      <c r="F104" s="601"/>
      <c r="G104" s="601"/>
      <c r="H104" s="601"/>
      <c r="I104" s="601"/>
      <c r="J104" s="601"/>
      <c r="K104" s="601"/>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18.75" x14ac:dyDescent="0.3">
      <c r="A105" s="15" t="s">
        <v>54</v>
      </c>
      <c r="B105" s="90"/>
      <c r="C105" s="601"/>
      <c r="D105" s="601"/>
      <c r="E105" s="601"/>
      <c r="F105" s="601"/>
      <c r="G105" s="601"/>
      <c r="H105" s="601"/>
      <c r="I105" s="601"/>
      <c r="J105" s="601"/>
      <c r="K105" s="601"/>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93.75" x14ac:dyDescent="0.3">
      <c r="A106" s="50" t="s">
        <v>160</v>
      </c>
      <c r="B106" s="90"/>
      <c r="C106" s="601"/>
      <c r="D106" s="601"/>
      <c r="E106" s="601"/>
      <c r="F106" s="601"/>
      <c r="G106" s="601"/>
      <c r="H106" s="601"/>
      <c r="I106" s="601"/>
      <c r="J106" s="601"/>
      <c r="K106" s="601"/>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18.75" x14ac:dyDescent="0.3">
      <c r="A107" s="18" t="s">
        <v>31</v>
      </c>
      <c r="B107" s="58">
        <f>B108</f>
        <v>569.4</v>
      </c>
      <c r="C107" s="601">
        <f t="shared" ref="C107:E107" si="114">C108</f>
        <v>0</v>
      </c>
      <c r="D107" s="601">
        <f t="shared" si="114"/>
        <v>0</v>
      </c>
      <c r="E107" s="601">
        <f t="shared" si="114"/>
        <v>0</v>
      </c>
      <c r="F107" s="600">
        <f t="shared" ref="F107:F108" si="115">E107/B107*100</f>
        <v>0</v>
      </c>
      <c r="G107" s="600" t="e">
        <f t="shared" ref="G107:G108" si="116">E107/C107*100</f>
        <v>#DIV/0!</v>
      </c>
      <c r="H107" s="601">
        <f>H108</f>
        <v>0</v>
      </c>
      <c r="I107" s="601">
        <f t="shared" ref="I107:AE107" si="117">I108</f>
        <v>0</v>
      </c>
      <c r="J107" s="601">
        <f t="shared" si="117"/>
        <v>0</v>
      </c>
      <c r="K107" s="601">
        <f t="shared" si="117"/>
        <v>0</v>
      </c>
      <c r="L107" s="58">
        <f t="shared" si="117"/>
        <v>0</v>
      </c>
      <c r="M107" s="58">
        <f t="shared" si="117"/>
        <v>0</v>
      </c>
      <c r="N107" s="58">
        <f t="shared" si="117"/>
        <v>0</v>
      </c>
      <c r="O107" s="58">
        <f t="shared" si="117"/>
        <v>0</v>
      </c>
      <c r="P107" s="604">
        <f t="shared" si="117"/>
        <v>569.4</v>
      </c>
      <c r="Q107" s="58">
        <f t="shared" si="117"/>
        <v>0</v>
      </c>
      <c r="R107" s="58">
        <f t="shared" si="117"/>
        <v>0</v>
      </c>
      <c r="S107" s="58">
        <f t="shared" si="117"/>
        <v>0</v>
      </c>
      <c r="T107" s="58">
        <f t="shared" si="117"/>
        <v>0</v>
      </c>
      <c r="U107" s="58">
        <f t="shared" si="117"/>
        <v>0</v>
      </c>
      <c r="V107" s="58">
        <f t="shared" si="117"/>
        <v>0</v>
      </c>
      <c r="W107" s="58">
        <f t="shared" si="117"/>
        <v>0</v>
      </c>
      <c r="X107" s="58">
        <f t="shared" si="117"/>
        <v>0</v>
      </c>
      <c r="Y107" s="58">
        <f t="shared" si="117"/>
        <v>0</v>
      </c>
      <c r="Z107" s="58">
        <f t="shared" si="117"/>
        <v>0</v>
      </c>
      <c r="AA107" s="58">
        <f t="shared" si="117"/>
        <v>0</v>
      </c>
      <c r="AB107" s="58">
        <f t="shared" si="117"/>
        <v>0</v>
      </c>
      <c r="AC107" s="58">
        <f t="shared" si="117"/>
        <v>0</v>
      </c>
      <c r="AD107" s="58">
        <f t="shared" si="117"/>
        <v>0</v>
      </c>
      <c r="AE107" s="58">
        <f t="shared" si="117"/>
        <v>0</v>
      </c>
      <c r="AF107" s="90"/>
    </row>
    <row r="108" spans="1:32" ht="18.75" x14ac:dyDescent="0.3">
      <c r="A108" s="15" t="s">
        <v>33</v>
      </c>
      <c r="B108" s="47">
        <f>H108+J108+L108+N108+P108+R108+T108+V108+X108+Z108+AB108+AD108</f>
        <v>569.4</v>
      </c>
      <c r="C108" s="600">
        <f>H108</f>
        <v>0</v>
      </c>
      <c r="D108" s="600">
        <f>D106</f>
        <v>0</v>
      </c>
      <c r="E108" s="600">
        <f>I108</f>
        <v>0</v>
      </c>
      <c r="F108" s="600">
        <f t="shared" si="115"/>
        <v>0</v>
      </c>
      <c r="G108" s="600" t="e">
        <f t="shared" si="116"/>
        <v>#DIV/0!</v>
      </c>
      <c r="H108" s="600">
        <v>0</v>
      </c>
      <c r="I108" s="601">
        <v>0</v>
      </c>
      <c r="J108" s="601">
        <v>0</v>
      </c>
      <c r="K108" s="601">
        <v>0</v>
      </c>
      <c r="L108" s="90">
        <v>0</v>
      </c>
      <c r="M108" s="90">
        <v>0</v>
      </c>
      <c r="N108" s="90"/>
      <c r="O108" s="90"/>
      <c r="P108" s="90">
        <v>569.4</v>
      </c>
      <c r="Q108" s="90"/>
      <c r="R108" s="90"/>
      <c r="S108" s="90"/>
      <c r="T108" s="90"/>
      <c r="U108" s="90"/>
      <c r="V108" s="90"/>
      <c r="W108" s="90"/>
      <c r="X108" s="90"/>
      <c r="Y108" s="90"/>
      <c r="Z108" s="90"/>
      <c r="AA108" s="90"/>
      <c r="AB108" s="90"/>
      <c r="AC108" s="90"/>
      <c r="AD108" s="90"/>
      <c r="AE108" s="90"/>
      <c r="AF108" s="90"/>
    </row>
    <row r="109" spans="1:32" ht="18.75" x14ac:dyDescent="0.3">
      <c r="A109" s="56" t="s">
        <v>62</v>
      </c>
      <c r="B109" s="90"/>
      <c r="C109" s="601"/>
      <c r="D109" s="601"/>
      <c r="E109" s="601"/>
      <c r="F109" s="601"/>
      <c r="G109" s="601"/>
      <c r="H109" s="601"/>
      <c r="I109" s="600"/>
      <c r="J109" s="600"/>
      <c r="K109" s="600"/>
      <c r="L109" s="47"/>
      <c r="M109" s="47"/>
      <c r="N109" s="47"/>
      <c r="O109" s="90"/>
      <c r="P109" s="90"/>
      <c r="Q109" s="90"/>
      <c r="R109" s="90"/>
      <c r="S109" s="90"/>
      <c r="T109" s="90"/>
      <c r="U109" s="90"/>
      <c r="V109" s="90"/>
      <c r="W109" s="90"/>
      <c r="X109" s="90"/>
      <c r="Y109" s="90"/>
      <c r="Z109" s="90"/>
      <c r="AA109" s="90"/>
      <c r="AB109" s="90"/>
      <c r="AC109" s="90"/>
      <c r="AD109" s="90"/>
      <c r="AE109" s="90"/>
      <c r="AF109" s="90"/>
    </row>
    <row r="110" spans="1:32" ht="18.75" x14ac:dyDescent="0.3">
      <c r="A110" s="19" t="s">
        <v>31</v>
      </c>
      <c r="B110" s="58">
        <f>B111</f>
        <v>569.4</v>
      </c>
      <c r="C110" s="601">
        <f t="shared" ref="C110:E110" si="118">C111</f>
        <v>0</v>
      </c>
      <c r="D110" s="601">
        <f t="shared" si="118"/>
        <v>0</v>
      </c>
      <c r="E110" s="601">
        <f t="shared" si="118"/>
        <v>0</v>
      </c>
      <c r="F110" s="600">
        <f t="shared" ref="F110:F111" si="119">E110/B110*100</f>
        <v>0</v>
      </c>
      <c r="G110" s="600" t="e">
        <f t="shared" ref="G110:G111" si="120">E110/C110*100</f>
        <v>#DIV/0!</v>
      </c>
      <c r="H110" s="601">
        <v>0</v>
      </c>
      <c r="I110" s="601">
        <v>0</v>
      </c>
      <c r="J110" s="601">
        <v>0</v>
      </c>
      <c r="K110" s="601">
        <v>0</v>
      </c>
      <c r="L110" s="58">
        <v>0</v>
      </c>
      <c r="M110" s="58">
        <v>0</v>
      </c>
      <c r="N110" s="58"/>
      <c r="O110" s="58"/>
      <c r="P110" s="58"/>
      <c r="Q110" s="58"/>
      <c r="R110" s="58"/>
      <c r="S110" s="58"/>
      <c r="T110" s="58"/>
      <c r="U110" s="58"/>
      <c r="V110" s="58"/>
      <c r="W110" s="58"/>
      <c r="X110" s="58"/>
      <c r="Y110" s="58"/>
      <c r="Z110" s="58"/>
      <c r="AA110" s="58"/>
      <c r="AB110" s="58"/>
      <c r="AC110" s="58"/>
      <c r="AD110" s="58"/>
      <c r="AE110" s="58"/>
      <c r="AF110" s="90"/>
    </row>
    <row r="111" spans="1:32" ht="18.75" x14ac:dyDescent="0.3">
      <c r="A111" s="15" t="s">
        <v>33</v>
      </c>
      <c r="B111" s="58">
        <f>B108</f>
        <v>569.4</v>
      </c>
      <c r="C111" s="601">
        <f t="shared" ref="C111:E111" si="121">C108</f>
        <v>0</v>
      </c>
      <c r="D111" s="601">
        <f t="shared" si="121"/>
        <v>0</v>
      </c>
      <c r="E111" s="601">
        <f t="shared" si="121"/>
        <v>0</v>
      </c>
      <c r="F111" s="600">
        <f t="shared" si="119"/>
        <v>0</v>
      </c>
      <c r="G111" s="600" t="e">
        <f t="shared" si="120"/>
        <v>#DIV/0!</v>
      </c>
      <c r="H111" s="601">
        <v>0</v>
      </c>
      <c r="I111" s="601">
        <v>0</v>
      </c>
      <c r="J111" s="601">
        <v>0</v>
      </c>
      <c r="K111" s="601">
        <v>0</v>
      </c>
      <c r="L111" s="58">
        <v>0</v>
      </c>
      <c r="M111" s="58">
        <v>0</v>
      </c>
      <c r="N111" s="58"/>
      <c r="O111" s="58"/>
      <c r="P111" s="58"/>
      <c r="Q111" s="58"/>
      <c r="R111" s="58"/>
      <c r="S111" s="58"/>
      <c r="T111" s="58"/>
      <c r="U111" s="58"/>
      <c r="V111" s="58"/>
      <c r="W111" s="58"/>
      <c r="X111" s="58"/>
      <c r="Y111" s="58"/>
      <c r="Z111" s="58"/>
      <c r="AA111" s="58"/>
      <c r="AB111" s="58"/>
      <c r="AC111" s="58"/>
      <c r="AD111" s="58"/>
      <c r="AE111" s="58"/>
      <c r="AF111" s="90"/>
    </row>
    <row r="112" spans="1:32" ht="37.5" x14ac:dyDescent="0.3">
      <c r="A112" s="87" t="s">
        <v>76</v>
      </c>
      <c r="B112" s="90"/>
      <c r="C112" s="601"/>
      <c r="D112" s="601"/>
      <c r="E112" s="601"/>
      <c r="F112" s="601"/>
      <c r="G112" s="601"/>
      <c r="H112" s="601"/>
      <c r="I112" s="601"/>
      <c r="J112" s="601"/>
      <c r="K112" s="601"/>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18.75" x14ac:dyDescent="0.3">
      <c r="A113" s="88" t="s">
        <v>31</v>
      </c>
      <c r="B113" s="58">
        <f>B114</f>
        <v>569.4</v>
      </c>
      <c r="C113" s="601">
        <f t="shared" ref="C113:E113" si="122">C114</f>
        <v>0</v>
      </c>
      <c r="D113" s="601">
        <f t="shared" si="122"/>
        <v>0</v>
      </c>
      <c r="E113" s="601">
        <f t="shared" si="122"/>
        <v>0</v>
      </c>
      <c r="F113" s="600">
        <f t="shared" ref="F113:F122" si="123">E113/B113*100</f>
        <v>0</v>
      </c>
      <c r="G113" s="600" t="e">
        <f t="shared" ref="G113:G122" si="124">E113/C113*100</f>
        <v>#DIV/0!</v>
      </c>
      <c r="H113" s="601">
        <f>H114</f>
        <v>0</v>
      </c>
      <c r="I113" s="601">
        <f t="shared" ref="I113:AE113" si="125">I114</f>
        <v>0</v>
      </c>
      <c r="J113" s="601">
        <f t="shared" si="125"/>
        <v>0</v>
      </c>
      <c r="K113" s="601">
        <f t="shared" si="125"/>
        <v>0</v>
      </c>
      <c r="L113" s="58">
        <f t="shared" si="125"/>
        <v>0</v>
      </c>
      <c r="M113" s="58">
        <f t="shared" si="125"/>
        <v>0</v>
      </c>
      <c r="N113" s="58">
        <f t="shared" si="125"/>
        <v>0</v>
      </c>
      <c r="O113" s="58">
        <f t="shared" si="125"/>
        <v>0</v>
      </c>
      <c r="P113" s="58">
        <f t="shared" si="125"/>
        <v>0</v>
      </c>
      <c r="Q113" s="58">
        <f t="shared" si="125"/>
        <v>0</v>
      </c>
      <c r="R113" s="58">
        <f t="shared" si="125"/>
        <v>0</v>
      </c>
      <c r="S113" s="58">
        <f t="shared" si="125"/>
        <v>0</v>
      </c>
      <c r="T113" s="58">
        <f t="shared" si="125"/>
        <v>0</v>
      </c>
      <c r="U113" s="58">
        <f t="shared" si="125"/>
        <v>0</v>
      </c>
      <c r="V113" s="58">
        <f t="shared" si="125"/>
        <v>0</v>
      </c>
      <c r="W113" s="58">
        <f t="shared" si="125"/>
        <v>0</v>
      </c>
      <c r="X113" s="58">
        <f t="shared" si="125"/>
        <v>0</v>
      </c>
      <c r="Y113" s="58">
        <f t="shared" si="125"/>
        <v>0</v>
      </c>
      <c r="Z113" s="58">
        <f t="shared" si="125"/>
        <v>0</v>
      </c>
      <c r="AA113" s="58">
        <f t="shared" si="125"/>
        <v>0</v>
      </c>
      <c r="AB113" s="58">
        <f t="shared" si="125"/>
        <v>0</v>
      </c>
      <c r="AC113" s="58">
        <f t="shared" si="125"/>
        <v>0</v>
      </c>
      <c r="AD113" s="58">
        <f t="shared" si="125"/>
        <v>0</v>
      </c>
      <c r="AE113" s="58">
        <f t="shared" si="125"/>
        <v>0</v>
      </c>
      <c r="AF113" s="90"/>
    </row>
    <row r="114" spans="1:32" ht="18.75" x14ac:dyDescent="0.3">
      <c r="A114" s="82" t="s">
        <v>33</v>
      </c>
      <c r="B114" s="58">
        <f>B111</f>
        <v>569.4</v>
      </c>
      <c r="C114" s="601">
        <f t="shared" ref="C114:E114" si="126">C111</f>
        <v>0</v>
      </c>
      <c r="D114" s="601">
        <f t="shared" si="126"/>
        <v>0</v>
      </c>
      <c r="E114" s="601">
        <f t="shared" si="126"/>
        <v>0</v>
      </c>
      <c r="F114" s="600">
        <f t="shared" si="123"/>
        <v>0</v>
      </c>
      <c r="G114" s="600" t="e">
        <f t="shared" si="124"/>
        <v>#DIV/0!</v>
      </c>
      <c r="H114" s="601">
        <v>0</v>
      </c>
      <c r="I114" s="601">
        <v>0</v>
      </c>
      <c r="J114" s="601">
        <v>0</v>
      </c>
      <c r="K114" s="601">
        <v>0</v>
      </c>
      <c r="L114" s="58">
        <v>0</v>
      </c>
      <c r="M114" s="58">
        <v>0</v>
      </c>
      <c r="N114" s="58"/>
      <c r="O114" s="58"/>
      <c r="P114" s="58"/>
      <c r="Q114" s="58"/>
      <c r="R114" s="58"/>
      <c r="S114" s="58"/>
      <c r="T114" s="58"/>
      <c r="U114" s="58"/>
      <c r="V114" s="58"/>
      <c r="W114" s="58"/>
      <c r="X114" s="58"/>
      <c r="Y114" s="58"/>
      <c r="Z114" s="58"/>
      <c r="AA114" s="58"/>
      <c r="AB114" s="58"/>
      <c r="AC114" s="58"/>
      <c r="AD114" s="58"/>
      <c r="AE114" s="58"/>
      <c r="AF114" s="90"/>
    </row>
    <row r="115" spans="1:32" ht="37.5" x14ac:dyDescent="0.3">
      <c r="A115" s="56" t="s">
        <v>63</v>
      </c>
      <c r="B115" s="58">
        <f>B116+B117</f>
        <v>1666.9</v>
      </c>
      <c r="C115" s="601">
        <f t="shared" ref="C115:E115" si="127">C116+C117</f>
        <v>0</v>
      </c>
      <c r="D115" s="601">
        <f t="shared" si="127"/>
        <v>0</v>
      </c>
      <c r="E115" s="601">
        <f t="shared" si="127"/>
        <v>0</v>
      </c>
      <c r="F115" s="600">
        <f t="shared" si="123"/>
        <v>0</v>
      </c>
      <c r="G115" s="600" t="e">
        <f t="shared" si="124"/>
        <v>#DIV/0!</v>
      </c>
      <c r="H115" s="601">
        <f>H116+H117</f>
        <v>0</v>
      </c>
      <c r="I115" s="601">
        <f t="shared" ref="I115:AE115" si="128">I116+I117</f>
        <v>0</v>
      </c>
      <c r="J115" s="601">
        <f t="shared" si="128"/>
        <v>0</v>
      </c>
      <c r="K115" s="601">
        <f t="shared" si="128"/>
        <v>0</v>
      </c>
      <c r="L115" s="58">
        <f t="shared" si="128"/>
        <v>350</v>
      </c>
      <c r="M115" s="58">
        <f t="shared" si="128"/>
        <v>122.8</v>
      </c>
      <c r="N115" s="58">
        <f t="shared" si="128"/>
        <v>0</v>
      </c>
      <c r="O115" s="58">
        <f t="shared" si="128"/>
        <v>0</v>
      </c>
      <c r="P115" s="58">
        <f t="shared" si="128"/>
        <v>0</v>
      </c>
      <c r="Q115" s="58">
        <f t="shared" si="128"/>
        <v>0</v>
      </c>
      <c r="R115" s="58">
        <f t="shared" si="128"/>
        <v>0</v>
      </c>
      <c r="S115" s="58">
        <f t="shared" si="128"/>
        <v>0</v>
      </c>
      <c r="T115" s="58">
        <f t="shared" si="128"/>
        <v>0</v>
      </c>
      <c r="U115" s="58">
        <f t="shared" si="128"/>
        <v>0</v>
      </c>
      <c r="V115" s="58">
        <f t="shared" si="128"/>
        <v>0</v>
      </c>
      <c r="W115" s="58">
        <f t="shared" si="128"/>
        <v>0</v>
      </c>
      <c r="X115" s="58">
        <f t="shared" si="128"/>
        <v>0</v>
      </c>
      <c r="Y115" s="58">
        <f t="shared" si="128"/>
        <v>0</v>
      </c>
      <c r="Z115" s="58">
        <f t="shared" si="128"/>
        <v>302</v>
      </c>
      <c r="AA115" s="58">
        <f t="shared" si="128"/>
        <v>0</v>
      </c>
      <c r="AB115" s="58">
        <f t="shared" si="128"/>
        <v>309.8</v>
      </c>
      <c r="AC115" s="58">
        <f t="shared" si="128"/>
        <v>0</v>
      </c>
      <c r="AD115" s="58">
        <f t="shared" si="128"/>
        <v>0</v>
      </c>
      <c r="AE115" s="58">
        <f t="shared" si="128"/>
        <v>0</v>
      </c>
      <c r="AF115" s="90"/>
    </row>
    <row r="116" spans="1:32" ht="18.75" x14ac:dyDescent="0.3">
      <c r="A116" s="15" t="s">
        <v>97</v>
      </c>
      <c r="B116" s="58">
        <f>B52</f>
        <v>195.6</v>
      </c>
      <c r="C116" s="601">
        <f t="shared" ref="C116:E116" si="129">C52</f>
        <v>0</v>
      </c>
      <c r="D116" s="601">
        <f t="shared" si="129"/>
        <v>0</v>
      </c>
      <c r="E116" s="601">
        <f t="shared" si="129"/>
        <v>0</v>
      </c>
      <c r="F116" s="600"/>
      <c r="G116" s="600"/>
      <c r="H116" s="601">
        <f>H52</f>
        <v>0</v>
      </c>
      <c r="I116" s="601">
        <f t="shared" ref="I116:AE116" si="130">I52</f>
        <v>0</v>
      </c>
      <c r="J116" s="601">
        <f t="shared" si="130"/>
        <v>0</v>
      </c>
      <c r="K116" s="601">
        <f t="shared" si="130"/>
        <v>0</v>
      </c>
      <c r="L116" s="58">
        <f t="shared" si="130"/>
        <v>97.8</v>
      </c>
      <c r="M116" s="58">
        <f t="shared" si="130"/>
        <v>97.8</v>
      </c>
      <c r="N116" s="58">
        <f t="shared" si="130"/>
        <v>0</v>
      </c>
      <c r="O116" s="58">
        <f t="shared" si="130"/>
        <v>0</v>
      </c>
      <c r="P116" s="58">
        <f t="shared" si="130"/>
        <v>0</v>
      </c>
      <c r="Q116" s="58">
        <f t="shared" si="130"/>
        <v>0</v>
      </c>
      <c r="R116" s="58">
        <f t="shared" si="130"/>
        <v>0</v>
      </c>
      <c r="S116" s="58">
        <f t="shared" si="130"/>
        <v>0</v>
      </c>
      <c r="T116" s="58">
        <f t="shared" si="130"/>
        <v>0</v>
      </c>
      <c r="U116" s="58">
        <f t="shared" si="130"/>
        <v>0</v>
      </c>
      <c r="V116" s="58">
        <f t="shared" si="130"/>
        <v>0</v>
      </c>
      <c r="W116" s="58">
        <f t="shared" si="130"/>
        <v>0</v>
      </c>
      <c r="X116" s="58">
        <f t="shared" si="130"/>
        <v>0</v>
      </c>
      <c r="Y116" s="58">
        <f t="shared" si="130"/>
        <v>0</v>
      </c>
      <c r="Z116" s="58">
        <f t="shared" si="130"/>
        <v>97.8</v>
      </c>
      <c r="AA116" s="58">
        <f t="shared" si="130"/>
        <v>0</v>
      </c>
      <c r="AB116" s="58">
        <f t="shared" si="130"/>
        <v>0</v>
      </c>
      <c r="AC116" s="58">
        <f t="shared" si="130"/>
        <v>0</v>
      </c>
      <c r="AD116" s="58">
        <f t="shared" si="130"/>
        <v>0</v>
      </c>
      <c r="AE116" s="58">
        <f t="shared" si="130"/>
        <v>0</v>
      </c>
      <c r="AF116" s="90"/>
    </row>
    <row r="117" spans="1:32" ht="18.75" x14ac:dyDescent="0.3">
      <c r="A117" s="15" t="s">
        <v>33</v>
      </c>
      <c r="B117" s="58">
        <f>B53+B100+B111</f>
        <v>1471.3000000000002</v>
      </c>
      <c r="C117" s="601">
        <f t="shared" ref="C117:E117" si="131">C53+C100+C111</f>
        <v>0</v>
      </c>
      <c r="D117" s="601">
        <f t="shared" si="131"/>
        <v>0</v>
      </c>
      <c r="E117" s="601">
        <f t="shared" si="131"/>
        <v>0</v>
      </c>
      <c r="F117" s="600">
        <f t="shared" si="123"/>
        <v>0</v>
      </c>
      <c r="G117" s="600" t="e">
        <f t="shared" si="124"/>
        <v>#DIV/0!</v>
      </c>
      <c r="H117" s="601">
        <f>H53+H100+H111</f>
        <v>0</v>
      </c>
      <c r="I117" s="601">
        <f t="shared" ref="I117:AE117" si="132">I53+I100+I111</f>
        <v>0</v>
      </c>
      <c r="J117" s="601">
        <f t="shared" si="132"/>
        <v>0</v>
      </c>
      <c r="K117" s="601">
        <f t="shared" si="132"/>
        <v>0</v>
      </c>
      <c r="L117" s="58">
        <f t="shared" si="132"/>
        <v>252.2</v>
      </c>
      <c r="M117" s="58">
        <f t="shared" si="132"/>
        <v>25</v>
      </c>
      <c r="N117" s="58">
        <f t="shared" si="132"/>
        <v>0</v>
      </c>
      <c r="O117" s="58">
        <f t="shared" si="132"/>
        <v>0</v>
      </c>
      <c r="P117" s="58">
        <f t="shared" si="132"/>
        <v>0</v>
      </c>
      <c r="Q117" s="58">
        <f t="shared" si="132"/>
        <v>0</v>
      </c>
      <c r="R117" s="58">
        <f t="shared" si="132"/>
        <v>0</v>
      </c>
      <c r="S117" s="58">
        <f t="shared" si="132"/>
        <v>0</v>
      </c>
      <c r="T117" s="58">
        <f t="shared" si="132"/>
        <v>0</v>
      </c>
      <c r="U117" s="58">
        <f t="shared" si="132"/>
        <v>0</v>
      </c>
      <c r="V117" s="58">
        <f t="shared" si="132"/>
        <v>0</v>
      </c>
      <c r="W117" s="58">
        <f t="shared" si="132"/>
        <v>0</v>
      </c>
      <c r="X117" s="58">
        <f t="shared" si="132"/>
        <v>0</v>
      </c>
      <c r="Y117" s="58">
        <f t="shared" si="132"/>
        <v>0</v>
      </c>
      <c r="Z117" s="58">
        <f t="shared" si="132"/>
        <v>204.2</v>
      </c>
      <c r="AA117" s="58">
        <f t="shared" si="132"/>
        <v>0</v>
      </c>
      <c r="AB117" s="58">
        <f t="shared" si="132"/>
        <v>309.8</v>
      </c>
      <c r="AC117" s="58">
        <f t="shared" si="132"/>
        <v>0</v>
      </c>
      <c r="AD117" s="58">
        <f t="shared" si="132"/>
        <v>0</v>
      </c>
      <c r="AE117" s="58">
        <f t="shared" si="132"/>
        <v>0</v>
      </c>
      <c r="AF117" s="90"/>
    </row>
    <row r="118" spans="1:32" ht="37.5" x14ac:dyDescent="0.3">
      <c r="A118" s="92" t="s">
        <v>130</v>
      </c>
      <c r="B118" s="58">
        <f>B54</f>
        <v>456.4</v>
      </c>
      <c r="C118" s="601">
        <f>C54</f>
        <v>0</v>
      </c>
      <c r="D118" s="601">
        <f>D54</f>
        <v>0</v>
      </c>
      <c r="E118" s="601">
        <f>E54</f>
        <v>25</v>
      </c>
      <c r="F118" s="600">
        <f t="shared" si="123"/>
        <v>5.4776511831726555</v>
      </c>
      <c r="G118" s="600" t="e">
        <f t="shared" si="124"/>
        <v>#DIV/0!</v>
      </c>
      <c r="H118" s="601">
        <f t="shared" ref="H118:AE118" si="133">H54</f>
        <v>0</v>
      </c>
      <c r="I118" s="601">
        <f t="shared" si="133"/>
        <v>0</v>
      </c>
      <c r="J118" s="601">
        <f t="shared" si="133"/>
        <v>0</v>
      </c>
      <c r="K118" s="601">
        <f t="shared" si="133"/>
        <v>0</v>
      </c>
      <c r="L118" s="58">
        <f t="shared" si="133"/>
        <v>228.2</v>
      </c>
      <c r="M118" s="58">
        <f t="shared" si="133"/>
        <v>25</v>
      </c>
      <c r="N118" s="58">
        <f t="shared" si="133"/>
        <v>0</v>
      </c>
      <c r="O118" s="58">
        <f t="shared" si="133"/>
        <v>0</v>
      </c>
      <c r="P118" s="58">
        <f t="shared" si="133"/>
        <v>0</v>
      </c>
      <c r="Q118" s="58">
        <f t="shared" si="133"/>
        <v>0</v>
      </c>
      <c r="R118" s="58">
        <f t="shared" si="133"/>
        <v>0</v>
      </c>
      <c r="S118" s="58">
        <f t="shared" si="133"/>
        <v>0</v>
      </c>
      <c r="T118" s="58">
        <f t="shared" si="133"/>
        <v>0</v>
      </c>
      <c r="U118" s="58">
        <f t="shared" si="133"/>
        <v>0</v>
      </c>
      <c r="V118" s="58">
        <f t="shared" si="133"/>
        <v>0</v>
      </c>
      <c r="W118" s="58">
        <f t="shared" si="133"/>
        <v>0</v>
      </c>
      <c r="X118" s="58">
        <f t="shared" si="133"/>
        <v>0</v>
      </c>
      <c r="Y118" s="58">
        <f t="shared" si="133"/>
        <v>0</v>
      </c>
      <c r="Z118" s="58">
        <f t="shared" si="133"/>
        <v>228.2</v>
      </c>
      <c r="AA118" s="58">
        <f t="shared" si="133"/>
        <v>0</v>
      </c>
      <c r="AB118" s="58">
        <f t="shared" si="133"/>
        <v>0</v>
      </c>
      <c r="AC118" s="58">
        <f t="shared" si="133"/>
        <v>0</v>
      </c>
      <c r="AD118" s="58">
        <f t="shared" si="133"/>
        <v>0</v>
      </c>
      <c r="AE118" s="58">
        <f t="shared" si="133"/>
        <v>0</v>
      </c>
      <c r="AF118" s="90"/>
    </row>
    <row r="119" spans="1:32" ht="37.5" x14ac:dyDescent="0.3">
      <c r="A119" s="57" t="s">
        <v>64</v>
      </c>
      <c r="B119" s="58">
        <f>B120+B121</f>
        <v>1666.9</v>
      </c>
      <c r="C119" s="601">
        <f t="shared" ref="C119:E119" si="134">C120+C121+C122</f>
        <v>0</v>
      </c>
      <c r="D119" s="601">
        <f t="shared" si="134"/>
        <v>0</v>
      </c>
      <c r="E119" s="601">
        <f t="shared" si="134"/>
        <v>25</v>
      </c>
      <c r="F119" s="600">
        <f t="shared" si="123"/>
        <v>1.4997900293958846</v>
      </c>
      <c r="G119" s="600" t="e">
        <f t="shared" si="124"/>
        <v>#DIV/0!</v>
      </c>
      <c r="H119" s="601">
        <f>H120+H121+H122</f>
        <v>0</v>
      </c>
      <c r="I119" s="601">
        <f t="shared" ref="I119:AE119" si="135">I120+I121+I122</f>
        <v>0</v>
      </c>
      <c r="J119" s="601">
        <f t="shared" si="135"/>
        <v>0</v>
      </c>
      <c r="K119" s="601">
        <f t="shared" si="135"/>
        <v>0</v>
      </c>
      <c r="L119" s="58">
        <f t="shared" si="135"/>
        <v>578.20000000000005</v>
      </c>
      <c r="M119" s="58">
        <v>122.8</v>
      </c>
      <c r="N119" s="58">
        <f t="shared" si="135"/>
        <v>0</v>
      </c>
      <c r="O119" s="58">
        <f t="shared" si="135"/>
        <v>0</v>
      </c>
      <c r="P119" s="58">
        <f t="shared" si="135"/>
        <v>0</v>
      </c>
      <c r="Q119" s="58">
        <f t="shared" si="135"/>
        <v>0</v>
      </c>
      <c r="R119" s="58">
        <f t="shared" si="135"/>
        <v>0</v>
      </c>
      <c r="S119" s="58">
        <f t="shared" si="135"/>
        <v>0</v>
      </c>
      <c r="T119" s="58">
        <f t="shared" si="135"/>
        <v>0</v>
      </c>
      <c r="U119" s="58">
        <f t="shared" si="135"/>
        <v>0</v>
      </c>
      <c r="V119" s="58">
        <f t="shared" si="135"/>
        <v>0</v>
      </c>
      <c r="W119" s="58">
        <f t="shared" si="135"/>
        <v>0</v>
      </c>
      <c r="X119" s="58">
        <f t="shared" si="135"/>
        <v>0</v>
      </c>
      <c r="Y119" s="58">
        <f t="shared" si="135"/>
        <v>0</v>
      </c>
      <c r="Z119" s="58">
        <f t="shared" si="135"/>
        <v>530.20000000000005</v>
      </c>
      <c r="AA119" s="58">
        <f t="shared" si="135"/>
        <v>0</v>
      </c>
      <c r="AB119" s="58">
        <f t="shared" si="135"/>
        <v>309.8</v>
      </c>
      <c r="AC119" s="58">
        <f t="shared" si="135"/>
        <v>0</v>
      </c>
      <c r="AD119" s="58">
        <f t="shared" si="135"/>
        <v>0</v>
      </c>
      <c r="AE119" s="58">
        <f t="shared" si="135"/>
        <v>0</v>
      </c>
      <c r="AF119" s="90"/>
    </row>
    <row r="120" spans="1:32" ht="18.75" x14ac:dyDescent="0.3">
      <c r="A120" s="15" t="s">
        <v>97</v>
      </c>
      <c r="B120" s="58">
        <f>B116</f>
        <v>195.6</v>
      </c>
      <c r="C120" s="601">
        <f t="shared" ref="C120:E120" si="136">C116</f>
        <v>0</v>
      </c>
      <c r="D120" s="601">
        <f t="shared" si="136"/>
        <v>0</v>
      </c>
      <c r="E120" s="601">
        <f t="shared" si="136"/>
        <v>0</v>
      </c>
      <c r="F120" s="600"/>
      <c r="G120" s="600"/>
      <c r="H120" s="601">
        <f>H116</f>
        <v>0</v>
      </c>
      <c r="I120" s="601">
        <f t="shared" ref="I120:AE120" si="137">I116</f>
        <v>0</v>
      </c>
      <c r="J120" s="601">
        <f t="shared" si="137"/>
        <v>0</v>
      </c>
      <c r="K120" s="601">
        <f t="shared" si="137"/>
        <v>0</v>
      </c>
      <c r="L120" s="58">
        <f t="shared" si="137"/>
        <v>97.8</v>
      </c>
      <c r="M120" s="58">
        <f t="shared" si="137"/>
        <v>97.8</v>
      </c>
      <c r="N120" s="58">
        <f t="shared" si="137"/>
        <v>0</v>
      </c>
      <c r="O120" s="58">
        <f t="shared" si="137"/>
        <v>0</v>
      </c>
      <c r="P120" s="58">
        <f t="shared" si="137"/>
        <v>0</v>
      </c>
      <c r="Q120" s="58">
        <f t="shared" si="137"/>
        <v>0</v>
      </c>
      <c r="R120" s="58">
        <f t="shared" si="137"/>
        <v>0</v>
      </c>
      <c r="S120" s="58">
        <f t="shared" si="137"/>
        <v>0</v>
      </c>
      <c r="T120" s="58">
        <f t="shared" si="137"/>
        <v>0</v>
      </c>
      <c r="U120" s="58">
        <f t="shared" si="137"/>
        <v>0</v>
      </c>
      <c r="V120" s="58">
        <f t="shared" si="137"/>
        <v>0</v>
      </c>
      <c r="W120" s="58">
        <f t="shared" si="137"/>
        <v>0</v>
      </c>
      <c r="X120" s="58">
        <f t="shared" si="137"/>
        <v>0</v>
      </c>
      <c r="Y120" s="58">
        <f t="shared" si="137"/>
        <v>0</v>
      </c>
      <c r="Z120" s="58">
        <f t="shared" si="137"/>
        <v>97.8</v>
      </c>
      <c r="AA120" s="58">
        <f t="shared" si="137"/>
        <v>0</v>
      </c>
      <c r="AB120" s="58">
        <f t="shared" si="137"/>
        <v>0</v>
      </c>
      <c r="AC120" s="58">
        <f t="shared" si="137"/>
        <v>0</v>
      </c>
      <c r="AD120" s="58">
        <f t="shared" si="137"/>
        <v>0</v>
      </c>
      <c r="AE120" s="58">
        <f t="shared" si="137"/>
        <v>0</v>
      </c>
      <c r="AF120" s="90"/>
    </row>
    <row r="121" spans="1:32" ht="18.75" x14ac:dyDescent="0.3">
      <c r="A121" s="15" t="s">
        <v>33</v>
      </c>
      <c r="B121" s="58">
        <f>B117</f>
        <v>1471.3000000000002</v>
      </c>
      <c r="C121" s="601">
        <f t="shared" ref="C121:E121" si="138">C117</f>
        <v>0</v>
      </c>
      <c r="D121" s="601">
        <f t="shared" si="138"/>
        <v>0</v>
      </c>
      <c r="E121" s="601">
        <f t="shared" si="138"/>
        <v>0</v>
      </c>
      <c r="F121" s="600">
        <f t="shared" si="123"/>
        <v>0</v>
      </c>
      <c r="G121" s="600" t="e">
        <f t="shared" si="124"/>
        <v>#DIV/0!</v>
      </c>
      <c r="H121" s="601">
        <f>H117</f>
        <v>0</v>
      </c>
      <c r="I121" s="601">
        <f t="shared" ref="I121:AE121" si="139">I117</f>
        <v>0</v>
      </c>
      <c r="J121" s="601">
        <f t="shared" si="139"/>
        <v>0</v>
      </c>
      <c r="K121" s="601">
        <f t="shared" si="139"/>
        <v>0</v>
      </c>
      <c r="L121" s="58">
        <f t="shared" si="139"/>
        <v>252.2</v>
      </c>
      <c r="M121" s="58">
        <f t="shared" si="139"/>
        <v>25</v>
      </c>
      <c r="N121" s="58">
        <f t="shared" si="139"/>
        <v>0</v>
      </c>
      <c r="O121" s="58">
        <f t="shared" si="139"/>
        <v>0</v>
      </c>
      <c r="P121" s="58">
        <f t="shared" si="139"/>
        <v>0</v>
      </c>
      <c r="Q121" s="58">
        <f t="shared" si="139"/>
        <v>0</v>
      </c>
      <c r="R121" s="58">
        <f t="shared" si="139"/>
        <v>0</v>
      </c>
      <c r="S121" s="58">
        <f t="shared" si="139"/>
        <v>0</v>
      </c>
      <c r="T121" s="58">
        <f t="shared" si="139"/>
        <v>0</v>
      </c>
      <c r="U121" s="58">
        <f t="shared" si="139"/>
        <v>0</v>
      </c>
      <c r="V121" s="58">
        <f t="shared" si="139"/>
        <v>0</v>
      </c>
      <c r="W121" s="58">
        <f t="shared" si="139"/>
        <v>0</v>
      </c>
      <c r="X121" s="58">
        <f t="shared" si="139"/>
        <v>0</v>
      </c>
      <c r="Y121" s="58">
        <f t="shared" si="139"/>
        <v>0</v>
      </c>
      <c r="Z121" s="58">
        <f t="shared" si="139"/>
        <v>204.2</v>
      </c>
      <c r="AA121" s="58">
        <f t="shared" si="139"/>
        <v>0</v>
      </c>
      <c r="AB121" s="58">
        <f t="shared" si="139"/>
        <v>309.8</v>
      </c>
      <c r="AC121" s="58">
        <f t="shared" si="139"/>
        <v>0</v>
      </c>
      <c r="AD121" s="58">
        <f t="shared" si="139"/>
        <v>0</v>
      </c>
      <c r="AE121" s="58">
        <f t="shared" si="139"/>
        <v>0</v>
      </c>
      <c r="AF121" s="90"/>
    </row>
    <row r="122" spans="1:32" ht="37.5" x14ac:dyDescent="0.3">
      <c r="A122" s="93" t="s">
        <v>130</v>
      </c>
      <c r="B122" s="58">
        <f>B118</f>
        <v>456.4</v>
      </c>
      <c r="C122" s="601">
        <f t="shared" ref="C122:E122" si="140">C118</f>
        <v>0</v>
      </c>
      <c r="D122" s="601">
        <f t="shared" si="140"/>
        <v>0</v>
      </c>
      <c r="E122" s="601">
        <f t="shared" si="140"/>
        <v>25</v>
      </c>
      <c r="F122" s="600">
        <f t="shared" si="123"/>
        <v>5.4776511831726555</v>
      </c>
      <c r="G122" s="600" t="e">
        <f t="shared" si="124"/>
        <v>#DIV/0!</v>
      </c>
      <c r="H122" s="601">
        <f>H118</f>
        <v>0</v>
      </c>
      <c r="I122" s="601">
        <f t="shared" ref="I122:AE122" si="141">I118</f>
        <v>0</v>
      </c>
      <c r="J122" s="601">
        <f t="shared" si="141"/>
        <v>0</v>
      </c>
      <c r="K122" s="601">
        <f t="shared" si="141"/>
        <v>0</v>
      </c>
      <c r="L122" s="58">
        <f t="shared" si="141"/>
        <v>228.2</v>
      </c>
      <c r="M122" s="58">
        <f t="shared" si="141"/>
        <v>25</v>
      </c>
      <c r="N122" s="58">
        <f t="shared" si="141"/>
        <v>0</v>
      </c>
      <c r="O122" s="58">
        <f t="shared" si="141"/>
        <v>0</v>
      </c>
      <c r="P122" s="58">
        <f t="shared" si="141"/>
        <v>0</v>
      </c>
      <c r="Q122" s="58">
        <f t="shared" si="141"/>
        <v>0</v>
      </c>
      <c r="R122" s="58">
        <f t="shared" si="141"/>
        <v>0</v>
      </c>
      <c r="S122" s="58">
        <f t="shared" si="141"/>
        <v>0</v>
      </c>
      <c r="T122" s="58">
        <f t="shared" si="141"/>
        <v>0</v>
      </c>
      <c r="U122" s="58">
        <f t="shared" si="141"/>
        <v>0</v>
      </c>
      <c r="V122" s="58">
        <f t="shared" si="141"/>
        <v>0</v>
      </c>
      <c r="W122" s="58">
        <f t="shared" si="141"/>
        <v>0</v>
      </c>
      <c r="X122" s="58">
        <f t="shared" si="141"/>
        <v>0</v>
      </c>
      <c r="Y122" s="58">
        <f t="shared" si="141"/>
        <v>0</v>
      </c>
      <c r="Z122" s="58">
        <f t="shared" si="141"/>
        <v>228.2</v>
      </c>
      <c r="AA122" s="58">
        <f t="shared" si="141"/>
        <v>0</v>
      </c>
      <c r="AB122" s="58">
        <f t="shared" si="141"/>
        <v>0</v>
      </c>
      <c r="AC122" s="58">
        <f t="shared" si="141"/>
        <v>0</v>
      </c>
      <c r="AD122" s="58">
        <f t="shared" si="141"/>
        <v>0</v>
      </c>
      <c r="AE122" s="58">
        <f t="shared" si="141"/>
        <v>0</v>
      </c>
      <c r="AF122" s="90"/>
    </row>
    <row r="123" spans="1:32" ht="18.75" x14ac:dyDescent="0.3">
      <c r="B123" s="61"/>
    </row>
    <row r="124" spans="1:32" x14ac:dyDescent="0.25">
      <c r="B124" s="76"/>
    </row>
    <row r="125" spans="1:32" x14ac:dyDescent="0.25">
      <c r="B125" s="76"/>
    </row>
    <row r="126" spans="1:32" ht="37.5" x14ac:dyDescent="0.3">
      <c r="A126" s="9" t="s">
        <v>71</v>
      </c>
      <c r="B126" s="26"/>
      <c r="C126" s="26"/>
      <c r="D126" s="23" t="s">
        <v>70</v>
      </c>
    </row>
    <row r="127" spans="1:32" ht="18.75" x14ac:dyDescent="0.3">
      <c r="A127" s="9"/>
      <c r="B127" s="20" t="s">
        <v>68</v>
      </c>
      <c r="C127" s="20"/>
      <c r="D127" s="22"/>
    </row>
    <row r="128" spans="1:32" ht="37.5" x14ac:dyDescent="0.3">
      <c r="A128" s="25" t="s">
        <v>69</v>
      </c>
      <c r="B128" s="25"/>
      <c r="C128" s="25"/>
      <c r="D128" s="9"/>
    </row>
  </sheetData>
  <customSheetViews>
    <customSheetView guid="{533DC55B-6AD4-4674-9488-685EF2039F3E}" scale="50" hiddenRows="1">
      <pane xSplit="1" ySplit="6" topLeftCell="T116" activePane="bottomRight" state="frozen"/>
      <selection pane="bottomRight" activeCell="AF39" sqref="AF39"/>
      <pageMargins left="0.7" right="0.7" top="0.75" bottom="0.75" header="0.3" footer="0.3"/>
      <pageSetup paperSize="9" orientation="portrait" r:id="rId1"/>
    </customSheetView>
    <customSheetView guid="{85F4575B-DBC5-482A-9916-255D8F0BC94E}" scale="50" hiddenRows="1">
      <pane xSplit="1" ySplit="6" topLeftCell="T7" activePane="bottomRight" state="frozen"/>
      <selection pane="bottomRight" activeCell="AF39" sqref="AF39"/>
      <pageMargins left="0.7" right="0.7" top="0.75" bottom="0.75" header="0.3" footer="0.3"/>
      <pageSetup paperSize="9" orientation="portrait" r:id="rId2"/>
    </customSheetView>
    <customSheetView guid="{B1BF08D1-D416-4B47-ADD0-4F59132DC9E8}" scale="50" hiddenRows="1">
      <pane xSplit="1" ySplit="6" topLeftCell="T7" activePane="bottomRight" state="frozen"/>
      <selection pane="bottomRight" activeCell="AF39" sqref="AF39"/>
      <pageMargins left="0.7" right="0.7" top="0.75" bottom="0.75" header="0.3" footer="0.3"/>
      <pageSetup paperSize="9" orientation="portrait" r:id="rId3"/>
    </customSheetView>
    <customSheetView guid="{4F41B9CC-959D-442C-80B0-1F0DB2C76D27}" scale="50" hiddenRows="1">
      <pane xSplit="1" ySplit="6" topLeftCell="T7" activePane="bottomRight" state="frozen"/>
      <selection pane="bottomRight" activeCell="AF39" sqref="AF39"/>
      <pageMargins left="0.7" right="0.7" top="0.75" bottom="0.75" header="0.3" footer="0.3"/>
      <pageSetup paperSize="9" orientation="portrait" r:id="rId4"/>
    </customSheetView>
    <customSheetView guid="{602C8EDB-B9EF-4C85-B0D5-0558C3A0ABAB}" scale="50" hiddenRows="1">
      <pane xSplit="1" ySplit="6" topLeftCell="T7" activePane="bottomRight" state="frozen"/>
      <selection pane="bottomRight" activeCell="AF39" sqref="AF39"/>
      <pageMargins left="0.7" right="0.7" top="0.75" bottom="0.75" header="0.3" footer="0.3"/>
      <pageSetup paperSize="9" orientation="portrait" r:id="rId5"/>
    </customSheetView>
    <customSheetView guid="{D01FA037-9AEC-4167-ADB8-2F327C01ECE6}" scale="50" hiddenRows="1">
      <pane xSplit="1" ySplit="6" topLeftCell="B113" activePane="bottomRight" state="frozen"/>
      <selection pane="bottomRight" activeCell="A126" sqref="A126:D128"/>
      <pageMargins left="0.7" right="0.7" top="0.75" bottom="0.75" header="0.3" footer="0.3"/>
      <pageSetup paperSize="9" orientation="portrait" r:id="rId6"/>
    </customSheetView>
    <customSheetView guid="{84867370-1F3E-4368-AF79-FBCE46FFFE92}" scale="50" hiddenRows="1">
      <pane xSplit="1" ySplit="6" topLeftCell="B113" activePane="bottomRight" state="frozen"/>
      <selection pane="bottomRight" activeCell="A126" sqref="A126:D128"/>
      <pageMargins left="0.7" right="0.7" top="0.75" bottom="0.75" header="0.3" footer="0.3"/>
      <pageSetup paperSize="9" orientation="portrait" r:id="rId7"/>
    </customSheetView>
    <customSheetView guid="{0C2B9C2A-7B94-41EF-A2E6-F8AC9A67DE25}" scale="50" hiddenRows="1">
      <pane xSplit="1" ySplit="6" topLeftCell="B101" activePane="bottomRight" state="frozen"/>
      <selection pane="bottomRight" activeCell="H129" sqref="H129"/>
      <pageMargins left="0.7" right="0.7" top="0.75" bottom="0.75" header="0.3" footer="0.3"/>
      <pageSetup paperSize="9" orientation="portrait" r:id="rId8"/>
    </customSheetView>
    <customSheetView guid="{47B983AB-FE5F-4725-860C-A2F29420596D}" scale="50" hiddenRows="1">
      <pane xSplit="1" ySplit="6" topLeftCell="B101" activePane="bottomRight" state="frozen"/>
      <selection pane="bottomRight" activeCell="H129" sqref="H129"/>
      <pageMargins left="0.7" right="0.7" top="0.75" bottom="0.75" header="0.3" footer="0.3"/>
      <pageSetup paperSize="9" orientation="portrait" r:id="rId9"/>
    </customSheetView>
    <customSheetView guid="{DAA8A688-7558-4B5B-8DBD-E2629BD9E9A8}" scale="50" hiddenRows="1">
      <pane xSplit="1" ySplit="6" topLeftCell="B104" activePane="bottomRight" state="frozen"/>
      <selection pane="bottomRight" activeCell="P107" sqref="P107"/>
      <pageMargins left="0.7" right="0.7" top="0.75" bottom="0.75" header="0.3" footer="0.3"/>
      <pageSetup paperSize="9" orientation="portrait" r:id="rId10"/>
    </customSheetView>
    <customSheetView guid="{BCD82A82-B724-4763-8580-D765356E09BA}" scale="60">
      <pane xSplit="1" ySplit="6" topLeftCell="H7" activePane="bottomRight" state="frozen"/>
      <selection pane="bottomRight" activeCell="A2" sqref="A2:AE2"/>
      <pageMargins left="0.7" right="0.7" top="0.75" bottom="0.75" header="0.3" footer="0.3"/>
      <pageSetup paperSize="9" orientation="portrait" r:id="rId11"/>
    </customSheetView>
    <customSheetView guid="{C236B307-BD63-48C4-A75F-B3F3717BF55C}" scale="60">
      <pane xSplit="1" ySplit="6" topLeftCell="B22" activePane="bottomRight" state="frozen"/>
      <selection pane="bottomRight" activeCell="B80" sqref="B80"/>
      <pageMargins left="0.7" right="0.7" top="0.75" bottom="0.75" header="0.3" footer="0.3"/>
      <pageSetup paperSize="9" orientation="portrait" r:id="rId12"/>
    </customSheetView>
    <customSheetView guid="{87218168-6C8E-4D5B-A5E5-DCCC26803AA3}" scale="50" hiddenRows="1">
      <pane xSplit="1" ySplit="6" topLeftCell="B42" activePane="bottomRight" state="frozen"/>
      <selection pane="bottomRight" activeCell="H116" sqref="H116"/>
      <pageMargins left="0.7" right="0.7" top="0.75" bottom="0.75" header="0.3" footer="0.3"/>
      <pageSetup paperSize="9" orientation="portrait" r:id="rId13"/>
    </customSheetView>
    <customSheetView guid="{874882D1-E741-4CCA-BF0D-E72FA60B771D}" scale="60">
      <pane xSplit="1" ySplit="6" topLeftCell="B22" activePane="bottomRight" state="frozen"/>
      <selection pane="bottomRight" activeCell="B80" sqref="B80"/>
      <pageMargins left="0.7" right="0.7" top="0.75" bottom="0.75" header="0.3" footer="0.3"/>
      <pageSetup paperSize="9" orientation="portrait" r:id="rId14"/>
    </customSheetView>
    <customSheetView guid="{B82BA08A-1A30-4F4D-A478-74A6BD09EA97}" scale="50" hiddenRows="1">
      <pane xSplit="1" ySplit="6" topLeftCell="B104" activePane="bottomRight" state="frozen"/>
      <selection pane="bottomRight" activeCell="P107" sqref="P107"/>
      <pageMargins left="0.7" right="0.7" top="0.75" bottom="0.75" header="0.3" footer="0.3"/>
      <pageSetup paperSize="9" orientation="portrait" r:id="rId15"/>
    </customSheetView>
    <customSheetView guid="{4D0DFB57-2CBA-42F2-9A97-C453A6851FBA}" scale="50" hiddenRows="1">
      <pane xSplit="1" ySplit="6" topLeftCell="B101" activePane="bottomRight" state="frozen"/>
      <selection pane="bottomRight" activeCell="H129" sqref="H129"/>
      <pageMargins left="0.7" right="0.7" top="0.75" bottom="0.75" header="0.3" footer="0.3"/>
      <pageSetup paperSize="9" orientation="portrait" r:id="rId16"/>
    </customSheetView>
    <customSheetView guid="{770624BF-07F3-44B6-94C3-4CC447CDD45C}" scale="50" hiddenRows="1">
      <pane xSplit="1" ySplit="6" topLeftCell="B101" activePane="bottomRight" state="frozen"/>
      <selection pane="bottomRight" activeCell="H129" sqref="H129"/>
      <pageMargins left="0.7" right="0.7" top="0.75" bottom="0.75" header="0.3" footer="0.3"/>
      <pageSetup paperSize="9" orientation="portrait" r:id="rId17"/>
    </customSheetView>
    <customSheetView guid="{E508E171-4ED9-4B07-84DF-DA28C60E1969}" scale="50" hiddenRows="1">
      <pane xSplit="1" ySplit="6" topLeftCell="B101" activePane="bottomRight" state="frozen"/>
      <selection pane="bottomRight" activeCell="H129" sqref="H129"/>
      <pageMargins left="0.7" right="0.7" top="0.75" bottom="0.75" header="0.3" footer="0.3"/>
      <pageSetup paperSize="9" orientation="portrait" r:id="rId18"/>
    </customSheetView>
    <customSheetView guid="{74870EE6-26B9-40F7-9DC9-260EF16D8959}" scale="50" hiddenRows="1">
      <pane xSplit="1" ySplit="6" topLeftCell="B64" activePane="bottomRight" state="frozen"/>
      <selection pane="bottomRight" activeCell="AF77" sqref="AF77"/>
      <pageMargins left="0.7" right="0.7" top="0.75" bottom="0.75" header="0.3" footer="0.3"/>
      <pageSetup paperSize="9" orientation="portrait" r:id="rId19"/>
    </customSheetView>
    <customSheetView guid="{009B3074-D8EC-4952-BF50-43CD64449612}" scale="50" hiddenRows="1">
      <pane xSplit="1" ySplit="6" topLeftCell="B64" activePane="bottomRight" state="frozen"/>
      <selection pane="bottomRight" activeCell="AF77" sqref="AF77"/>
      <pageMargins left="0.7" right="0.7" top="0.75" bottom="0.75" header="0.3" footer="0.3"/>
      <pageSetup paperSize="9" orientation="portrait" r:id="rId20"/>
    </customSheetView>
    <customSheetView guid="{F679EF4A-C5FD-4B86-B87B-D85968E0F2CA}" scale="50" hiddenRows="1">
      <pane xSplit="1" ySplit="6" topLeftCell="T7" activePane="bottomRight" state="frozen"/>
      <selection pane="bottomRight" activeCell="AF39" sqref="AF39"/>
      <pageMargins left="0.7" right="0.7" top="0.75" bottom="0.75" header="0.3" footer="0.3"/>
      <pageSetup paperSize="9" orientation="portrait" r:id="rId21"/>
    </customSheetView>
    <customSheetView guid="{959E901C-5DDE-42EE-AE94-AB8976B5E00B}" scale="50" hiddenRows="1">
      <pane xSplit="1" ySplit="6" topLeftCell="T7" activePane="bottomRight" state="frozen"/>
      <selection pane="bottomRight" activeCell="AF39" sqref="AF39"/>
      <pageMargins left="0.7" right="0.7" top="0.75" bottom="0.75" header="0.3" footer="0.3"/>
      <pageSetup paperSize="9" orientation="portrait" r:id="rId22"/>
    </customSheetView>
    <customSheetView guid="{69DABE6F-6182-4403-A4A2-969F10F1C13A}" scale="50" hiddenRows="1">
      <pane xSplit="1" ySplit="6" topLeftCell="T7" activePane="bottomRight" state="frozen"/>
      <selection pane="bottomRight" activeCell="AF39" sqref="AF39"/>
      <pageMargins left="0.7" right="0.7" top="0.75" bottom="0.75" header="0.3" footer="0.3"/>
      <pageSetup paperSize="9" orientation="portrait" r:id="rId23"/>
    </customSheetView>
    <customSheetView guid="{09C3E205-981E-4A4E-BE89-8B7044192060}" scale="50" hiddenRows="1">
      <pane xSplit="1" ySplit="6" topLeftCell="T7" activePane="bottomRight" state="frozen"/>
      <selection pane="bottomRight" activeCell="AF39" sqref="AF39"/>
      <pageMargins left="0.7" right="0.7" top="0.75" bottom="0.75" header="0.3" footer="0.3"/>
      <pageSetup paperSize="9" orientation="portrait" r:id="rId24"/>
    </customSheetView>
    <customSheetView guid="{6A602CB8-B24C-4ED4-B378-B27354BE0A1A}" scale="50" hiddenRows="1">
      <pane xSplit="1" ySplit="6" topLeftCell="T7" activePane="bottomRight" state="frozen"/>
      <selection pane="bottomRight" activeCell="AF39" sqref="AF39"/>
      <pageMargins left="0.7" right="0.7" top="0.75" bottom="0.75" header="0.3" footer="0.3"/>
      <pageSetup paperSize="9" orientation="portrait" r:id="rId25"/>
    </customSheetView>
    <customSheetView guid="{7C130984-112A-4861-AA43-E2940708E3DC}" scale="50" hiddenRows="1" state="hidden">
      <pane xSplit="1" ySplit="6" topLeftCell="T7" activePane="bottomRight" state="frozen"/>
      <selection pane="bottomRight" activeCell="AF39" sqref="AF39"/>
      <pageMargins left="0.7" right="0.7" top="0.75" bottom="0.75" header="0.3" footer="0.3"/>
      <pageSetup paperSize="9" orientation="portrait" r:id="rId26"/>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Оглавление!A1"/>
  </hyperlinks>
  <pageMargins left="0.7" right="0.7" top="0.75" bottom="0.75" header="0.3" footer="0.3"/>
  <pageSetup paperSize="9" orientation="portrait" r:id="rId2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15"/>
  <sheetViews>
    <sheetView tabSelected="1" zoomScale="75" zoomScaleNormal="75" workbookViewId="0">
      <pane xSplit="2" ySplit="11" topLeftCell="C46" activePane="bottomRight" state="frozen"/>
      <selection activeCell="F284" sqref="F284:G284"/>
      <selection pane="topRight" activeCell="F284" sqref="F284:G284"/>
      <selection pane="bottomLeft" activeCell="F284" sqref="F284:G284"/>
      <selection pane="bottomRight" activeCell="F315" sqref="F315"/>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911" t="s">
        <v>162</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row>
    <row r="6" spans="1:33" ht="50.25" customHeight="1" x14ac:dyDescent="0.3">
      <c r="A6" s="912" t="s">
        <v>163</v>
      </c>
      <c r="B6" s="95" t="s">
        <v>3</v>
      </c>
      <c r="C6" s="95" t="s">
        <v>3</v>
      </c>
      <c r="D6" s="95" t="s">
        <v>4</v>
      </c>
      <c r="E6" s="95" t="s">
        <v>5</v>
      </c>
      <c r="F6" s="913" t="s">
        <v>6</v>
      </c>
      <c r="G6" s="914"/>
      <c r="H6" s="913" t="s">
        <v>7</v>
      </c>
      <c r="I6" s="915"/>
      <c r="J6" s="913" t="s">
        <v>8</v>
      </c>
      <c r="K6" s="915"/>
      <c r="L6" s="913" t="s">
        <v>9</v>
      </c>
      <c r="M6" s="915"/>
      <c r="N6" s="913" t="s">
        <v>10</v>
      </c>
      <c r="O6" s="915"/>
      <c r="P6" s="913" t="s">
        <v>11</v>
      </c>
      <c r="Q6" s="915"/>
      <c r="R6" s="913" t="s">
        <v>12</v>
      </c>
      <c r="S6" s="915"/>
      <c r="T6" s="913" t="s">
        <v>13</v>
      </c>
      <c r="U6" s="915"/>
      <c r="V6" s="913" t="s">
        <v>14</v>
      </c>
      <c r="W6" s="915"/>
      <c r="X6" s="913" t="s">
        <v>15</v>
      </c>
      <c r="Y6" s="915"/>
      <c r="Z6" s="913" t="s">
        <v>16</v>
      </c>
      <c r="AA6" s="915"/>
      <c r="AB6" s="913" t="s">
        <v>17</v>
      </c>
      <c r="AC6" s="915"/>
      <c r="AD6" s="916" t="s">
        <v>18</v>
      </c>
      <c r="AE6" s="916"/>
      <c r="AF6" s="902" t="s">
        <v>19</v>
      </c>
    </row>
    <row r="7" spans="1:33" ht="56.25" x14ac:dyDescent="0.3">
      <c r="A7" s="912"/>
      <c r="B7" s="3">
        <v>2024</v>
      </c>
      <c r="C7" s="4">
        <v>45413</v>
      </c>
      <c r="D7" s="4">
        <v>45413</v>
      </c>
      <c r="E7" s="4">
        <v>45413</v>
      </c>
      <c r="F7" s="5" t="s">
        <v>20</v>
      </c>
      <c r="G7" s="5" t="s">
        <v>21</v>
      </c>
      <c r="H7" s="96" t="s">
        <v>22</v>
      </c>
      <c r="I7" s="96" t="s">
        <v>164</v>
      </c>
      <c r="J7" s="96" t="s">
        <v>22</v>
      </c>
      <c r="K7" s="96" t="s">
        <v>164</v>
      </c>
      <c r="L7" s="96" t="s">
        <v>22</v>
      </c>
      <c r="M7" s="96" t="s">
        <v>164</v>
      </c>
      <c r="N7" s="96" t="s">
        <v>22</v>
      </c>
      <c r="O7" s="96" t="s">
        <v>164</v>
      </c>
      <c r="P7" s="96" t="s">
        <v>22</v>
      </c>
      <c r="Q7" s="96" t="s">
        <v>164</v>
      </c>
      <c r="R7" s="96" t="s">
        <v>22</v>
      </c>
      <c r="S7" s="96" t="s">
        <v>164</v>
      </c>
      <c r="T7" s="96" t="s">
        <v>22</v>
      </c>
      <c r="U7" s="96" t="s">
        <v>164</v>
      </c>
      <c r="V7" s="96" t="s">
        <v>22</v>
      </c>
      <c r="W7" s="96" t="s">
        <v>164</v>
      </c>
      <c r="X7" s="96" t="s">
        <v>22</v>
      </c>
      <c r="Y7" s="96" t="s">
        <v>164</v>
      </c>
      <c r="Z7" s="96" t="s">
        <v>22</v>
      </c>
      <c r="AA7" s="96" t="s">
        <v>164</v>
      </c>
      <c r="AB7" s="96" t="s">
        <v>22</v>
      </c>
      <c r="AC7" s="96" t="s">
        <v>164</v>
      </c>
      <c r="AD7" s="96" t="s">
        <v>165</v>
      </c>
      <c r="AE7" s="96" t="s">
        <v>164</v>
      </c>
      <c r="AF7" s="903"/>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7" customFormat="1" x14ac:dyDescent="0.3">
      <c r="A9" s="908" t="s">
        <v>166</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10"/>
    </row>
    <row r="10" spans="1:33" s="97" customFormat="1" x14ac:dyDescent="0.3">
      <c r="A10" s="908" t="s">
        <v>167</v>
      </c>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10"/>
    </row>
    <row r="11" spans="1:33" ht="39" customHeight="1" x14ac:dyDescent="0.3">
      <c r="A11" s="98" t="s">
        <v>168</v>
      </c>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1"/>
      <c r="AG11" s="102">
        <f>B11-H11-J11-L11-N11-P11-R11-T11-V11-X11-Z11-AB11-AD11</f>
        <v>0</v>
      </c>
    </row>
    <row r="12" spans="1:33" x14ac:dyDescent="0.3">
      <c r="A12" s="103" t="s">
        <v>31</v>
      </c>
      <c r="B12" s="104">
        <f>B13+B14+B15+B16</f>
        <v>0</v>
      </c>
      <c r="C12" s="104">
        <f>C13+C14+C15+C16</f>
        <v>0</v>
      </c>
      <c r="D12" s="104">
        <f>D13+D14+D15+D16</f>
        <v>0</v>
      </c>
      <c r="E12" s="104">
        <f>E13+E14+E15+E16</f>
        <v>0</v>
      </c>
      <c r="F12" s="105">
        <f t="shared" ref="F12:F16" si="0">IFERROR(E12/B12*100,0)</f>
        <v>0</v>
      </c>
      <c r="G12" s="105">
        <f t="shared" ref="G12:G16" si="1">IFERROR(E12/C12*100,0)</f>
        <v>0</v>
      </c>
      <c r="H12" s="104">
        <f>H13+H14+H15+H16</f>
        <v>0</v>
      </c>
      <c r="I12" s="104">
        <f t="shared" ref="I12:AE12" si="2">I13+I14+I15+I16</f>
        <v>0</v>
      </c>
      <c r="J12" s="104">
        <f t="shared" si="2"/>
        <v>0</v>
      </c>
      <c r="K12" s="104">
        <f t="shared" si="2"/>
        <v>0</v>
      </c>
      <c r="L12" s="104">
        <f t="shared" si="2"/>
        <v>0</v>
      </c>
      <c r="M12" s="104">
        <f t="shared" si="2"/>
        <v>0</v>
      </c>
      <c r="N12" s="104">
        <f t="shared" si="2"/>
        <v>0</v>
      </c>
      <c r="O12" s="104">
        <f t="shared" si="2"/>
        <v>0</v>
      </c>
      <c r="P12" s="104">
        <f t="shared" si="2"/>
        <v>0</v>
      </c>
      <c r="Q12" s="104">
        <f t="shared" si="2"/>
        <v>0</v>
      </c>
      <c r="R12" s="104">
        <f t="shared" si="2"/>
        <v>0</v>
      </c>
      <c r="S12" s="104">
        <f t="shared" si="2"/>
        <v>0</v>
      </c>
      <c r="T12" s="104">
        <f t="shared" si="2"/>
        <v>0</v>
      </c>
      <c r="U12" s="104">
        <f t="shared" si="2"/>
        <v>0</v>
      </c>
      <c r="V12" s="104">
        <f t="shared" si="2"/>
        <v>0</v>
      </c>
      <c r="W12" s="104">
        <f t="shared" si="2"/>
        <v>0</v>
      </c>
      <c r="X12" s="104">
        <f t="shared" si="2"/>
        <v>0</v>
      </c>
      <c r="Y12" s="104">
        <f t="shared" si="2"/>
        <v>0</v>
      </c>
      <c r="Z12" s="104">
        <f t="shared" si="2"/>
        <v>0</v>
      </c>
      <c r="AA12" s="104">
        <f t="shared" si="2"/>
        <v>0</v>
      </c>
      <c r="AB12" s="104">
        <f t="shared" si="2"/>
        <v>0</v>
      </c>
      <c r="AC12" s="104">
        <f t="shared" si="2"/>
        <v>0</v>
      </c>
      <c r="AD12" s="104">
        <f t="shared" si="2"/>
        <v>0</v>
      </c>
      <c r="AE12" s="104">
        <f t="shared" si="2"/>
        <v>0</v>
      </c>
      <c r="AF12" s="101"/>
      <c r="AG12" s="102">
        <f t="shared" ref="AG12:AG87" si="3">B12-H12-J12-L12-N12-P12-R12-T12-V12-X12-Z12-AB12-AD12</f>
        <v>0</v>
      </c>
    </row>
    <row r="13" spans="1:33" x14ac:dyDescent="0.3">
      <c r="A13" s="106" t="s">
        <v>169</v>
      </c>
      <c r="B13" s="107">
        <f t="shared" ref="B13:B16" si="4">J13+L13+N13+P13+R13+T13+V13+X13+Z13+AB13+AD13+H13</f>
        <v>0</v>
      </c>
      <c r="C13" s="107">
        <f t="shared" ref="C13:C16" si="5">SUM(H13)</f>
        <v>0</v>
      </c>
      <c r="D13" s="107">
        <f t="shared" ref="D13:D16" si="6">E13</f>
        <v>0</v>
      </c>
      <c r="E13" s="107">
        <f t="shared" ref="E13:E16" si="7">SUM(I13,K13,M13,O13,Q13,S13,U13,W13,Y13,AA13,AC13,AE13)</f>
        <v>0</v>
      </c>
      <c r="F13" s="107">
        <f t="shared" si="0"/>
        <v>0</v>
      </c>
      <c r="G13" s="107">
        <f t="shared" si="1"/>
        <v>0</v>
      </c>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1"/>
      <c r="AG13" s="102">
        <f t="shared" si="3"/>
        <v>0</v>
      </c>
    </row>
    <row r="14" spans="1:33" x14ac:dyDescent="0.3">
      <c r="A14" s="106" t="s">
        <v>32</v>
      </c>
      <c r="B14" s="107">
        <f t="shared" si="4"/>
        <v>0</v>
      </c>
      <c r="C14" s="107">
        <f t="shared" si="5"/>
        <v>0</v>
      </c>
      <c r="D14" s="107">
        <f t="shared" si="6"/>
        <v>0</v>
      </c>
      <c r="E14" s="107">
        <f t="shared" si="7"/>
        <v>0</v>
      </c>
      <c r="F14" s="107">
        <f t="shared" si="0"/>
        <v>0</v>
      </c>
      <c r="G14" s="107">
        <f t="shared" si="1"/>
        <v>0</v>
      </c>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1"/>
      <c r="AG14" s="102">
        <f t="shared" si="3"/>
        <v>0</v>
      </c>
    </row>
    <row r="15" spans="1:33" x14ac:dyDescent="0.3">
      <c r="A15" s="106" t="s">
        <v>33</v>
      </c>
      <c r="B15" s="107">
        <f t="shared" si="4"/>
        <v>0</v>
      </c>
      <c r="C15" s="107">
        <f t="shared" si="5"/>
        <v>0</v>
      </c>
      <c r="D15" s="107">
        <f t="shared" si="6"/>
        <v>0</v>
      </c>
      <c r="E15" s="107">
        <f t="shared" si="7"/>
        <v>0</v>
      </c>
      <c r="F15" s="107">
        <f t="shared" si="0"/>
        <v>0</v>
      </c>
      <c r="G15" s="107">
        <f t="shared" si="1"/>
        <v>0</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1"/>
      <c r="AG15" s="102">
        <f t="shared" si="3"/>
        <v>0</v>
      </c>
    </row>
    <row r="16" spans="1:33" x14ac:dyDescent="0.3">
      <c r="A16" s="106" t="s">
        <v>170</v>
      </c>
      <c r="B16" s="107">
        <f t="shared" si="4"/>
        <v>0</v>
      </c>
      <c r="C16" s="107">
        <f t="shared" si="5"/>
        <v>0</v>
      </c>
      <c r="D16" s="107">
        <f t="shared" si="6"/>
        <v>0</v>
      </c>
      <c r="E16" s="107">
        <f t="shared" si="7"/>
        <v>0</v>
      </c>
      <c r="F16" s="107">
        <f t="shared" si="0"/>
        <v>0</v>
      </c>
      <c r="G16" s="107">
        <f t="shared" si="1"/>
        <v>0</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1"/>
      <c r="AG16" s="102">
        <f t="shared" si="3"/>
        <v>0</v>
      </c>
    </row>
    <row r="17" spans="1:33" ht="64.5" customHeight="1" x14ac:dyDescent="0.3">
      <c r="A17" s="98" t="s">
        <v>171</v>
      </c>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1"/>
      <c r="AG17" s="102">
        <f t="shared" si="3"/>
        <v>0</v>
      </c>
    </row>
    <row r="18" spans="1:33" x14ac:dyDescent="0.3">
      <c r="A18" s="103" t="s">
        <v>31</v>
      </c>
      <c r="B18" s="104">
        <f>B19+B20+B21+B22</f>
        <v>100</v>
      </c>
      <c r="C18" s="104">
        <f>C19+C20+C21+C22</f>
        <v>100</v>
      </c>
      <c r="D18" s="104">
        <f>D19+D20+D21+D22</f>
        <v>100</v>
      </c>
      <c r="E18" s="104">
        <f>E19+E20+E21+E22</f>
        <v>100</v>
      </c>
      <c r="F18" s="105">
        <f t="shared" ref="F18:F22" si="8">IFERROR(E18/B18*100,0)</f>
        <v>100</v>
      </c>
      <c r="G18" s="105">
        <f t="shared" ref="G18:G22" si="9">IFERROR(E18/C18*100,0)</f>
        <v>100</v>
      </c>
      <c r="H18" s="104">
        <f>H19+H20+H21+H22</f>
        <v>0</v>
      </c>
      <c r="I18" s="104">
        <f t="shared" ref="I18:AE18" si="10">I19+I20+I21+I22</f>
        <v>0</v>
      </c>
      <c r="J18" s="104">
        <f t="shared" si="10"/>
        <v>0</v>
      </c>
      <c r="K18" s="104">
        <f t="shared" si="10"/>
        <v>0</v>
      </c>
      <c r="L18" s="104">
        <f t="shared" si="10"/>
        <v>100</v>
      </c>
      <c r="M18" s="104">
        <f t="shared" si="10"/>
        <v>100</v>
      </c>
      <c r="N18" s="104">
        <f t="shared" si="10"/>
        <v>0</v>
      </c>
      <c r="O18" s="104">
        <f t="shared" si="10"/>
        <v>0</v>
      </c>
      <c r="P18" s="104">
        <f t="shared" si="10"/>
        <v>0</v>
      </c>
      <c r="Q18" s="104">
        <f t="shared" si="10"/>
        <v>0</v>
      </c>
      <c r="R18" s="104">
        <f t="shared" si="10"/>
        <v>0</v>
      </c>
      <c r="S18" s="104">
        <f t="shared" si="10"/>
        <v>0</v>
      </c>
      <c r="T18" s="104">
        <f t="shared" si="10"/>
        <v>0</v>
      </c>
      <c r="U18" s="104">
        <f t="shared" si="10"/>
        <v>0</v>
      </c>
      <c r="V18" s="104">
        <f t="shared" si="10"/>
        <v>0</v>
      </c>
      <c r="W18" s="104">
        <f t="shared" si="10"/>
        <v>0</v>
      </c>
      <c r="X18" s="104">
        <f t="shared" si="10"/>
        <v>0</v>
      </c>
      <c r="Y18" s="104">
        <f t="shared" si="10"/>
        <v>0</v>
      </c>
      <c r="Z18" s="104">
        <f t="shared" si="10"/>
        <v>0</v>
      </c>
      <c r="AA18" s="104">
        <f t="shared" si="10"/>
        <v>0</v>
      </c>
      <c r="AB18" s="104">
        <f t="shared" si="10"/>
        <v>0</v>
      </c>
      <c r="AC18" s="104">
        <f t="shared" si="10"/>
        <v>0</v>
      </c>
      <c r="AD18" s="104">
        <f t="shared" si="10"/>
        <v>0</v>
      </c>
      <c r="AE18" s="104">
        <f t="shared" si="10"/>
        <v>0</v>
      </c>
      <c r="AF18" s="101"/>
      <c r="AG18" s="102">
        <f t="shared" si="3"/>
        <v>0</v>
      </c>
    </row>
    <row r="19" spans="1:33" x14ac:dyDescent="0.3">
      <c r="A19" s="106" t="s">
        <v>169</v>
      </c>
      <c r="B19" s="107">
        <f t="shared" ref="B19:B22" si="11">J19+L19+N19+P19+R19+T19+V19+X19+Z19+AB19+AD19+H19</f>
        <v>0</v>
      </c>
      <c r="C19" s="107">
        <f>N19</f>
        <v>0</v>
      </c>
      <c r="D19" s="107">
        <f t="shared" ref="D19:D22" si="12">E19</f>
        <v>0</v>
      </c>
      <c r="E19" s="107">
        <f t="shared" ref="E19:E22" si="13">SUM(I19,K19,M19,O19,Q19,S19,U19,W19,Y19,AA19,AC19,AE19)</f>
        <v>0</v>
      </c>
      <c r="F19" s="107">
        <f t="shared" si="8"/>
        <v>0</v>
      </c>
      <c r="G19" s="107">
        <f t="shared" si="9"/>
        <v>0</v>
      </c>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1"/>
      <c r="AG19" s="102">
        <f t="shared" si="3"/>
        <v>0</v>
      </c>
    </row>
    <row r="20" spans="1:33" x14ac:dyDescent="0.3">
      <c r="A20" s="106" t="s">
        <v>32</v>
      </c>
      <c r="B20" s="107">
        <f t="shared" si="11"/>
        <v>0</v>
      </c>
      <c r="C20" s="107">
        <f t="shared" ref="C20:C22" si="14">N20</f>
        <v>0</v>
      </c>
      <c r="D20" s="107">
        <f t="shared" si="12"/>
        <v>0</v>
      </c>
      <c r="E20" s="107">
        <f t="shared" si="13"/>
        <v>0</v>
      </c>
      <c r="F20" s="107">
        <f t="shared" si="8"/>
        <v>0</v>
      </c>
      <c r="G20" s="107">
        <f t="shared" si="9"/>
        <v>0</v>
      </c>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1"/>
      <c r="AG20" s="102">
        <f t="shared" si="3"/>
        <v>0</v>
      </c>
    </row>
    <row r="21" spans="1:33" x14ac:dyDescent="0.3">
      <c r="A21" s="106" t="s">
        <v>33</v>
      </c>
      <c r="B21" s="107">
        <f t="shared" si="11"/>
        <v>100</v>
      </c>
      <c r="C21" s="107">
        <f>N21+L21</f>
        <v>100</v>
      </c>
      <c r="D21" s="107">
        <f t="shared" si="12"/>
        <v>100</v>
      </c>
      <c r="E21" s="107">
        <f t="shared" si="13"/>
        <v>100</v>
      </c>
      <c r="F21" s="107">
        <f t="shared" si="8"/>
        <v>100</v>
      </c>
      <c r="G21" s="107">
        <f t="shared" si="9"/>
        <v>100</v>
      </c>
      <c r="H21" s="107"/>
      <c r="I21" s="107"/>
      <c r="J21" s="107"/>
      <c r="K21" s="107"/>
      <c r="L21" s="107">
        <v>100</v>
      </c>
      <c r="M21" s="107">
        <v>100</v>
      </c>
      <c r="N21" s="107">
        <v>0</v>
      </c>
      <c r="O21" s="107">
        <v>0</v>
      </c>
      <c r="P21" s="107"/>
      <c r="Q21" s="107"/>
      <c r="R21" s="107"/>
      <c r="S21" s="107"/>
      <c r="T21" s="107"/>
      <c r="U21" s="107"/>
      <c r="V21" s="107"/>
      <c r="W21" s="107"/>
      <c r="X21" s="107"/>
      <c r="Y21" s="107"/>
      <c r="Z21" s="107"/>
      <c r="AA21" s="107"/>
      <c r="AB21" s="107"/>
      <c r="AC21" s="107"/>
      <c r="AD21" s="107"/>
      <c r="AE21" s="107"/>
      <c r="AF21" s="101"/>
      <c r="AG21" s="102">
        <f t="shared" si="3"/>
        <v>0</v>
      </c>
    </row>
    <row r="22" spans="1:33" x14ac:dyDescent="0.3">
      <c r="A22" s="106" t="s">
        <v>170</v>
      </c>
      <c r="B22" s="107">
        <f t="shared" si="11"/>
        <v>0</v>
      </c>
      <c r="C22" s="107">
        <f t="shared" si="14"/>
        <v>0</v>
      </c>
      <c r="D22" s="107">
        <f t="shared" si="12"/>
        <v>0</v>
      </c>
      <c r="E22" s="107">
        <f t="shared" si="13"/>
        <v>0</v>
      </c>
      <c r="F22" s="107">
        <f t="shared" si="8"/>
        <v>0</v>
      </c>
      <c r="G22" s="107">
        <f t="shared" si="9"/>
        <v>0</v>
      </c>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1"/>
      <c r="AG22" s="102">
        <f t="shared" si="3"/>
        <v>0</v>
      </c>
    </row>
    <row r="23" spans="1:33" ht="39" customHeight="1" x14ac:dyDescent="0.3">
      <c r="A23" s="98" t="s">
        <v>613</v>
      </c>
      <c r="B23" s="99"/>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1"/>
      <c r="AG23" s="102">
        <f>B23-H23-J23-L23-N23-P23-R23-T23-V23-X23-Z23-AB23-AD23</f>
        <v>0</v>
      </c>
    </row>
    <row r="24" spans="1:33" x14ac:dyDescent="0.3">
      <c r="A24" s="103" t="s">
        <v>31</v>
      </c>
      <c r="B24" s="104">
        <f>B25+B26+B27+B28</f>
        <v>150</v>
      </c>
      <c r="C24" s="104">
        <f>C25+C26+C27+C28</f>
        <v>0</v>
      </c>
      <c r="D24" s="104">
        <f>D25+D26+D27+D28</f>
        <v>0</v>
      </c>
      <c r="E24" s="104">
        <f>E25+E26+E27+E28</f>
        <v>0</v>
      </c>
      <c r="F24" s="105">
        <f t="shared" ref="F24:F28" si="15">IFERROR(E24/B24*100,0)</f>
        <v>0</v>
      </c>
      <c r="G24" s="105">
        <f t="shared" ref="G24:G28" si="16">IFERROR(E24/C24*100,0)</f>
        <v>0</v>
      </c>
      <c r="H24" s="104">
        <f>H25+H26+H27+H28</f>
        <v>0</v>
      </c>
      <c r="I24" s="104">
        <f t="shared" ref="I24:AE24" si="17">I25+I26+I27+I28</f>
        <v>0</v>
      </c>
      <c r="J24" s="104">
        <f t="shared" si="17"/>
        <v>0</v>
      </c>
      <c r="K24" s="104">
        <f t="shared" si="17"/>
        <v>0</v>
      </c>
      <c r="L24" s="104">
        <f t="shared" si="17"/>
        <v>0</v>
      </c>
      <c r="M24" s="104">
        <f t="shared" si="17"/>
        <v>0</v>
      </c>
      <c r="N24" s="104">
        <f t="shared" si="17"/>
        <v>0</v>
      </c>
      <c r="O24" s="104">
        <f t="shared" si="17"/>
        <v>0</v>
      </c>
      <c r="P24" s="104">
        <f t="shared" si="17"/>
        <v>0</v>
      </c>
      <c r="Q24" s="104">
        <f t="shared" si="17"/>
        <v>0</v>
      </c>
      <c r="R24" s="104">
        <f t="shared" si="17"/>
        <v>0</v>
      </c>
      <c r="S24" s="104">
        <f t="shared" si="17"/>
        <v>0</v>
      </c>
      <c r="T24" s="104">
        <f t="shared" si="17"/>
        <v>0</v>
      </c>
      <c r="U24" s="104">
        <f t="shared" si="17"/>
        <v>0</v>
      </c>
      <c r="V24" s="104">
        <f t="shared" si="17"/>
        <v>0</v>
      </c>
      <c r="W24" s="104">
        <f t="shared" si="17"/>
        <v>0</v>
      </c>
      <c r="X24" s="104">
        <f t="shared" si="17"/>
        <v>150</v>
      </c>
      <c r="Y24" s="104">
        <f t="shared" si="17"/>
        <v>0</v>
      </c>
      <c r="Z24" s="104">
        <f t="shared" si="17"/>
        <v>0</v>
      </c>
      <c r="AA24" s="104">
        <f t="shared" si="17"/>
        <v>0</v>
      </c>
      <c r="AB24" s="104">
        <f t="shared" si="17"/>
        <v>0</v>
      </c>
      <c r="AC24" s="104">
        <f t="shared" si="17"/>
        <v>0</v>
      </c>
      <c r="AD24" s="104">
        <f t="shared" si="17"/>
        <v>0</v>
      </c>
      <c r="AE24" s="104">
        <f t="shared" si="17"/>
        <v>0</v>
      </c>
      <c r="AF24" s="101"/>
      <c r="AG24" s="102">
        <f t="shared" ref="AG24:AG28" si="18">B24-H24-J24-L24-N24-P24-R24-T24-V24-X24-Z24-AB24-AD24</f>
        <v>0</v>
      </c>
    </row>
    <row r="25" spans="1:33" x14ac:dyDescent="0.3">
      <c r="A25" s="106" t="s">
        <v>169</v>
      </c>
      <c r="B25" s="107">
        <f t="shared" ref="B25:B28" si="19">J25+L25+N25+P25+R25+T25+V25+X25+Z25+AB25+AD25+H25</f>
        <v>0</v>
      </c>
      <c r="C25" s="107">
        <f t="shared" ref="C25:C28" si="20">SUM(H25)</f>
        <v>0</v>
      </c>
      <c r="D25" s="107">
        <f t="shared" ref="D25:D28" si="21">E25</f>
        <v>0</v>
      </c>
      <c r="E25" s="107">
        <f t="shared" ref="E25:E28" si="22">SUM(I25,K25,M25,O25,Q25,S25,U25,W25,Y25,AA25,AC25,AE25)</f>
        <v>0</v>
      </c>
      <c r="F25" s="107">
        <f t="shared" si="15"/>
        <v>0</v>
      </c>
      <c r="G25" s="107">
        <f t="shared" si="16"/>
        <v>0</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1"/>
      <c r="AG25" s="102">
        <f t="shared" si="18"/>
        <v>0</v>
      </c>
    </row>
    <row r="26" spans="1:33" x14ac:dyDescent="0.3">
      <c r="A26" s="106" t="s">
        <v>32</v>
      </c>
      <c r="B26" s="107">
        <f t="shared" si="19"/>
        <v>104.8</v>
      </c>
      <c r="C26" s="107">
        <f t="shared" si="20"/>
        <v>0</v>
      </c>
      <c r="D26" s="107">
        <f t="shared" si="21"/>
        <v>0</v>
      </c>
      <c r="E26" s="107">
        <f t="shared" si="22"/>
        <v>0</v>
      </c>
      <c r="F26" s="107">
        <f t="shared" si="15"/>
        <v>0</v>
      </c>
      <c r="G26" s="107">
        <f t="shared" si="16"/>
        <v>0</v>
      </c>
      <c r="H26" s="107"/>
      <c r="I26" s="107"/>
      <c r="J26" s="107"/>
      <c r="K26" s="107"/>
      <c r="L26" s="107"/>
      <c r="M26" s="107"/>
      <c r="N26" s="107"/>
      <c r="O26" s="107"/>
      <c r="P26" s="107"/>
      <c r="Q26" s="107"/>
      <c r="R26" s="107"/>
      <c r="S26" s="107"/>
      <c r="T26" s="107"/>
      <c r="U26" s="107"/>
      <c r="V26" s="107"/>
      <c r="W26" s="107"/>
      <c r="X26" s="107">
        <v>104.8</v>
      </c>
      <c r="Y26" s="107"/>
      <c r="Z26" s="107"/>
      <c r="AA26" s="107"/>
      <c r="AB26" s="107"/>
      <c r="AC26" s="107"/>
      <c r="AD26" s="107"/>
      <c r="AE26" s="107"/>
      <c r="AF26" s="101"/>
      <c r="AG26" s="102">
        <f t="shared" si="18"/>
        <v>0</v>
      </c>
    </row>
    <row r="27" spans="1:33" x14ac:dyDescent="0.3">
      <c r="A27" s="106" t="s">
        <v>33</v>
      </c>
      <c r="B27" s="107">
        <f t="shared" si="19"/>
        <v>30.2</v>
      </c>
      <c r="C27" s="107">
        <f t="shared" si="20"/>
        <v>0</v>
      </c>
      <c r="D27" s="107">
        <f t="shared" si="21"/>
        <v>0</v>
      </c>
      <c r="E27" s="107">
        <f t="shared" si="22"/>
        <v>0</v>
      </c>
      <c r="F27" s="107">
        <f t="shared" si="15"/>
        <v>0</v>
      </c>
      <c r="G27" s="107">
        <f t="shared" si="16"/>
        <v>0</v>
      </c>
      <c r="H27" s="107"/>
      <c r="I27" s="107"/>
      <c r="J27" s="107"/>
      <c r="K27" s="107"/>
      <c r="L27" s="107"/>
      <c r="M27" s="107"/>
      <c r="N27" s="107"/>
      <c r="O27" s="107"/>
      <c r="P27" s="107"/>
      <c r="Q27" s="107"/>
      <c r="R27" s="107"/>
      <c r="S27" s="107"/>
      <c r="T27" s="107"/>
      <c r="U27" s="107"/>
      <c r="V27" s="107"/>
      <c r="W27" s="107"/>
      <c r="X27" s="107">
        <v>30.2</v>
      </c>
      <c r="Y27" s="107"/>
      <c r="Z27" s="107"/>
      <c r="AA27" s="107"/>
      <c r="AB27" s="107"/>
      <c r="AC27" s="107"/>
      <c r="AD27" s="107"/>
      <c r="AE27" s="107"/>
      <c r="AF27" s="101"/>
      <c r="AG27" s="102">
        <f t="shared" si="18"/>
        <v>0</v>
      </c>
    </row>
    <row r="28" spans="1:33" x14ac:dyDescent="0.3">
      <c r="A28" s="106" t="s">
        <v>170</v>
      </c>
      <c r="B28" s="107">
        <f t="shared" si="19"/>
        <v>15</v>
      </c>
      <c r="C28" s="107">
        <f t="shared" si="20"/>
        <v>0</v>
      </c>
      <c r="D28" s="107">
        <f t="shared" si="21"/>
        <v>0</v>
      </c>
      <c r="E28" s="107">
        <f t="shared" si="22"/>
        <v>0</v>
      </c>
      <c r="F28" s="107">
        <f t="shared" si="15"/>
        <v>0</v>
      </c>
      <c r="G28" s="107">
        <f t="shared" si="16"/>
        <v>0</v>
      </c>
      <c r="H28" s="107"/>
      <c r="I28" s="107"/>
      <c r="J28" s="107"/>
      <c r="K28" s="107"/>
      <c r="L28" s="107"/>
      <c r="M28" s="107"/>
      <c r="N28" s="107"/>
      <c r="O28" s="107"/>
      <c r="P28" s="107"/>
      <c r="Q28" s="107"/>
      <c r="R28" s="107"/>
      <c r="S28" s="107"/>
      <c r="T28" s="107"/>
      <c r="U28" s="107"/>
      <c r="V28" s="107"/>
      <c r="W28" s="107"/>
      <c r="X28" s="107">
        <v>15</v>
      </c>
      <c r="Y28" s="107"/>
      <c r="Z28" s="107"/>
      <c r="AA28" s="107"/>
      <c r="AB28" s="107"/>
      <c r="AC28" s="107"/>
      <c r="AD28" s="107"/>
      <c r="AE28" s="107"/>
      <c r="AF28" s="101"/>
      <c r="AG28" s="102">
        <f t="shared" si="18"/>
        <v>0</v>
      </c>
    </row>
    <row r="29" spans="1:33" ht="39" customHeight="1" x14ac:dyDescent="0.3">
      <c r="A29" s="98" t="s">
        <v>614</v>
      </c>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1"/>
      <c r="AG29" s="102">
        <f>B29-H29-J29-L29-N29-P29-R29-T29-V29-X29-Z29-AB29-AD29</f>
        <v>0</v>
      </c>
    </row>
    <row r="30" spans="1:33" x14ac:dyDescent="0.3">
      <c r="A30" s="103" t="s">
        <v>31</v>
      </c>
      <c r="B30" s="104">
        <f>B31+B32+B33+B34</f>
        <v>347.09999999999997</v>
      </c>
      <c r="C30" s="104">
        <f>C31+C32+C33+C34</f>
        <v>0</v>
      </c>
      <c r="D30" s="104">
        <f>D31+D32+D33+D34</f>
        <v>0</v>
      </c>
      <c r="E30" s="104">
        <f>E31+E32+E33+E34</f>
        <v>0</v>
      </c>
      <c r="F30" s="105">
        <f t="shared" ref="F30:F34" si="23">IFERROR(E30/B30*100,0)</f>
        <v>0</v>
      </c>
      <c r="G30" s="105">
        <f t="shared" ref="G30:G34" si="24">IFERROR(E30/C30*100,0)</f>
        <v>0</v>
      </c>
      <c r="H30" s="104">
        <f>H31+H32+H33+H34</f>
        <v>0</v>
      </c>
      <c r="I30" s="104">
        <f t="shared" ref="I30:AE30" si="25">I31+I32+I33+I34</f>
        <v>0</v>
      </c>
      <c r="J30" s="104">
        <f t="shared" si="25"/>
        <v>0</v>
      </c>
      <c r="K30" s="104">
        <f t="shared" si="25"/>
        <v>0</v>
      </c>
      <c r="L30" s="104">
        <f t="shared" si="25"/>
        <v>0</v>
      </c>
      <c r="M30" s="104">
        <f t="shared" si="25"/>
        <v>0</v>
      </c>
      <c r="N30" s="104">
        <f t="shared" si="25"/>
        <v>0</v>
      </c>
      <c r="O30" s="104">
        <f t="shared" si="25"/>
        <v>0</v>
      </c>
      <c r="P30" s="104">
        <f t="shared" si="25"/>
        <v>0</v>
      </c>
      <c r="Q30" s="104">
        <f t="shared" si="25"/>
        <v>0</v>
      </c>
      <c r="R30" s="104">
        <f t="shared" si="25"/>
        <v>0</v>
      </c>
      <c r="S30" s="104">
        <f t="shared" si="25"/>
        <v>0</v>
      </c>
      <c r="T30" s="104">
        <f t="shared" si="25"/>
        <v>0</v>
      </c>
      <c r="U30" s="104">
        <f t="shared" si="25"/>
        <v>0</v>
      </c>
      <c r="V30" s="104">
        <f t="shared" si="25"/>
        <v>347.09999999999997</v>
      </c>
      <c r="W30" s="104">
        <f t="shared" si="25"/>
        <v>0</v>
      </c>
      <c r="X30" s="104">
        <f t="shared" si="25"/>
        <v>0</v>
      </c>
      <c r="Y30" s="104">
        <f t="shared" si="25"/>
        <v>0</v>
      </c>
      <c r="Z30" s="104">
        <f t="shared" si="25"/>
        <v>0</v>
      </c>
      <c r="AA30" s="104">
        <f t="shared" si="25"/>
        <v>0</v>
      </c>
      <c r="AB30" s="104">
        <f t="shared" si="25"/>
        <v>0</v>
      </c>
      <c r="AC30" s="104">
        <f t="shared" si="25"/>
        <v>0</v>
      </c>
      <c r="AD30" s="104">
        <f t="shared" si="25"/>
        <v>0</v>
      </c>
      <c r="AE30" s="104">
        <f t="shared" si="25"/>
        <v>0</v>
      </c>
      <c r="AF30" s="101"/>
      <c r="AG30" s="102">
        <f t="shared" ref="AG30:AG34" si="26">B30-H30-J30-L30-N30-P30-R30-T30-V30-X30-Z30-AB30-AD30</f>
        <v>0</v>
      </c>
    </row>
    <row r="31" spans="1:33" x14ac:dyDescent="0.3">
      <c r="A31" s="106" t="s">
        <v>169</v>
      </c>
      <c r="B31" s="107">
        <f t="shared" ref="B31:B34" si="27">J31+L31+N31+P31+R31+T31+V31+X31+Z31+AB31+AD31+H31</f>
        <v>0</v>
      </c>
      <c r="C31" s="107">
        <f t="shared" ref="C31:C34" si="28">SUM(H31)</f>
        <v>0</v>
      </c>
      <c r="D31" s="107">
        <f t="shared" ref="D31:D34" si="29">E31</f>
        <v>0</v>
      </c>
      <c r="E31" s="107">
        <f t="shared" ref="E31:E34" si="30">SUM(I31,K31,M31,O31,Q31,S31,U31,W31,Y31,AA31,AC31,AE31)</f>
        <v>0</v>
      </c>
      <c r="F31" s="107">
        <f t="shared" si="23"/>
        <v>0</v>
      </c>
      <c r="G31" s="107">
        <f t="shared" si="24"/>
        <v>0</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1"/>
      <c r="AG31" s="102">
        <f t="shared" si="26"/>
        <v>0</v>
      </c>
    </row>
    <row r="32" spans="1:33" x14ac:dyDescent="0.3">
      <c r="A32" s="106" t="s">
        <v>32</v>
      </c>
      <c r="B32" s="107">
        <f t="shared" si="27"/>
        <v>242.6</v>
      </c>
      <c r="C32" s="107">
        <f t="shared" si="28"/>
        <v>0</v>
      </c>
      <c r="D32" s="107">
        <f t="shared" si="29"/>
        <v>0</v>
      </c>
      <c r="E32" s="107">
        <f t="shared" si="30"/>
        <v>0</v>
      </c>
      <c r="F32" s="107">
        <f t="shared" si="23"/>
        <v>0</v>
      </c>
      <c r="G32" s="107">
        <f t="shared" si="24"/>
        <v>0</v>
      </c>
      <c r="H32" s="107"/>
      <c r="I32" s="107"/>
      <c r="J32" s="107"/>
      <c r="K32" s="107"/>
      <c r="L32" s="107"/>
      <c r="M32" s="107"/>
      <c r="N32" s="107"/>
      <c r="O32" s="107"/>
      <c r="P32" s="107"/>
      <c r="Q32" s="107"/>
      <c r="R32" s="107"/>
      <c r="S32" s="107"/>
      <c r="T32" s="107"/>
      <c r="U32" s="107"/>
      <c r="V32" s="107">
        <v>242.6</v>
      </c>
      <c r="W32" s="107"/>
      <c r="X32" s="107"/>
      <c r="Y32" s="107"/>
      <c r="Z32" s="107"/>
      <c r="AA32" s="107"/>
      <c r="AB32" s="107"/>
      <c r="AC32" s="107"/>
      <c r="AD32" s="107"/>
      <c r="AE32" s="107"/>
      <c r="AF32" s="101"/>
      <c r="AG32" s="102">
        <f t="shared" si="26"/>
        <v>0</v>
      </c>
    </row>
    <row r="33" spans="1:33" x14ac:dyDescent="0.3">
      <c r="A33" s="106" t="s">
        <v>33</v>
      </c>
      <c r="B33" s="107">
        <f t="shared" si="27"/>
        <v>69.790000000000006</v>
      </c>
      <c r="C33" s="107">
        <f t="shared" si="28"/>
        <v>0</v>
      </c>
      <c r="D33" s="107">
        <f t="shared" si="29"/>
        <v>0</v>
      </c>
      <c r="E33" s="107">
        <f t="shared" si="30"/>
        <v>0</v>
      </c>
      <c r="F33" s="107">
        <f t="shared" si="23"/>
        <v>0</v>
      </c>
      <c r="G33" s="107">
        <f t="shared" si="24"/>
        <v>0</v>
      </c>
      <c r="H33" s="107"/>
      <c r="I33" s="107"/>
      <c r="J33" s="107"/>
      <c r="K33" s="107"/>
      <c r="L33" s="107"/>
      <c r="M33" s="107"/>
      <c r="N33" s="107"/>
      <c r="O33" s="107"/>
      <c r="P33" s="107"/>
      <c r="Q33" s="107"/>
      <c r="R33" s="107"/>
      <c r="S33" s="107"/>
      <c r="T33" s="107"/>
      <c r="U33" s="107"/>
      <c r="V33" s="107">
        <v>69.790000000000006</v>
      </c>
      <c r="W33" s="107"/>
      <c r="X33" s="107"/>
      <c r="Y33" s="107"/>
      <c r="Z33" s="107"/>
      <c r="AA33" s="107"/>
      <c r="AB33" s="107"/>
      <c r="AC33" s="107"/>
      <c r="AD33" s="107"/>
      <c r="AE33" s="107"/>
      <c r="AF33" s="101"/>
      <c r="AG33" s="102">
        <f t="shared" si="26"/>
        <v>0</v>
      </c>
    </row>
    <row r="34" spans="1:33" x14ac:dyDescent="0.3">
      <c r="A34" s="106" t="s">
        <v>170</v>
      </c>
      <c r="B34" s="107">
        <f t="shared" si="27"/>
        <v>34.71</v>
      </c>
      <c r="C34" s="107">
        <f t="shared" si="28"/>
        <v>0</v>
      </c>
      <c r="D34" s="107">
        <f t="shared" si="29"/>
        <v>0</v>
      </c>
      <c r="E34" s="107">
        <f t="shared" si="30"/>
        <v>0</v>
      </c>
      <c r="F34" s="107">
        <f t="shared" si="23"/>
        <v>0</v>
      </c>
      <c r="G34" s="107">
        <f t="shared" si="24"/>
        <v>0</v>
      </c>
      <c r="H34" s="107"/>
      <c r="I34" s="107"/>
      <c r="J34" s="107"/>
      <c r="K34" s="107"/>
      <c r="L34" s="107"/>
      <c r="M34" s="107"/>
      <c r="N34" s="107"/>
      <c r="O34" s="107"/>
      <c r="P34" s="107"/>
      <c r="Q34" s="107"/>
      <c r="R34" s="107"/>
      <c r="S34" s="107"/>
      <c r="T34" s="107"/>
      <c r="U34" s="107"/>
      <c r="V34" s="107">
        <v>34.71</v>
      </c>
      <c r="W34" s="107"/>
      <c r="X34" s="107"/>
      <c r="Y34" s="107"/>
      <c r="Z34" s="107"/>
      <c r="AA34" s="107"/>
      <c r="AB34" s="107"/>
      <c r="AC34" s="107"/>
      <c r="AD34" s="107"/>
      <c r="AE34" s="107"/>
      <c r="AF34" s="101"/>
      <c r="AG34" s="102">
        <f t="shared" si="26"/>
        <v>0</v>
      </c>
    </row>
    <row r="35" spans="1:33" s="97" customFormat="1" x14ac:dyDescent="0.3">
      <c r="A35" s="908" t="s">
        <v>54</v>
      </c>
      <c r="B35" s="909"/>
      <c r="C35" s="909"/>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10"/>
      <c r="AG35" s="102">
        <f t="shared" si="3"/>
        <v>0</v>
      </c>
    </row>
    <row r="36" spans="1:33" x14ac:dyDescent="0.3">
      <c r="A36" s="98" t="s">
        <v>172</v>
      </c>
      <c r="B36" s="99"/>
      <c r="C36" s="100"/>
      <c r="D36" s="100"/>
      <c r="E36" s="100"/>
      <c r="F36" s="100"/>
      <c r="G36" s="100"/>
      <c r="H36" s="99"/>
      <c r="I36" s="99"/>
      <c r="J36" s="99"/>
      <c r="K36" s="99"/>
      <c r="L36" s="99"/>
      <c r="M36" s="99"/>
      <c r="N36" s="99"/>
      <c r="O36" s="99"/>
      <c r="P36" s="99"/>
      <c r="Q36" s="99"/>
      <c r="R36" s="99"/>
      <c r="S36" s="99"/>
      <c r="T36" s="99"/>
      <c r="U36" s="99"/>
      <c r="V36" s="99"/>
      <c r="W36" s="99"/>
      <c r="X36" s="99"/>
      <c r="Y36" s="99"/>
      <c r="Z36" s="99"/>
      <c r="AA36" s="99"/>
      <c r="AB36" s="99"/>
      <c r="AC36" s="99"/>
      <c r="AD36" s="99"/>
      <c r="AE36" s="99"/>
      <c r="AF36" s="101"/>
      <c r="AG36" s="102">
        <f t="shared" si="3"/>
        <v>0</v>
      </c>
    </row>
    <row r="37" spans="1:33" x14ac:dyDescent="0.3">
      <c r="A37" s="103" t="s">
        <v>31</v>
      </c>
      <c r="B37" s="104">
        <f>B38+B39+B40+B41</f>
        <v>69825.999999999985</v>
      </c>
      <c r="C37" s="104">
        <f>C38+C39+C40+C41</f>
        <v>14843.399999999998</v>
      </c>
      <c r="D37" s="104">
        <f>D38+D39+D40+D41</f>
        <v>14734.290000000003</v>
      </c>
      <c r="E37" s="104">
        <f>E38+E39+E40+E41</f>
        <v>14734.290000000003</v>
      </c>
      <c r="F37" s="105">
        <f>E37/B37*100</f>
        <v>21.101437859822997</v>
      </c>
      <c r="G37" s="105">
        <f>E37/C37*100</f>
        <v>99.2649258256195</v>
      </c>
      <c r="H37" s="104">
        <f>H38+H39+H40+H41</f>
        <v>2224.6999999999998</v>
      </c>
      <c r="I37" s="104">
        <f t="shared" ref="I37:AE37" si="31">I38+I39+I40+I41</f>
        <v>1357.8</v>
      </c>
      <c r="J37" s="104">
        <f t="shared" si="31"/>
        <v>6477.4999999999991</v>
      </c>
      <c r="K37" s="104">
        <f t="shared" si="31"/>
        <v>4365.0499999999993</v>
      </c>
      <c r="L37" s="104">
        <f t="shared" si="31"/>
        <v>6141.2</v>
      </c>
      <c r="M37" s="104">
        <f t="shared" si="31"/>
        <v>4589.01</v>
      </c>
      <c r="N37" s="104">
        <f t="shared" si="31"/>
        <v>6088.35</v>
      </c>
      <c r="O37" s="104">
        <f t="shared" si="31"/>
        <v>4422.43</v>
      </c>
      <c r="P37" s="104">
        <f t="shared" si="31"/>
        <v>7772.95</v>
      </c>
      <c r="Q37" s="104">
        <f t="shared" si="31"/>
        <v>0</v>
      </c>
      <c r="R37" s="104">
        <f t="shared" si="31"/>
        <v>6871.35</v>
      </c>
      <c r="S37" s="104">
        <f t="shared" si="31"/>
        <v>0</v>
      </c>
      <c r="T37" s="104">
        <f t="shared" si="31"/>
        <v>6886.9500000000007</v>
      </c>
      <c r="U37" s="104">
        <f t="shared" si="31"/>
        <v>0</v>
      </c>
      <c r="V37" s="104">
        <f t="shared" si="31"/>
        <v>4985.8500000000004</v>
      </c>
      <c r="W37" s="104">
        <f t="shared" si="31"/>
        <v>0</v>
      </c>
      <c r="X37" s="104">
        <f t="shared" si="31"/>
        <v>5439.85</v>
      </c>
      <c r="Y37" s="104">
        <f t="shared" si="31"/>
        <v>0</v>
      </c>
      <c r="Z37" s="104">
        <f t="shared" si="31"/>
        <v>4379.9500000000007</v>
      </c>
      <c r="AA37" s="104">
        <f t="shared" si="31"/>
        <v>0</v>
      </c>
      <c r="AB37" s="104">
        <f t="shared" si="31"/>
        <v>4301.79</v>
      </c>
      <c r="AC37" s="104">
        <f t="shared" si="31"/>
        <v>0</v>
      </c>
      <c r="AD37" s="104">
        <f t="shared" si="31"/>
        <v>8255.56</v>
      </c>
      <c r="AE37" s="104">
        <f t="shared" si="31"/>
        <v>0</v>
      </c>
      <c r="AF37" s="101"/>
      <c r="AG37" s="102">
        <f t="shared" si="3"/>
        <v>0</v>
      </c>
    </row>
    <row r="38" spans="1:33" x14ac:dyDescent="0.3">
      <c r="A38" s="106" t="s">
        <v>169</v>
      </c>
      <c r="B38" s="107">
        <f>B44+B51+B57+B63+B70</f>
        <v>105.2</v>
      </c>
      <c r="C38" s="107">
        <f t="shared" ref="C38:E38" si="32">C44+C51+C57+C63+C70</f>
        <v>0</v>
      </c>
      <c r="D38" s="107">
        <f t="shared" si="32"/>
        <v>0</v>
      </c>
      <c r="E38" s="107">
        <f t="shared" si="32"/>
        <v>0</v>
      </c>
      <c r="F38" s="107">
        <f>E38/B38*100</f>
        <v>0</v>
      </c>
      <c r="G38" s="107">
        <f>IFERROR(E38/C38*100,0)</f>
        <v>0</v>
      </c>
      <c r="H38" s="107">
        <f t="shared" ref="H38:AE41" si="33">H44+H51+H57+H63+H70</f>
        <v>0</v>
      </c>
      <c r="I38" s="107">
        <f t="shared" si="33"/>
        <v>0</v>
      </c>
      <c r="J38" s="107">
        <f t="shared" si="33"/>
        <v>0</v>
      </c>
      <c r="K38" s="107">
        <f t="shared" si="33"/>
        <v>0</v>
      </c>
      <c r="L38" s="107">
        <f t="shared" si="33"/>
        <v>0</v>
      </c>
      <c r="M38" s="107">
        <f t="shared" si="33"/>
        <v>0</v>
      </c>
      <c r="N38" s="107">
        <f t="shared" si="33"/>
        <v>0</v>
      </c>
      <c r="O38" s="107">
        <f t="shared" si="33"/>
        <v>0</v>
      </c>
      <c r="P38" s="107">
        <f t="shared" si="33"/>
        <v>105.2</v>
      </c>
      <c r="Q38" s="107">
        <f t="shared" si="33"/>
        <v>0</v>
      </c>
      <c r="R38" s="107">
        <f t="shared" si="33"/>
        <v>0</v>
      </c>
      <c r="S38" s="107">
        <f t="shared" si="33"/>
        <v>0</v>
      </c>
      <c r="T38" s="107">
        <f t="shared" si="33"/>
        <v>0</v>
      </c>
      <c r="U38" s="107">
        <f t="shared" si="33"/>
        <v>0</v>
      </c>
      <c r="V38" s="107">
        <f t="shared" si="33"/>
        <v>0</v>
      </c>
      <c r="W38" s="107">
        <f t="shared" si="33"/>
        <v>0</v>
      </c>
      <c r="X38" s="107">
        <f t="shared" si="33"/>
        <v>0</v>
      </c>
      <c r="Y38" s="107">
        <f t="shared" si="33"/>
        <v>0</v>
      </c>
      <c r="Z38" s="107">
        <f t="shared" si="33"/>
        <v>0</v>
      </c>
      <c r="AA38" s="107">
        <f t="shared" si="33"/>
        <v>0</v>
      </c>
      <c r="AB38" s="107">
        <f t="shared" si="33"/>
        <v>0</v>
      </c>
      <c r="AC38" s="107">
        <f t="shared" si="33"/>
        <v>0</v>
      </c>
      <c r="AD38" s="107">
        <f t="shared" si="33"/>
        <v>0</v>
      </c>
      <c r="AE38" s="107">
        <f t="shared" si="33"/>
        <v>0</v>
      </c>
      <c r="AF38" s="101"/>
      <c r="AG38" s="102">
        <f t="shared" si="3"/>
        <v>0</v>
      </c>
    </row>
    <row r="39" spans="1:33" x14ac:dyDescent="0.3">
      <c r="A39" s="106" t="s">
        <v>32</v>
      </c>
      <c r="B39" s="107">
        <f t="shared" ref="B39:E41" si="34">B45+B52+B58+B64+B71</f>
        <v>519.70000000000005</v>
      </c>
      <c r="C39" s="107">
        <f t="shared" si="34"/>
        <v>10.8</v>
      </c>
      <c r="D39" s="107">
        <f t="shared" si="34"/>
        <v>30.700000000000003</v>
      </c>
      <c r="E39" s="107">
        <f t="shared" si="34"/>
        <v>30.700000000000003</v>
      </c>
      <c r="F39" s="107">
        <f>E39/B39*100</f>
        <v>5.9072541851067921</v>
      </c>
      <c r="G39" s="107">
        <f>IFERROR(E39/C39*100,0)</f>
        <v>284.25925925925924</v>
      </c>
      <c r="H39" s="107">
        <f t="shared" si="33"/>
        <v>0</v>
      </c>
      <c r="I39" s="107">
        <f t="shared" si="33"/>
        <v>0</v>
      </c>
      <c r="J39" s="107">
        <f t="shared" si="33"/>
        <v>0</v>
      </c>
      <c r="K39" s="107">
        <f t="shared" si="33"/>
        <v>0</v>
      </c>
      <c r="L39" s="107">
        <f t="shared" si="33"/>
        <v>10.8</v>
      </c>
      <c r="M39" s="107">
        <f t="shared" si="33"/>
        <v>10.8</v>
      </c>
      <c r="N39" s="107">
        <f t="shared" si="33"/>
        <v>19.899999999999999</v>
      </c>
      <c r="O39" s="107">
        <f t="shared" si="33"/>
        <v>19.899999999999999</v>
      </c>
      <c r="P39" s="107">
        <f t="shared" si="33"/>
        <v>247.17</v>
      </c>
      <c r="Q39" s="107">
        <f t="shared" si="33"/>
        <v>0</v>
      </c>
      <c r="R39" s="107">
        <f t="shared" si="33"/>
        <v>22.8</v>
      </c>
      <c r="S39" s="107">
        <f t="shared" si="33"/>
        <v>0</v>
      </c>
      <c r="T39" s="107">
        <f t="shared" si="33"/>
        <v>22.8</v>
      </c>
      <c r="U39" s="107">
        <f t="shared" si="33"/>
        <v>0</v>
      </c>
      <c r="V39" s="107">
        <f t="shared" si="33"/>
        <v>22.8</v>
      </c>
      <c r="W39" s="107">
        <f t="shared" si="33"/>
        <v>0</v>
      </c>
      <c r="X39" s="107">
        <f t="shared" si="33"/>
        <v>94.2</v>
      </c>
      <c r="Y39" s="107">
        <f t="shared" si="33"/>
        <v>0</v>
      </c>
      <c r="Z39" s="107">
        <f t="shared" si="33"/>
        <v>22.8</v>
      </c>
      <c r="AA39" s="107">
        <f t="shared" si="33"/>
        <v>0</v>
      </c>
      <c r="AB39" s="107">
        <f t="shared" si="33"/>
        <v>22.8</v>
      </c>
      <c r="AC39" s="107">
        <f t="shared" si="33"/>
        <v>0</v>
      </c>
      <c r="AD39" s="107">
        <f t="shared" si="33"/>
        <v>33.629999999999995</v>
      </c>
      <c r="AE39" s="107">
        <f t="shared" si="33"/>
        <v>0</v>
      </c>
      <c r="AF39" s="101"/>
      <c r="AG39" s="102">
        <f t="shared" si="3"/>
        <v>0</v>
      </c>
    </row>
    <row r="40" spans="1:33" x14ac:dyDescent="0.3">
      <c r="A40" s="106" t="s">
        <v>33</v>
      </c>
      <c r="B40" s="107">
        <f>B46+B53+B59+B65+B72</f>
        <v>69201.099999999991</v>
      </c>
      <c r="C40" s="107">
        <f t="shared" si="34"/>
        <v>14832.599999999999</v>
      </c>
      <c r="D40" s="107">
        <f t="shared" si="34"/>
        <v>14703.590000000002</v>
      </c>
      <c r="E40" s="107">
        <f t="shared" si="34"/>
        <v>14703.590000000002</v>
      </c>
      <c r="F40" s="107">
        <f>E40/B40*100</f>
        <v>21.247624676486364</v>
      </c>
      <c r="G40" s="107">
        <f>IFERROR(E40/C40*100,0)</f>
        <v>99.130226662891218</v>
      </c>
      <c r="H40" s="107">
        <f t="shared" si="33"/>
        <v>2224.6999999999998</v>
      </c>
      <c r="I40" s="107">
        <f t="shared" si="33"/>
        <v>1357.8</v>
      </c>
      <c r="J40" s="107">
        <f>J46+J53+J59+J65+J72</f>
        <v>6477.4999999999991</v>
      </c>
      <c r="K40" s="107">
        <f t="shared" si="33"/>
        <v>4365.0499999999993</v>
      </c>
      <c r="L40" s="107">
        <f t="shared" si="33"/>
        <v>6130.4</v>
      </c>
      <c r="M40" s="107">
        <f t="shared" si="33"/>
        <v>4578.21</v>
      </c>
      <c r="N40" s="107">
        <f t="shared" si="33"/>
        <v>6068.4500000000007</v>
      </c>
      <c r="O40" s="107">
        <f t="shared" si="33"/>
        <v>4402.5300000000007</v>
      </c>
      <c r="P40" s="107">
        <f t="shared" si="33"/>
        <v>7420.58</v>
      </c>
      <c r="Q40" s="107">
        <f t="shared" si="33"/>
        <v>0</v>
      </c>
      <c r="R40" s="107">
        <f t="shared" si="33"/>
        <v>6848.55</v>
      </c>
      <c r="S40" s="107">
        <f t="shared" si="33"/>
        <v>0</v>
      </c>
      <c r="T40" s="107">
        <f t="shared" si="33"/>
        <v>6864.1500000000005</v>
      </c>
      <c r="U40" s="107">
        <f t="shared" si="33"/>
        <v>0</v>
      </c>
      <c r="V40" s="107">
        <f t="shared" si="33"/>
        <v>4963.05</v>
      </c>
      <c r="W40" s="107">
        <f t="shared" si="33"/>
        <v>0</v>
      </c>
      <c r="X40" s="107">
        <f t="shared" si="33"/>
        <v>5345.6500000000005</v>
      </c>
      <c r="Y40" s="107">
        <f t="shared" si="33"/>
        <v>0</v>
      </c>
      <c r="Z40" s="107">
        <f t="shared" si="33"/>
        <v>4357.1500000000005</v>
      </c>
      <c r="AA40" s="107">
        <f t="shared" si="33"/>
        <v>0</v>
      </c>
      <c r="AB40" s="107">
        <f t="shared" si="33"/>
        <v>4278.99</v>
      </c>
      <c r="AC40" s="107">
        <f t="shared" si="33"/>
        <v>0</v>
      </c>
      <c r="AD40" s="107">
        <f t="shared" si="33"/>
        <v>8221.93</v>
      </c>
      <c r="AE40" s="107">
        <f t="shared" si="33"/>
        <v>0</v>
      </c>
      <c r="AF40" s="101"/>
      <c r="AG40" s="102">
        <f t="shared" si="3"/>
        <v>-2.0008883439004421E-11</v>
      </c>
    </row>
    <row r="41" spans="1:33" x14ac:dyDescent="0.3">
      <c r="A41" s="106" t="s">
        <v>170</v>
      </c>
      <c r="B41" s="107">
        <f>B47+B54+B60+B73</f>
        <v>0</v>
      </c>
      <c r="C41" s="107">
        <f>C47+C54+C60+C67+C73</f>
        <v>0</v>
      </c>
      <c r="D41" s="107">
        <f>D47+D54+D60+D67+D73</f>
        <v>0</v>
      </c>
      <c r="E41" s="107">
        <f>E47+E54+E60+E67+E73</f>
        <v>0</v>
      </c>
      <c r="F41" s="107">
        <f>IFERROR(E41/B41*100,0)</f>
        <v>0</v>
      </c>
      <c r="G41" s="107">
        <f>IFERROR(E41/C41*100,0)</f>
        <v>0</v>
      </c>
      <c r="H41" s="107">
        <f t="shared" si="33"/>
        <v>0</v>
      </c>
      <c r="I41" s="107">
        <f t="shared" si="33"/>
        <v>0</v>
      </c>
      <c r="J41" s="107">
        <f t="shared" si="33"/>
        <v>0</v>
      </c>
      <c r="K41" s="107">
        <f t="shared" si="33"/>
        <v>0</v>
      </c>
      <c r="L41" s="107">
        <f>L47+L54+L60+L67+L73</f>
        <v>0</v>
      </c>
      <c r="M41" s="107">
        <f>M47+M54+M60+M67+M73</f>
        <v>0</v>
      </c>
      <c r="N41" s="107">
        <f>N47+N54+N60+N67+N73</f>
        <v>0</v>
      </c>
      <c r="O41" s="107">
        <f>O47+O54+O60+O67+O73</f>
        <v>0</v>
      </c>
      <c r="P41" s="107">
        <f>P47+P54+P60+P67+P73</f>
        <v>0</v>
      </c>
      <c r="Q41" s="107">
        <f t="shared" si="33"/>
        <v>0</v>
      </c>
      <c r="R41" s="107">
        <f>R47+R54+R60+R67+R73</f>
        <v>0</v>
      </c>
      <c r="S41" s="107">
        <f t="shared" si="33"/>
        <v>0</v>
      </c>
      <c r="T41" s="107">
        <f>T47+T54+T60+T67+T73</f>
        <v>0</v>
      </c>
      <c r="U41" s="107">
        <f t="shared" si="33"/>
        <v>0</v>
      </c>
      <c r="V41" s="107">
        <f>V47+V54+V60+V67+V73</f>
        <v>0</v>
      </c>
      <c r="W41" s="107">
        <f t="shared" si="33"/>
        <v>0</v>
      </c>
      <c r="X41" s="107">
        <f>X47+X54+X60+X67+X73</f>
        <v>0</v>
      </c>
      <c r="Y41" s="107">
        <f t="shared" si="33"/>
        <v>0</v>
      </c>
      <c r="Z41" s="107">
        <f>Z47+Z54+Z60+Z67+Z73</f>
        <v>0</v>
      </c>
      <c r="AA41" s="107">
        <f t="shared" si="33"/>
        <v>0</v>
      </c>
      <c r="AB41" s="107">
        <f>AB47+AB54+AB60+AB67+AB73</f>
        <v>0</v>
      </c>
      <c r="AC41" s="107">
        <f t="shared" si="33"/>
        <v>0</v>
      </c>
      <c r="AD41" s="107">
        <f>AD47+AD54+AD60+AD67+AD73</f>
        <v>0</v>
      </c>
      <c r="AE41" s="107">
        <f t="shared" si="33"/>
        <v>0</v>
      </c>
      <c r="AF41" s="101"/>
      <c r="AG41" s="102">
        <f t="shared" si="3"/>
        <v>0</v>
      </c>
    </row>
    <row r="42" spans="1:33" ht="40.5" customHeight="1" x14ac:dyDescent="0.3">
      <c r="A42" s="108" t="s">
        <v>173</v>
      </c>
      <c r="B42" s="109"/>
      <c r="C42" s="110"/>
      <c r="D42" s="110"/>
      <c r="E42" s="110"/>
      <c r="F42" s="110"/>
      <c r="G42" s="110"/>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790" t="s">
        <v>579</v>
      </c>
      <c r="AG42" s="102">
        <f t="shared" si="3"/>
        <v>0</v>
      </c>
    </row>
    <row r="43" spans="1:33" x14ac:dyDescent="0.3">
      <c r="A43" s="112" t="s">
        <v>31</v>
      </c>
      <c r="B43" s="872">
        <f>B45+B46+B44+B48</f>
        <v>982.6</v>
      </c>
      <c r="C43" s="872">
        <f>C45+C46+C44+C48</f>
        <v>450</v>
      </c>
      <c r="D43" s="877">
        <f>D45+D46+D44+D48</f>
        <v>450.18</v>
      </c>
      <c r="E43" s="872">
        <f>E45+E46+E44+E48</f>
        <v>450.18</v>
      </c>
      <c r="F43" s="113">
        <f>IFERROR(E43/B43*100,0)</f>
        <v>45.815184205169956</v>
      </c>
      <c r="G43" s="113">
        <f>IFERROR(E43/C43*100,0)</f>
        <v>100.03999999999999</v>
      </c>
      <c r="H43" s="113">
        <f t="shared" ref="H43:AE43" si="35">H45+H46+H44+H48</f>
        <v>0</v>
      </c>
      <c r="I43" s="113">
        <f t="shared" si="35"/>
        <v>0</v>
      </c>
      <c r="J43" s="113">
        <f t="shared" si="35"/>
        <v>200</v>
      </c>
      <c r="K43" s="113">
        <f t="shared" si="35"/>
        <v>197.2</v>
      </c>
      <c r="L43" s="113">
        <f t="shared" si="35"/>
        <v>250</v>
      </c>
      <c r="M43" s="113">
        <f t="shared" si="35"/>
        <v>250</v>
      </c>
      <c r="N43" s="113">
        <f t="shared" si="35"/>
        <v>0</v>
      </c>
      <c r="O43" s="113">
        <f t="shared" si="35"/>
        <v>2.98</v>
      </c>
      <c r="P43" s="113">
        <f t="shared" si="35"/>
        <v>275.09999999999997</v>
      </c>
      <c r="Q43" s="113">
        <f t="shared" si="35"/>
        <v>0</v>
      </c>
      <c r="R43" s="113">
        <f t="shared" si="35"/>
        <v>257.5</v>
      </c>
      <c r="S43" s="113">
        <f t="shared" si="35"/>
        <v>0</v>
      </c>
      <c r="T43" s="113">
        <f t="shared" si="35"/>
        <v>0</v>
      </c>
      <c r="U43" s="113">
        <f t="shared" si="35"/>
        <v>0</v>
      </c>
      <c r="V43" s="113">
        <f t="shared" si="35"/>
        <v>0</v>
      </c>
      <c r="W43" s="113">
        <f t="shared" si="35"/>
        <v>0</v>
      </c>
      <c r="X43" s="113">
        <f t="shared" si="35"/>
        <v>0</v>
      </c>
      <c r="Y43" s="113">
        <f t="shared" si="35"/>
        <v>0</v>
      </c>
      <c r="Z43" s="113">
        <f t="shared" si="35"/>
        <v>0</v>
      </c>
      <c r="AA43" s="113">
        <f t="shared" si="35"/>
        <v>0</v>
      </c>
      <c r="AB43" s="113">
        <f t="shared" si="35"/>
        <v>0</v>
      </c>
      <c r="AC43" s="113">
        <f t="shared" si="35"/>
        <v>0</v>
      </c>
      <c r="AD43" s="113">
        <f t="shared" si="35"/>
        <v>0</v>
      </c>
      <c r="AE43" s="113">
        <f t="shared" si="35"/>
        <v>0</v>
      </c>
      <c r="AF43" s="29"/>
      <c r="AG43" s="102">
        <f t="shared" si="3"/>
        <v>5.6843418860808015E-14</v>
      </c>
    </row>
    <row r="44" spans="1:33" x14ac:dyDescent="0.3">
      <c r="A44" s="115" t="s">
        <v>169</v>
      </c>
      <c r="B44" s="874">
        <f t="shared" ref="B44:B46" si="36">J44+L44+N44+P44+R44+T44+V44+X44+Z44+AB44+AD44+H44</f>
        <v>105.2</v>
      </c>
      <c r="C44" s="875">
        <f>SUM(H44)</f>
        <v>0</v>
      </c>
      <c r="D44" s="876">
        <f>E44</f>
        <v>0</v>
      </c>
      <c r="E44" s="875">
        <f>SUM(I44,K44,M44,O44,Q44,S44,U44,W44,Y44,AA44,AC44,AE44)</f>
        <v>0</v>
      </c>
      <c r="F44" s="116">
        <f>IFERROR(E44/B44*100,0)</f>
        <v>0</v>
      </c>
      <c r="G44" s="116">
        <f>IFERROR(E44/C44*100,0)</f>
        <v>0</v>
      </c>
      <c r="H44" s="111"/>
      <c r="I44" s="111"/>
      <c r="J44" s="111"/>
      <c r="K44" s="111"/>
      <c r="L44" s="111"/>
      <c r="M44" s="111"/>
      <c r="N44" s="111"/>
      <c r="O44" s="111"/>
      <c r="P44" s="111">
        <v>105.2</v>
      </c>
      <c r="Q44" s="111"/>
      <c r="R44" s="111"/>
      <c r="S44" s="111"/>
      <c r="T44" s="111"/>
      <c r="U44" s="111"/>
      <c r="V44" s="111"/>
      <c r="W44" s="111"/>
      <c r="X44" s="111"/>
      <c r="Y44" s="111"/>
      <c r="Z44" s="111"/>
      <c r="AA44" s="111"/>
      <c r="AB44" s="111"/>
      <c r="AC44" s="111"/>
      <c r="AD44" s="111"/>
      <c r="AE44" s="111"/>
      <c r="AF44" s="29"/>
      <c r="AG44" s="102">
        <f t="shared" si="3"/>
        <v>0</v>
      </c>
    </row>
    <row r="45" spans="1:33" x14ac:dyDescent="0.3">
      <c r="A45" s="641" t="s">
        <v>32</v>
      </c>
      <c r="B45" s="874">
        <f t="shared" si="36"/>
        <v>128.6</v>
      </c>
      <c r="C45" s="875">
        <f>SUM(H45)</f>
        <v>0</v>
      </c>
      <c r="D45" s="876">
        <f>E45</f>
        <v>0</v>
      </c>
      <c r="E45" s="875">
        <f>SUM(I45,K45,M45,O45,Q45,S45,U45,W45,Y45,AA45,AC45,AE45)</f>
        <v>0</v>
      </c>
      <c r="F45" s="116">
        <f>IFERROR(E45/B45*100,0)</f>
        <v>0</v>
      </c>
      <c r="G45" s="116">
        <f>IFERROR(E45/C45*100,0)</f>
        <v>0</v>
      </c>
      <c r="H45" s="111"/>
      <c r="I45" s="111"/>
      <c r="J45" s="111"/>
      <c r="K45" s="111"/>
      <c r="L45" s="111"/>
      <c r="M45" s="111"/>
      <c r="N45" s="111"/>
      <c r="O45" s="111"/>
      <c r="P45" s="111">
        <v>128.6</v>
      </c>
      <c r="Q45" s="111"/>
      <c r="R45" s="111"/>
      <c r="S45" s="111"/>
      <c r="T45" s="111"/>
      <c r="U45" s="111"/>
      <c r="V45" s="111"/>
      <c r="W45" s="111"/>
      <c r="X45" s="111"/>
      <c r="Y45" s="111"/>
      <c r="Z45" s="111"/>
      <c r="AA45" s="111"/>
      <c r="AB45" s="111"/>
      <c r="AC45" s="111"/>
      <c r="AD45" s="111"/>
      <c r="AE45" s="111"/>
      <c r="AF45" s="29"/>
      <c r="AG45" s="102">
        <f t="shared" si="3"/>
        <v>0</v>
      </c>
    </row>
    <row r="46" spans="1:33" x14ac:dyDescent="0.3">
      <c r="A46" s="115" t="s">
        <v>33</v>
      </c>
      <c r="B46" s="874">
        <f t="shared" si="36"/>
        <v>748.8</v>
      </c>
      <c r="C46" s="875">
        <f>SUM(H46+J46+L46+N46)</f>
        <v>450</v>
      </c>
      <c r="D46" s="876">
        <f>E46</f>
        <v>450.18</v>
      </c>
      <c r="E46" s="875">
        <f>SUM(I46,K46,M46,O46,Q46,S46,U46,W46,Y46,AA46,AC46,AE46)</f>
        <v>450.18</v>
      </c>
      <c r="F46" s="116">
        <f>IFERROR(E46/B46*100,0)</f>
        <v>60.120192307692314</v>
      </c>
      <c r="G46" s="116">
        <f>IFERROR(E46/C46*100,0)</f>
        <v>100.03999999999999</v>
      </c>
      <c r="H46" s="111">
        <v>0</v>
      </c>
      <c r="I46" s="111">
        <v>0</v>
      </c>
      <c r="J46" s="111">
        <v>200</v>
      </c>
      <c r="K46" s="111">
        <v>197.2</v>
      </c>
      <c r="L46" s="111">
        <v>250</v>
      </c>
      <c r="M46" s="111">
        <v>250</v>
      </c>
      <c r="N46" s="111">
        <v>0</v>
      </c>
      <c r="O46" s="111">
        <v>2.98</v>
      </c>
      <c r="P46" s="111">
        <v>41.3</v>
      </c>
      <c r="Q46" s="111"/>
      <c r="R46" s="111">
        <v>257.5</v>
      </c>
      <c r="S46" s="111"/>
      <c r="T46" s="111"/>
      <c r="U46" s="111"/>
      <c r="V46" s="111"/>
      <c r="W46" s="111"/>
      <c r="X46" s="111"/>
      <c r="Y46" s="111"/>
      <c r="Z46" s="111"/>
      <c r="AA46" s="111"/>
      <c r="AB46" s="111"/>
      <c r="AC46" s="111"/>
      <c r="AD46" s="111"/>
      <c r="AE46" s="111"/>
      <c r="AF46" s="29"/>
      <c r="AG46" s="102">
        <f t="shared" si="3"/>
        <v>-5.6843418860808015E-14</v>
      </c>
    </row>
    <row r="47" spans="1:33" ht="37.5" x14ac:dyDescent="0.3">
      <c r="A47" s="119" t="s">
        <v>174</v>
      </c>
      <c r="B47" s="120">
        <v>0</v>
      </c>
      <c r="C47" s="120">
        <f>SUM(H47)</f>
        <v>0</v>
      </c>
      <c r="D47" s="120">
        <f>E47</f>
        <v>0</v>
      </c>
      <c r="E47" s="120">
        <f>SUM(I47,K47,M47,O47,Q47,S47,U47,W47,Y47,AA47,AC47,AE47)</f>
        <v>0</v>
      </c>
      <c r="F47" s="120">
        <f>IFERROR(E47/B47*100,0)</f>
        <v>0</v>
      </c>
      <c r="G47" s="120">
        <f>IFERROR(E47/C47*100,0)</f>
        <v>0</v>
      </c>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02">
        <f t="shared" si="3"/>
        <v>0</v>
      </c>
    </row>
    <row r="48" spans="1:33" x14ac:dyDescent="0.3">
      <c r="A48" s="115" t="s">
        <v>170</v>
      </c>
      <c r="B48" s="116"/>
      <c r="C48" s="117"/>
      <c r="D48" s="118"/>
      <c r="E48" s="117"/>
      <c r="F48" s="116"/>
      <c r="G48" s="116"/>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29"/>
      <c r="AG48" s="102">
        <f t="shared" si="3"/>
        <v>0</v>
      </c>
    </row>
    <row r="49" spans="1:33" ht="72" customHeight="1" x14ac:dyDescent="0.3">
      <c r="A49" s="121" t="s">
        <v>175</v>
      </c>
      <c r="B49" s="872"/>
      <c r="C49" s="873"/>
      <c r="D49" s="873"/>
      <c r="E49" s="873"/>
      <c r="F49" s="122"/>
      <c r="G49" s="122"/>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790" t="s">
        <v>580</v>
      </c>
      <c r="AG49" s="102">
        <f t="shared" si="3"/>
        <v>0</v>
      </c>
    </row>
    <row r="50" spans="1:33" x14ac:dyDescent="0.3">
      <c r="A50" s="112" t="s">
        <v>31</v>
      </c>
      <c r="B50" s="872">
        <f>B52+B53+B51+B54</f>
        <v>144.60000000000002</v>
      </c>
      <c r="C50" s="872">
        <f>C52+C53+C51+C54</f>
        <v>144.60000000000002</v>
      </c>
      <c r="D50" s="872">
        <f>D52+D53+D51+D54</f>
        <v>144.60000000000002</v>
      </c>
      <c r="E50" s="872">
        <f>E52+E53+E51+E54</f>
        <v>144.60000000000002</v>
      </c>
      <c r="F50" s="113">
        <f>IFERROR(E50/B50*100,0)</f>
        <v>100</v>
      </c>
      <c r="G50" s="113">
        <f>IFERROR(E50/C50*100,0)</f>
        <v>100</v>
      </c>
      <c r="H50" s="113">
        <f t="shared" ref="H50:AE50" si="37">H52+H53+H51+H54</f>
        <v>0</v>
      </c>
      <c r="I50" s="113">
        <f t="shared" si="37"/>
        <v>0</v>
      </c>
      <c r="J50" s="113">
        <f t="shared" si="37"/>
        <v>44.45</v>
      </c>
      <c r="K50" s="113">
        <f t="shared" si="37"/>
        <v>44.45</v>
      </c>
      <c r="L50" s="113">
        <f t="shared" si="37"/>
        <v>100.15</v>
      </c>
      <c r="M50" s="113">
        <f t="shared" si="37"/>
        <v>100.15</v>
      </c>
      <c r="N50" s="113">
        <f t="shared" si="37"/>
        <v>0</v>
      </c>
      <c r="O50" s="113">
        <f t="shared" si="37"/>
        <v>0</v>
      </c>
      <c r="P50" s="113">
        <f t="shared" si="37"/>
        <v>0</v>
      </c>
      <c r="Q50" s="113">
        <f t="shared" si="37"/>
        <v>0</v>
      </c>
      <c r="R50" s="113">
        <f t="shared" si="37"/>
        <v>0</v>
      </c>
      <c r="S50" s="113">
        <f t="shared" si="37"/>
        <v>0</v>
      </c>
      <c r="T50" s="113">
        <f t="shared" si="37"/>
        <v>0</v>
      </c>
      <c r="U50" s="113">
        <f t="shared" si="37"/>
        <v>0</v>
      </c>
      <c r="V50" s="113">
        <f t="shared" si="37"/>
        <v>0</v>
      </c>
      <c r="W50" s="113">
        <f t="shared" si="37"/>
        <v>0</v>
      </c>
      <c r="X50" s="113">
        <f t="shared" si="37"/>
        <v>0</v>
      </c>
      <c r="Y50" s="113">
        <f t="shared" si="37"/>
        <v>0</v>
      </c>
      <c r="Z50" s="113">
        <f t="shared" si="37"/>
        <v>0</v>
      </c>
      <c r="AA50" s="113">
        <f t="shared" si="37"/>
        <v>0</v>
      </c>
      <c r="AB50" s="113">
        <f t="shared" si="37"/>
        <v>0</v>
      </c>
      <c r="AC50" s="113">
        <f t="shared" si="37"/>
        <v>0</v>
      </c>
      <c r="AD50" s="113">
        <f t="shared" si="37"/>
        <v>0</v>
      </c>
      <c r="AE50" s="113">
        <f t="shared" si="37"/>
        <v>0</v>
      </c>
      <c r="AF50" s="29"/>
      <c r="AG50" s="102">
        <f t="shared" si="3"/>
        <v>1.4210854715202004E-14</v>
      </c>
    </row>
    <row r="51" spans="1:33" x14ac:dyDescent="0.3">
      <c r="A51" s="115" t="s">
        <v>169</v>
      </c>
      <c r="B51" s="874"/>
      <c r="C51" s="875"/>
      <c r="D51" s="876"/>
      <c r="E51" s="875"/>
      <c r="F51" s="116"/>
      <c r="G51" s="116"/>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29"/>
      <c r="AG51" s="102">
        <f t="shared" si="3"/>
        <v>0</v>
      </c>
    </row>
    <row r="52" spans="1:33" x14ac:dyDescent="0.3">
      <c r="A52" s="115" t="s">
        <v>32</v>
      </c>
      <c r="B52" s="874"/>
      <c r="C52" s="875"/>
      <c r="D52" s="876"/>
      <c r="E52" s="875"/>
      <c r="F52" s="116"/>
      <c r="G52" s="116"/>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29"/>
      <c r="AG52" s="102">
        <f t="shared" si="3"/>
        <v>0</v>
      </c>
    </row>
    <row r="53" spans="1:33" x14ac:dyDescent="0.3">
      <c r="A53" s="115" t="s">
        <v>33</v>
      </c>
      <c r="B53" s="874">
        <f>J53+L53+N53+P53+R53+T53+V53+X53+Z53+AB53+AD53+H53</f>
        <v>144.60000000000002</v>
      </c>
      <c r="C53" s="875">
        <f>SUM(H53+N53+J53+L53)</f>
        <v>144.60000000000002</v>
      </c>
      <c r="D53" s="876">
        <f>E53</f>
        <v>144.60000000000002</v>
      </c>
      <c r="E53" s="875">
        <f>SUM(I53,K53,M53,O53,Q53,S53,U53,W53,Y53,AA53,AC53,AE53)</f>
        <v>144.60000000000002</v>
      </c>
      <c r="F53" s="116">
        <f>IFERROR(E53/B53*100,0)</f>
        <v>100</v>
      </c>
      <c r="G53" s="116">
        <f>IFERROR(E53/C53*100,0)</f>
        <v>100</v>
      </c>
      <c r="H53" s="111">
        <v>0</v>
      </c>
      <c r="I53" s="111">
        <v>0</v>
      </c>
      <c r="J53" s="111">
        <v>44.45</v>
      </c>
      <c r="K53" s="111">
        <v>44.45</v>
      </c>
      <c r="L53" s="111">
        <v>100.15</v>
      </c>
      <c r="M53" s="111">
        <v>100.15</v>
      </c>
      <c r="N53" s="111">
        <v>0</v>
      </c>
      <c r="O53" s="111">
        <v>0</v>
      </c>
      <c r="P53" s="111"/>
      <c r="Q53" s="111"/>
      <c r="R53" s="111"/>
      <c r="S53" s="111"/>
      <c r="T53" s="111"/>
      <c r="U53" s="111"/>
      <c r="V53" s="111"/>
      <c r="W53" s="111"/>
      <c r="X53" s="111"/>
      <c r="Y53" s="111"/>
      <c r="Z53" s="111"/>
      <c r="AA53" s="111"/>
      <c r="AB53" s="111"/>
      <c r="AC53" s="111"/>
      <c r="AD53" s="111"/>
      <c r="AE53" s="111"/>
      <c r="AF53" s="29"/>
      <c r="AG53" s="102">
        <f t="shared" si="3"/>
        <v>1.4210854715202004E-14</v>
      </c>
    </row>
    <row r="54" spans="1:33" x14ac:dyDescent="0.3">
      <c r="A54" s="115" t="s">
        <v>170</v>
      </c>
      <c r="B54" s="874"/>
      <c r="C54" s="875"/>
      <c r="D54" s="876"/>
      <c r="E54" s="875"/>
      <c r="F54" s="116"/>
      <c r="G54" s="116"/>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29"/>
      <c r="AG54" s="102">
        <f t="shared" si="3"/>
        <v>0</v>
      </c>
    </row>
    <row r="55" spans="1:33" ht="62.25" customHeight="1" x14ac:dyDescent="0.3">
      <c r="A55" s="123" t="s">
        <v>176</v>
      </c>
      <c r="B55" s="872"/>
      <c r="C55" s="873"/>
      <c r="D55" s="873"/>
      <c r="E55" s="873"/>
      <c r="F55" s="122"/>
      <c r="G55" s="122"/>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789" t="s">
        <v>581</v>
      </c>
      <c r="AG55" s="102">
        <f t="shared" si="3"/>
        <v>0</v>
      </c>
    </row>
    <row r="56" spans="1:33" x14ac:dyDescent="0.3">
      <c r="A56" s="112" t="s">
        <v>31</v>
      </c>
      <c r="B56" s="872">
        <f>B58+B59+B57+B60</f>
        <v>68238.600000000006</v>
      </c>
      <c r="C56" s="872">
        <f>C58+C59+C57+C60</f>
        <v>14216.099999999999</v>
      </c>
      <c r="D56" s="113">
        <f>D58+D59+D57+D60</f>
        <v>14082.460000000001</v>
      </c>
      <c r="E56" s="113">
        <f>E58+E59+E57+E60</f>
        <v>14082.460000000001</v>
      </c>
      <c r="F56" s="113">
        <f>IFERROR(E56/B56*100,0)</f>
        <v>20.637088099697237</v>
      </c>
      <c r="G56" s="113">
        <f>IFERROR(E56/C56*100,0)</f>
        <v>99.059939083152216</v>
      </c>
      <c r="H56" s="872">
        <f t="shared" ref="H56:AE56" si="38">H58+H59+H57+H60</f>
        <v>2224.6999999999998</v>
      </c>
      <c r="I56" s="872">
        <f t="shared" si="38"/>
        <v>1357.8</v>
      </c>
      <c r="J56" s="872">
        <f t="shared" si="38"/>
        <v>6221.4</v>
      </c>
      <c r="K56" s="872">
        <f t="shared" si="38"/>
        <v>4111.75</v>
      </c>
      <c r="L56" s="872">
        <f t="shared" si="38"/>
        <v>5770</v>
      </c>
      <c r="M56" s="113">
        <f t="shared" si="38"/>
        <v>4217.8100000000004</v>
      </c>
      <c r="N56" s="113">
        <f t="shared" si="38"/>
        <v>6064</v>
      </c>
      <c r="O56" s="113">
        <f t="shared" si="38"/>
        <v>4395.1000000000004</v>
      </c>
      <c r="P56" s="113">
        <f t="shared" si="38"/>
        <v>7360.8</v>
      </c>
      <c r="Q56" s="113">
        <f t="shared" si="38"/>
        <v>0</v>
      </c>
      <c r="R56" s="113">
        <f t="shared" si="38"/>
        <v>6589.5</v>
      </c>
      <c r="S56" s="113">
        <f t="shared" si="38"/>
        <v>0</v>
      </c>
      <c r="T56" s="113">
        <f t="shared" si="38"/>
        <v>6862.6</v>
      </c>
      <c r="U56" s="113">
        <f t="shared" si="38"/>
        <v>0</v>
      </c>
      <c r="V56" s="113">
        <f t="shared" si="38"/>
        <v>4961.5</v>
      </c>
      <c r="W56" s="113">
        <f t="shared" si="38"/>
        <v>0</v>
      </c>
      <c r="X56" s="113">
        <f t="shared" si="38"/>
        <v>5331.5</v>
      </c>
      <c r="Y56" s="113">
        <f t="shared" si="38"/>
        <v>0</v>
      </c>
      <c r="Z56" s="113">
        <f t="shared" si="38"/>
        <v>4355.6000000000004</v>
      </c>
      <c r="AA56" s="113">
        <f t="shared" si="38"/>
        <v>0</v>
      </c>
      <c r="AB56" s="113">
        <f t="shared" si="38"/>
        <v>4277.4399999999996</v>
      </c>
      <c r="AC56" s="113">
        <f t="shared" si="38"/>
        <v>0</v>
      </c>
      <c r="AD56" s="113">
        <f t="shared" si="38"/>
        <v>8219.56</v>
      </c>
      <c r="AE56" s="113">
        <f t="shared" si="38"/>
        <v>0</v>
      </c>
      <c r="AF56" s="29"/>
      <c r="AG56" s="102">
        <f t="shared" si="3"/>
        <v>0</v>
      </c>
    </row>
    <row r="57" spans="1:33" x14ac:dyDescent="0.3">
      <c r="A57" s="115" t="s">
        <v>169</v>
      </c>
      <c r="B57" s="874"/>
      <c r="C57" s="875"/>
      <c r="D57" s="118"/>
      <c r="E57" s="117"/>
      <c r="F57" s="116"/>
      <c r="G57" s="116"/>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29"/>
      <c r="AG57" s="102">
        <f t="shared" si="3"/>
        <v>0</v>
      </c>
    </row>
    <row r="58" spans="1:33" x14ac:dyDescent="0.3">
      <c r="A58" s="115" t="s">
        <v>32</v>
      </c>
      <c r="B58" s="874"/>
      <c r="C58" s="875"/>
      <c r="D58" s="118"/>
      <c r="E58" s="117"/>
      <c r="F58" s="116"/>
      <c r="G58" s="116"/>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29"/>
      <c r="AG58" s="102">
        <f t="shared" si="3"/>
        <v>0</v>
      </c>
    </row>
    <row r="59" spans="1:33" x14ac:dyDescent="0.3">
      <c r="A59" s="115" t="s">
        <v>33</v>
      </c>
      <c r="B59" s="874">
        <f>J59+L59+N59+P59+R59+T59+V59+X59+Z59+AB59+AD59+H59</f>
        <v>68238.600000000006</v>
      </c>
      <c r="C59" s="875">
        <f>SUM(H59+J59+L59)</f>
        <v>14216.099999999999</v>
      </c>
      <c r="D59" s="118">
        <f>E59</f>
        <v>14082.460000000001</v>
      </c>
      <c r="E59" s="117">
        <f>SUM(I59,K59,M59,O59,Q59,S59,U59,W59,Y59,AA59,AC59,AE59)</f>
        <v>14082.460000000001</v>
      </c>
      <c r="F59" s="116">
        <f>IFERROR(E59/B59*100,0)</f>
        <v>20.637088099697237</v>
      </c>
      <c r="G59" s="116">
        <f>IFERROR(E59/C59*100,0)</f>
        <v>99.059939083152216</v>
      </c>
      <c r="H59" s="111">
        <v>2224.6999999999998</v>
      </c>
      <c r="I59" s="111">
        <v>1357.8</v>
      </c>
      <c r="J59" s="111">
        <v>6221.4</v>
      </c>
      <c r="K59" s="111">
        <v>4111.75</v>
      </c>
      <c r="L59" s="111">
        <v>5770</v>
      </c>
      <c r="M59" s="111">
        <v>4217.8100000000004</v>
      </c>
      <c r="N59" s="111">
        <v>6064</v>
      </c>
      <c r="O59" s="111">
        <v>4395.1000000000004</v>
      </c>
      <c r="P59" s="111">
        <f>6884+476.8</f>
        <v>7360.8</v>
      </c>
      <c r="Q59" s="111"/>
      <c r="R59" s="111">
        <v>6589.5</v>
      </c>
      <c r="S59" s="111"/>
      <c r="T59" s="111">
        <f>6501.5+361.1</f>
        <v>6862.6</v>
      </c>
      <c r="U59" s="111"/>
      <c r="V59" s="111">
        <v>4961.5</v>
      </c>
      <c r="W59" s="111"/>
      <c r="X59" s="111">
        <v>5331.5</v>
      </c>
      <c r="Y59" s="111"/>
      <c r="Z59" s="111">
        <v>4355.6000000000004</v>
      </c>
      <c r="AA59" s="111"/>
      <c r="AB59" s="111">
        <v>4277.4399999999996</v>
      </c>
      <c r="AC59" s="111"/>
      <c r="AD59" s="111">
        <v>8219.56</v>
      </c>
      <c r="AE59" s="111"/>
      <c r="AF59" s="29"/>
      <c r="AG59" s="102">
        <f t="shared" si="3"/>
        <v>0</v>
      </c>
    </row>
    <row r="60" spans="1:33" x14ac:dyDescent="0.3">
      <c r="A60" s="115" t="s">
        <v>170</v>
      </c>
      <c r="B60" s="116"/>
      <c r="C60" s="117"/>
      <c r="D60" s="118"/>
      <c r="E60" s="117"/>
      <c r="F60" s="116"/>
      <c r="G60" s="116"/>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29"/>
      <c r="AG60" s="102">
        <f t="shared" si="3"/>
        <v>0</v>
      </c>
    </row>
    <row r="61" spans="1:33" ht="101.25" customHeight="1" x14ac:dyDescent="0.3">
      <c r="A61" s="88" t="s">
        <v>177</v>
      </c>
      <c r="B61" s="116"/>
      <c r="C61" s="124"/>
      <c r="D61" s="124"/>
      <c r="E61" s="124"/>
      <c r="F61" s="124"/>
      <c r="G61" s="124"/>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792" t="s">
        <v>582</v>
      </c>
      <c r="AG61" s="102">
        <f t="shared" si="3"/>
        <v>0</v>
      </c>
    </row>
    <row r="62" spans="1:33" x14ac:dyDescent="0.3">
      <c r="A62" s="11" t="s">
        <v>31</v>
      </c>
      <c r="B62" s="872">
        <f>B64+B65+B63+B67</f>
        <v>277.7</v>
      </c>
      <c r="C62" s="872">
        <f>C64+C65+C63+C67</f>
        <v>9.4</v>
      </c>
      <c r="D62" s="877">
        <f>D64+D65+D63+D67</f>
        <v>22.1</v>
      </c>
      <c r="E62" s="113">
        <f>E64+E65+E63+E67</f>
        <v>22.1</v>
      </c>
      <c r="F62" s="113">
        <f>IFERROR(E62/B62*100,0)</f>
        <v>7.9582283039250994</v>
      </c>
      <c r="G62" s="113">
        <f>IFERROR(E62/C62*100,0)</f>
        <v>235.10638297872339</v>
      </c>
      <c r="H62" s="113">
        <f t="shared" ref="H62:AE62" si="39">H64+H65+H63+H67</f>
        <v>0</v>
      </c>
      <c r="I62" s="113">
        <f t="shared" si="39"/>
        <v>0</v>
      </c>
      <c r="J62" s="113">
        <f t="shared" si="39"/>
        <v>0</v>
      </c>
      <c r="K62" s="113">
        <f t="shared" si="39"/>
        <v>0</v>
      </c>
      <c r="L62" s="113">
        <f t="shared" si="39"/>
        <v>9.4</v>
      </c>
      <c r="M62" s="113">
        <f t="shared" si="39"/>
        <v>9.4</v>
      </c>
      <c r="N62" s="113">
        <f t="shared" si="39"/>
        <v>12.7</v>
      </c>
      <c r="O62" s="113">
        <f t="shared" si="39"/>
        <v>12.7</v>
      </c>
      <c r="P62" s="113">
        <f t="shared" si="39"/>
        <v>82.7</v>
      </c>
      <c r="Q62" s="113">
        <f t="shared" si="39"/>
        <v>0</v>
      </c>
      <c r="R62" s="113">
        <f t="shared" si="39"/>
        <v>12.7</v>
      </c>
      <c r="S62" s="113">
        <f t="shared" si="39"/>
        <v>0</v>
      </c>
      <c r="T62" s="113">
        <f t="shared" si="39"/>
        <v>12.7</v>
      </c>
      <c r="U62" s="113">
        <f t="shared" si="39"/>
        <v>0</v>
      </c>
      <c r="V62" s="113">
        <f t="shared" si="39"/>
        <v>12.7</v>
      </c>
      <c r="W62" s="113">
        <f t="shared" si="39"/>
        <v>0</v>
      </c>
      <c r="X62" s="113">
        <f t="shared" si="39"/>
        <v>96.7</v>
      </c>
      <c r="Y62" s="113">
        <f t="shared" si="39"/>
        <v>0</v>
      </c>
      <c r="Z62" s="113">
        <f t="shared" si="39"/>
        <v>12.7</v>
      </c>
      <c r="AA62" s="113">
        <f t="shared" si="39"/>
        <v>0</v>
      </c>
      <c r="AB62" s="113">
        <f t="shared" si="39"/>
        <v>12.7</v>
      </c>
      <c r="AC62" s="113">
        <f t="shared" si="39"/>
        <v>0</v>
      </c>
      <c r="AD62" s="113">
        <f t="shared" si="39"/>
        <v>12.7</v>
      </c>
      <c r="AE62" s="113">
        <f t="shared" si="39"/>
        <v>0</v>
      </c>
      <c r="AF62" s="29"/>
      <c r="AG62" s="102">
        <f t="shared" si="3"/>
        <v>6.7501559897209518E-14</v>
      </c>
    </row>
    <row r="63" spans="1:33" x14ac:dyDescent="0.3">
      <c r="A63" s="7" t="s">
        <v>169</v>
      </c>
      <c r="B63" s="874"/>
      <c r="C63" s="875"/>
      <c r="D63" s="876"/>
      <c r="E63" s="117"/>
      <c r="F63" s="116"/>
      <c r="G63" s="116"/>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29"/>
      <c r="AG63" s="102">
        <f t="shared" si="3"/>
        <v>0</v>
      </c>
    </row>
    <row r="64" spans="1:33" x14ac:dyDescent="0.3">
      <c r="A64" s="714" t="s">
        <v>32</v>
      </c>
      <c r="B64" s="874">
        <f t="shared" ref="B64:B66" si="40">J64+L64+N64+P64+R64+T64+V64+X64+Z64+AB64+AD64+H64</f>
        <v>236</v>
      </c>
      <c r="C64" s="875">
        <f>SUM(H64)</f>
        <v>0</v>
      </c>
      <c r="D64" s="876">
        <f>E64</f>
        <v>9.1</v>
      </c>
      <c r="E64" s="117">
        <f>SUM(I64,K64,M64,O64,Q64,S64,U64,W64,Y64,AA64,AC64,AE64)</f>
        <v>9.1</v>
      </c>
      <c r="F64" s="116">
        <f>IFERROR(E64/B64*100,0)</f>
        <v>3.85593220338983</v>
      </c>
      <c r="G64" s="116">
        <f>IFERROR(E64/C64*100,0)</f>
        <v>0</v>
      </c>
      <c r="H64" s="111"/>
      <c r="I64" s="111"/>
      <c r="J64" s="111"/>
      <c r="K64" s="111"/>
      <c r="L64" s="111"/>
      <c r="M64" s="111"/>
      <c r="N64" s="111">
        <v>9.1</v>
      </c>
      <c r="O64" s="111">
        <v>9.1</v>
      </c>
      <c r="P64" s="111">
        <v>71.5</v>
      </c>
      <c r="Q64" s="111"/>
      <c r="R64" s="111">
        <v>12</v>
      </c>
      <c r="S64" s="111"/>
      <c r="T64" s="111">
        <v>12</v>
      </c>
      <c r="U64" s="111"/>
      <c r="V64" s="111">
        <v>12</v>
      </c>
      <c r="W64" s="111"/>
      <c r="X64" s="111">
        <v>83.4</v>
      </c>
      <c r="Y64" s="111"/>
      <c r="Z64" s="111">
        <v>12</v>
      </c>
      <c r="AA64" s="111"/>
      <c r="AB64" s="111">
        <v>12</v>
      </c>
      <c r="AC64" s="111"/>
      <c r="AD64" s="111">
        <v>12</v>
      </c>
      <c r="AE64" s="111"/>
      <c r="AF64" s="29"/>
      <c r="AG64" s="102">
        <f t="shared" si="3"/>
        <v>0</v>
      </c>
    </row>
    <row r="65" spans="1:33" x14ac:dyDescent="0.3">
      <c r="A65" s="7" t="s">
        <v>33</v>
      </c>
      <c r="B65" s="874">
        <f t="shared" si="40"/>
        <v>41.7</v>
      </c>
      <c r="C65" s="875">
        <f>SUM(H65+J65+L65)</f>
        <v>9.4</v>
      </c>
      <c r="D65" s="876">
        <f>E65</f>
        <v>13</v>
      </c>
      <c r="E65" s="117">
        <f>SUM(I65,K65,M65,O65,Q65,S65,U65,W65,Y65,AA65,AC65,AE65)</f>
        <v>13</v>
      </c>
      <c r="F65" s="116">
        <f>IFERROR(E65/B65*100,0)</f>
        <v>31.175059952038371</v>
      </c>
      <c r="G65" s="116">
        <f>IFERROR(E65/C65*100,0)</f>
        <v>138.29787234042553</v>
      </c>
      <c r="H65" s="111">
        <v>0</v>
      </c>
      <c r="I65" s="111">
        <v>0</v>
      </c>
      <c r="J65" s="111">
        <v>0</v>
      </c>
      <c r="K65" s="111">
        <v>0</v>
      </c>
      <c r="L65" s="111">
        <v>9.4</v>
      </c>
      <c r="M65" s="111">
        <v>9.4</v>
      </c>
      <c r="N65" s="111">
        <v>3.6</v>
      </c>
      <c r="O65" s="111">
        <v>3.6</v>
      </c>
      <c r="P65" s="111">
        <v>11.2</v>
      </c>
      <c r="Q65" s="111"/>
      <c r="R65" s="111">
        <v>0.7</v>
      </c>
      <c r="S65" s="111"/>
      <c r="T65" s="111">
        <v>0.7</v>
      </c>
      <c r="U65" s="111"/>
      <c r="V65" s="111">
        <v>0.7</v>
      </c>
      <c r="W65" s="111"/>
      <c r="X65" s="111">
        <v>13.3</v>
      </c>
      <c r="Y65" s="111"/>
      <c r="Z65" s="111">
        <v>0.7</v>
      </c>
      <c r="AA65" s="111"/>
      <c r="AB65" s="111">
        <v>0.7</v>
      </c>
      <c r="AC65" s="111"/>
      <c r="AD65" s="111">
        <v>0.7</v>
      </c>
      <c r="AE65" s="111"/>
      <c r="AF65" s="29"/>
      <c r="AG65" s="102">
        <f t="shared" si="3"/>
        <v>5.1070259132757201E-15</v>
      </c>
    </row>
    <row r="66" spans="1:33" s="61" customFormat="1" ht="37.5" x14ac:dyDescent="0.3">
      <c r="A66" s="119" t="s">
        <v>174</v>
      </c>
      <c r="B66" s="120">
        <f t="shared" si="40"/>
        <v>41.7</v>
      </c>
      <c r="C66" s="120">
        <f>SUM(H66+J66+L66)</f>
        <v>9.4</v>
      </c>
      <c r="D66" s="120">
        <f>E66</f>
        <v>13</v>
      </c>
      <c r="E66" s="120">
        <f>SUM(I66,K66,M66,O66,Q66,S66,U66,W66,Y66,AA66,AC66,AE66)</f>
        <v>13</v>
      </c>
      <c r="F66" s="120">
        <f>IFERROR(E66/B66*100,0)</f>
        <v>31.175059952038371</v>
      </c>
      <c r="G66" s="120">
        <f>IFERROR(E66/C66*100,0)</f>
        <v>138.29787234042553</v>
      </c>
      <c r="H66" s="120"/>
      <c r="I66" s="120"/>
      <c r="J66" s="120"/>
      <c r="K66" s="120"/>
      <c r="L66" s="120">
        <v>9.4</v>
      </c>
      <c r="M66" s="120">
        <v>9.4</v>
      </c>
      <c r="N66" s="120">
        <v>3.6</v>
      </c>
      <c r="O66" s="120">
        <v>3.6</v>
      </c>
      <c r="P66" s="120">
        <v>11.2</v>
      </c>
      <c r="Q66" s="120"/>
      <c r="R66" s="120">
        <v>0.7</v>
      </c>
      <c r="S66" s="120"/>
      <c r="T66" s="120">
        <v>0.7</v>
      </c>
      <c r="U66" s="120"/>
      <c r="V66" s="120">
        <v>0.7</v>
      </c>
      <c r="W66" s="120"/>
      <c r="X66" s="120">
        <v>13.3</v>
      </c>
      <c r="Y66" s="120"/>
      <c r="Z66" s="120">
        <v>0.7</v>
      </c>
      <c r="AA66" s="120"/>
      <c r="AB66" s="120">
        <v>0.7</v>
      </c>
      <c r="AC66" s="120"/>
      <c r="AD66" s="120">
        <v>0.7</v>
      </c>
      <c r="AE66" s="868"/>
      <c r="AF66" s="868"/>
      <c r="AG66" s="869">
        <f t="shared" si="3"/>
        <v>5.1070259132757201E-15</v>
      </c>
    </row>
    <row r="67" spans="1:33" x14ac:dyDescent="0.3">
      <c r="A67" s="7" t="s">
        <v>170</v>
      </c>
      <c r="B67" s="116"/>
      <c r="C67" s="117"/>
      <c r="D67" s="118"/>
      <c r="E67" s="117"/>
      <c r="F67" s="116"/>
      <c r="G67" s="116"/>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29"/>
      <c r="AG67" s="102">
        <f t="shared" si="3"/>
        <v>0</v>
      </c>
    </row>
    <row r="68" spans="1:33" ht="39" customHeight="1" x14ac:dyDescent="0.3">
      <c r="A68" s="123" t="s">
        <v>178</v>
      </c>
      <c r="B68" s="113"/>
      <c r="C68" s="122"/>
      <c r="D68" s="122"/>
      <c r="E68" s="122"/>
      <c r="F68" s="122"/>
      <c r="G68" s="122"/>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790" t="s">
        <v>583</v>
      </c>
      <c r="AG68" s="102">
        <f t="shared" si="3"/>
        <v>0</v>
      </c>
    </row>
    <row r="69" spans="1:33" x14ac:dyDescent="0.3">
      <c r="A69" s="112" t="s">
        <v>31</v>
      </c>
      <c r="B69" s="872">
        <f>B72+B71+B70+B73</f>
        <v>182.5</v>
      </c>
      <c r="C69" s="113">
        <f t="shared" ref="C69:E69" si="41">C72+C71+C70+C73</f>
        <v>23.3</v>
      </c>
      <c r="D69" s="113">
        <f t="shared" si="41"/>
        <v>34.950000000000003</v>
      </c>
      <c r="E69" s="113">
        <f t="shared" si="41"/>
        <v>34.950000000000003</v>
      </c>
      <c r="F69" s="113">
        <f>IFERROR(E69/B69*100,0)</f>
        <v>19.150684931506852</v>
      </c>
      <c r="G69" s="113">
        <f>IFERROR(E69/C69*100,0)</f>
        <v>150</v>
      </c>
      <c r="H69" s="113">
        <f t="shared" ref="H69:U69" si="42">H72+H71+H70+H73</f>
        <v>0</v>
      </c>
      <c r="I69" s="113">
        <f t="shared" si="42"/>
        <v>0</v>
      </c>
      <c r="J69" s="113">
        <f t="shared" si="42"/>
        <v>11.65</v>
      </c>
      <c r="K69" s="113">
        <f t="shared" si="42"/>
        <v>11.65</v>
      </c>
      <c r="L69" s="113">
        <f t="shared" si="42"/>
        <v>11.65</v>
      </c>
      <c r="M69" s="113">
        <f t="shared" si="42"/>
        <v>11.65</v>
      </c>
      <c r="N69" s="113">
        <f t="shared" si="42"/>
        <v>11.65</v>
      </c>
      <c r="O69" s="113">
        <f t="shared" si="42"/>
        <v>11.65</v>
      </c>
      <c r="P69" s="113">
        <f t="shared" si="42"/>
        <v>54.35</v>
      </c>
      <c r="Q69" s="113">
        <f t="shared" si="42"/>
        <v>0</v>
      </c>
      <c r="R69" s="113">
        <f t="shared" si="42"/>
        <v>11.65</v>
      </c>
      <c r="S69" s="113">
        <f t="shared" si="42"/>
        <v>0</v>
      </c>
      <c r="T69" s="113">
        <f t="shared" si="42"/>
        <v>11.65</v>
      </c>
      <c r="U69" s="113">
        <f t="shared" si="42"/>
        <v>0</v>
      </c>
      <c r="V69" s="113">
        <f t="shared" ref="V69:AE69" si="43">V71+V72+V70+V73</f>
        <v>11.65</v>
      </c>
      <c r="W69" s="113">
        <f t="shared" si="43"/>
        <v>0</v>
      </c>
      <c r="X69" s="113">
        <f t="shared" si="43"/>
        <v>11.65</v>
      </c>
      <c r="Y69" s="113">
        <f t="shared" si="43"/>
        <v>0</v>
      </c>
      <c r="Z69" s="113">
        <f t="shared" si="43"/>
        <v>11.65</v>
      </c>
      <c r="AA69" s="113">
        <f t="shared" si="43"/>
        <v>0</v>
      </c>
      <c r="AB69" s="113">
        <f t="shared" si="43"/>
        <v>11.65</v>
      </c>
      <c r="AC69" s="113">
        <f t="shared" si="43"/>
        <v>0</v>
      </c>
      <c r="AD69" s="113">
        <f t="shared" si="43"/>
        <v>23.299999999999997</v>
      </c>
      <c r="AE69" s="113">
        <f t="shared" si="43"/>
        <v>0</v>
      </c>
      <c r="AF69" s="29"/>
      <c r="AG69" s="102">
        <f t="shared" si="3"/>
        <v>0</v>
      </c>
    </row>
    <row r="70" spans="1:33" x14ac:dyDescent="0.3">
      <c r="A70" s="115" t="s">
        <v>169</v>
      </c>
      <c r="B70" s="874"/>
      <c r="C70" s="117"/>
      <c r="D70" s="118"/>
      <c r="E70" s="117"/>
      <c r="F70" s="116"/>
      <c r="G70" s="116"/>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29"/>
      <c r="AG70" s="102">
        <f t="shared" si="3"/>
        <v>0</v>
      </c>
    </row>
    <row r="71" spans="1:33" x14ac:dyDescent="0.3">
      <c r="A71" s="641" t="s">
        <v>32</v>
      </c>
      <c r="B71" s="874">
        <f t="shared" ref="B71:B72" si="44">J71+L71+N71+P71+R71+T71+V71+X71+Z71+AB71+AD71+H71</f>
        <v>155.1</v>
      </c>
      <c r="C71" s="117">
        <f>SUM(H71+J71+L71)</f>
        <v>10.8</v>
      </c>
      <c r="D71" s="118">
        <f t="shared" ref="D71:D72" si="45">E71</f>
        <v>21.6</v>
      </c>
      <c r="E71" s="117">
        <f t="shared" ref="E71:E72" si="46">SUM(I71,K71,M71,O71,Q71,S71,U71,W71,Y71,AA71,AC71,AE71)</f>
        <v>21.6</v>
      </c>
      <c r="F71" s="116">
        <f>IFERROR(E71/#REF!*100,0)</f>
        <v>0</v>
      </c>
      <c r="G71" s="116">
        <f>IFERROR(E71/C71*100,0)</f>
        <v>200</v>
      </c>
      <c r="H71" s="111"/>
      <c r="I71" s="111"/>
      <c r="J71" s="111">
        <v>0</v>
      </c>
      <c r="K71" s="111">
        <v>0</v>
      </c>
      <c r="L71" s="111">
        <v>10.8</v>
      </c>
      <c r="M71" s="111">
        <v>10.8</v>
      </c>
      <c r="N71" s="111">
        <v>10.8</v>
      </c>
      <c r="O71" s="111">
        <v>10.8</v>
      </c>
      <c r="P71" s="111">
        <v>47.07</v>
      </c>
      <c r="Q71" s="111"/>
      <c r="R71" s="111">
        <v>10.8</v>
      </c>
      <c r="S71" s="111"/>
      <c r="T71" s="111">
        <v>10.8</v>
      </c>
      <c r="U71" s="111"/>
      <c r="V71" s="111">
        <v>10.8</v>
      </c>
      <c r="W71" s="111"/>
      <c r="X71" s="111">
        <v>10.8</v>
      </c>
      <c r="Y71" s="111"/>
      <c r="Z71" s="111">
        <v>10.8</v>
      </c>
      <c r="AA71" s="111"/>
      <c r="AB71" s="111">
        <v>10.8</v>
      </c>
      <c r="AC71" s="111"/>
      <c r="AD71" s="111">
        <v>21.63</v>
      </c>
      <c r="AE71" s="111"/>
      <c r="AF71" s="29"/>
      <c r="AG71" s="102">
        <f t="shared" si="3"/>
        <v>0</v>
      </c>
    </row>
    <row r="72" spans="1:33" x14ac:dyDescent="0.3">
      <c r="A72" s="115" t="s">
        <v>33</v>
      </c>
      <c r="B72" s="874">
        <f t="shared" si="44"/>
        <v>27.400000000000006</v>
      </c>
      <c r="C72" s="117">
        <f>SUM(H72+J72+L72)</f>
        <v>12.5</v>
      </c>
      <c r="D72" s="118">
        <f t="shared" si="45"/>
        <v>13.35</v>
      </c>
      <c r="E72" s="117">
        <f t="shared" si="46"/>
        <v>13.35</v>
      </c>
      <c r="F72" s="116">
        <f>IFERROR(E72/B71*100,0)</f>
        <v>8.6073500967117997</v>
      </c>
      <c r="G72" s="116">
        <f>IFERROR(E72/C72*100,0)</f>
        <v>106.80000000000001</v>
      </c>
      <c r="H72" s="111">
        <v>0</v>
      </c>
      <c r="I72" s="111">
        <v>0</v>
      </c>
      <c r="J72" s="111">
        <v>11.65</v>
      </c>
      <c r="K72" s="111">
        <v>11.65</v>
      </c>
      <c r="L72" s="111">
        <v>0.85</v>
      </c>
      <c r="M72" s="111">
        <v>0.85</v>
      </c>
      <c r="N72" s="111">
        <v>0.85</v>
      </c>
      <c r="O72" s="111">
        <v>0.85</v>
      </c>
      <c r="P72" s="111">
        <v>7.28</v>
      </c>
      <c r="Q72" s="111"/>
      <c r="R72" s="111">
        <v>0.85</v>
      </c>
      <c r="S72" s="111"/>
      <c r="T72" s="111">
        <v>0.85</v>
      </c>
      <c r="U72" s="111"/>
      <c r="V72" s="111">
        <v>0.85</v>
      </c>
      <c r="W72" s="111"/>
      <c r="X72" s="111">
        <v>0.85</v>
      </c>
      <c r="Y72" s="111"/>
      <c r="Z72" s="111">
        <v>0.85</v>
      </c>
      <c r="AA72" s="111"/>
      <c r="AB72" s="111">
        <v>0.85</v>
      </c>
      <c r="AC72" s="111"/>
      <c r="AD72" s="111">
        <v>1.67</v>
      </c>
      <c r="AE72" s="111"/>
      <c r="AF72" s="29"/>
      <c r="AG72" s="102">
        <f t="shared" si="3"/>
        <v>6.6613381477509392E-15</v>
      </c>
    </row>
    <row r="73" spans="1:33" x14ac:dyDescent="0.3">
      <c r="A73" s="115" t="s">
        <v>170</v>
      </c>
      <c r="B73" s="116"/>
      <c r="C73" s="117"/>
      <c r="D73" s="118"/>
      <c r="E73" s="117"/>
      <c r="F73" s="116"/>
      <c r="G73" s="116"/>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29"/>
      <c r="AG73" s="102">
        <f t="shared" si="3"/>
        <v>0</v>
      </c>
    </row>
    <row r="74" spans="1:33" x14ac:dyDescent="0.3">
      <c r="A74" s="125" t="s">
        <v>179</v>
      </c>
      <c r="B74" s="104"/>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01"/>
      <c r="AG74" s="102">
        <f t="shared" si="3"/>
        <v>0</v>
      </c>
    </row>
    <row r="75" spans="1:33" x14ac:dyDescent="0.3">
      <c r="A75" s="103" t="s">
        <v>31</v>
      </c>
      <c r="B75" s="104">
        <f>B76+B77+B78</f>
        <v>70865.2</v>
      </c>
      <c r="C75" s="104">
        <f>C76+C77+C78</f>
        <v>4624.3</v>
      </c>
      <c r="D75" s="104">
        <f>D76+D77+D78</f>
        <v>16312.697999999999</v>
      </c>
      <c r="E75" s="104">
        <f>E76+E77+E78</f>
        <v>16312.697999999999</v>
      </c>
      <c r="F75" s="105">
        <f>E75/B75*100</f>
        <v>23.019335301389116</v>
      </c>
      <c r="G75" s="105">
        <f>E75/C75*100</f>
        <v>352.76037454317407</v>
      </c>
      <c r="H75" s="104">
        <f>H76+H77+H78</f>
        <v>4455.3</v>
      </c>
      <c r="I75" s="104">
        <f t="shared" ref="I75:AE75" si="47">I76+I77+I78</f>
        <v>1704.55</v>
      </c>
      <c r="J75" s="104">
        <f t="shared" si="47"/>
        <v>5432.6</v>
      </c>
      <c r="K75" s="104">
        <f t="shared" si="47"/>
        <v>4745.9340000000002</v>
      </c>
      <c r="L75" s="104">
        <f t="shared" si="47"/>
        <v>5719.1</v>
      </c>
      <c r="M75" s="104">
        <f t="shared" si="47"/>
        <v>4342.8149999999996</v>
      </c>
      <c r="N75" s="104">
        <f t="shared" si="47"/>
        <v>6524.0599999999995</v>
      </c>
      <c r="O75" s="104">
        <f t="shared" si="47"/>
        <v>5519.3990000000003</v>
      </c>
      <c r="P75" s="104">
        <f t="shared" si="47"/>
        <v>5928.9</v>
      </c>
      <c r="Q75" s="104">
        <f t="shared" si="47"/>
        <v>0</v>
      </c>
      <c r="R75" s="104">
        <f t="shared" si="47"/>
        <v>6768.2</v>
      </c>
      <c r="S75" s="104">
        <f t="shared" si="47"/>
        <v>0</v>
      </c>
      <c r="T75" s="104">
        <f t="shared" si="47"/>
        <v>7220.2</v>
      </c>
      <c r="U75" s="104">
        <f t="shared" si="47"/>
        <v>0</v>
      </c>
      <c r="V75" s="104">
        <f t="shared" si="47"/>
        <v>6677.84</v>
      </c>
      <c r="W75" s="104">
        <f t="shared" si="47"/>
        <v>0</v>
      </c>
      <c r="X75" s="104">
        <f t="shared" si="47"/>
        <v>6066.4</v>
      </c>
      <c r="Y75" s="104">
        <f t="shared" si="47"/>
        <v>0</v>
      </c>
      <c r="Z75" s="104">
        <f t="shared" si="47"/>
        <v>6496</v>
      </c>
      <c r="AA75" s="104">
        <f t="shared" si="47"/>
        <v>0</v>
      </c>
      <c r="AB75" s="104">
        <f t="shared" si="47"/>
        <v>5947.9</v>
      </c>
      <c r="AC75" s="104">
        <f t="shared" si="47"/>
        <v>0</v>
      </c>
      <c r="AD75" s="104">
        <f t="shared" si="47"/>
        <v>3628.7</v>
      </c>
      <c r="AE75" s="104">
        <f t="shared" si="47"/>
        <v>0</v>
      </c>
      <c r="AF75" s="101"/>
      <c r="AG75" s="102">
        <f t="shared" si="3"/>
        <v>0</v>
      </c>
    </row>
    <row r="76" spans="1:33" x14ac:dyDescent="0.3">
      <c r="A76" s="106" t="s">
        <v>169</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1"/>
      <c r="AG76" s="102">
        <f t="shared" si="3"/>
        <v>0</v>
      </c>
    </row>
    <row r="77" spans="1:33" x14ac:dyDescent="0.3">
      <c r="A77" s="106" t="s">
        <v>32</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1"/>
      <c r="AG77" s="102">
        <f t="shared" si="3"/>
        <v>0</v>
      </c>
    </row>
    <row r="78" spans="1:33" x14ac:dyDescent="0.3">
      <c r="A78" s="106" t="s">
        <v>33</v>
      </c>
      <c r="B78" s="107">
        <f>B84+B90+B96+B102+B108</f>
        <v>70865.2</v>
      </c>
      <c r="C78" s="107">
        <f>C84+C90+C96+C102+C108</f>
        <v>4624.3</v>
      </c>
      <c r="D78" s="107">
        <f>D84+D90+D96+D102+D108</f>
        <v>16312.697999999999</v>
      </c>
      <c r="E78" s="107">
        <f>E84+E90+E96+E102+E108</f>
        <v>16312.697999999999</v>
      </c>
      <c r="F78" s="107">
        <f>E78/B78*100</f>
        <v>23.019335301389116</v>
      </c>
      <c r="G78" s="107">
        <f>IFERROR(E78/C78*100,0)</f>
        <v>352.76037454317407</v>
      </c>
      <c r="H78" s="107">
        <f>H84+H90+H96+H102+H108</f>
        <v>4455.3</v>
      </c>
      <c r="I78" s="107">
        <f t="shared" ref="I78:AE78" si="48">I84+I90+I96+I102+I108</f>
        <v>1704.55</v>
      </c>
      <c r="J78" s="107">
        <f t="shared" si="48"/>
        <v>5432.6</v>
      </c>
      <c r="K78" s="107">
        <f t="shared" si="48"/>
        <v>4745.9340000000002</v>
      </c>
      <c r="L78" s="107">
        <f t="shared" si="48"/>
        <v>5719.1</v>
      </c>
      <c r="M78" s="107">
        <f t="shared" si="48"/>
        <v>4342.8149999999996</v>
      </c>
      <c r="N78" s="107">
        <f t="shared" si="48"/>
        <v>6524.0599999999995</v>
      </c>
      <c r="O78" s="107">
        <f t="shared" si="48"/>
        <v>5519.3990000000003</v>
      </c>
      <c r="P78" s="107">
        <f t="shared" si="48"/>
        <v>5928.9</v>
      </c>
      <c r="Q78" s="107">
        <f t="shared" si="48"/>
        <v>0</v>
      </c>
      <c r="R78" s="107">
        <f t="shared" si="48"/>
        <v>6768.2</v>
      </c>
      <c r="S78" s="107">
        <f t="shared" si="48"/>
        <v>0</v>
      </c>
      <c r="T78" s="107">
        <f t="shared" si="48"/>
        <v>7220.2</v>
      </c>
      <c r="U78" s="107">
        <f t="shared" si="48"/>
        <v>0</v>
      </c>
      <c r="V78" s="107">
        <f t="shared" si="48"/>
        <v>6677.84</v>
      </c>
      <c r="W78" s="107">
        <f t="shared" si="48"/>
        <v>0</v>
      </c>
      <c r="X78" s="107">
        <f t="shared" si="48"/>
        <v>6066.4</v>
      </c>
      <c r="Y78" s="107">
        <f t="shared" si="48"/>
        <v>0</v>
      </c>
      <c r="Z78" s="107">
        <f t="shared" si="48"/>
        <v>6496</v>
      </c>
      <c r="AA78" s="107">
        <f t="shared" si="48"/>
        <v>0</v>
      </c>
      <c r="AB78" s="107">
        <f t="shared" si="48"/>
        <v>5947.9</v>
      </c>
      <c r="AC78" s="107">
        <f t="shared" si="48"/>
        <v>0</v>
      </c>
      <c r="AD78" s="107">
        <f t="shared" si="48"/>
        <v>3628.7</v>
      </c>
      <c r="AE78" s="107">
        <f t="shared" si="48"/>
        <v>0</v>
      </c>
      <c r="AF78" s="101"/>
      <c r="AG78" s="102">
        <f t="shared" si="3"/>
        <v>0</v>
      </c>
    </row>
    <row r="79" spans="1:33" x14ac:dyDescent="0.3">
      <c r="A79" s="106" t="s">
        <v>170</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1"/>
      <c r="AG79" s="102">
        <f t="shared" si="3"/>
        <v>0</v>
      </c>
    </row>
    <row r="80" spans="1:33" ht="37.5" x14ac:dyDescent="0.3">
      <c r="A80" s="108" t="s">
        <v>180</v>
      </c>
      <c r="B80" s="109"/>
      <c r="C80" s="110"/>
      <c r="D80" s="110"/>
      <c r="E80" s="110"/>
      <c r="F80" s="110"/>
      <c r="G80" s="110"/>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29"/>
      <c r="AG80" s="102">
        <f t="shared" si="3"/>
        <v>0</v>
      </c>
    </row>
    <row r="81" spans="1:33" x14ac:dyDescent="0.3">
      <c r="A81" s="127" t="s">
        <v>31</v>
      </c>
      <c r="B81" s="872">
        <f>B83+B84+B82+B85</f>
        <v>314.7</v>
      </c>
      <c r="C81" s="872">
        <f>C83+C84+C82+C85</f>
        <v>0</v>
      </c>
      <c r="D81" s="113">
        <f>D83+D84+D82+D85</f>
        <v>0</v>
      </c>
      <c r="E81" s="113">
        <f>E83+E84+E82+E85</f>
        <v>0</v>
      </c>
      <c r="F81" s="113">
        <f>IFERROR(E81/B81*100,0)</f>
        <v>0</v>
      </c>
      <c r="G81" s="113">
        <f>IFERROR(E81/C81*100,0)</f>
        <v>0</v>
      </c>
      <c r="H81" s="113">
        <f t="shared" ref="H81:AE81" si="49">H83+H84+H82+H85</f>
        <v>0</v>
      </c>
      <c r="I81" s="113">
        <f t="shared" si="49"/>
        <v>0</v>
      </c>
      <c r="J81" s="113">
        <f t="shared" si="49"/>
        <v>0</v>
      </c>
      <c r="K81" s="113">
        <f t="shared" si="49"/>
        <v>0</v>
      </c>
      <c r="L81" s="113">
        <f t="shared" si="49"/>
        <v>0</v>
      </c>
      <c r="M81" s="113">
        <f t="shared" si="49"/>
        <v>0</v>
      </c>
      <c r="N81" s="113">
        <f t="shared" si="49"/>
        <v>0</v>
      </c>
      <c r="O81" s="113">
        <f t="shared" si="49"/>
        <v>0</v>
      </c>
      <c r="P81" s="113">
        <f t="shared" si="49"/>
        <v>0</v>
      </c>
      <c r="Q81" s="113">
        <f t="shared" si="49"/>
        <v>0</v>
      </c>
      <c r="R81" s="113">
        <f t="shared" si="49"/>
        <v>0</v>
      </c>
      <c r="S81" s="113">
        <f t="shared" si="49"/>
        <v>0</v>
      </c>
      <c r="T81" s="113">
        <f t="shared" si="49"/>
        <v>0</v>
      </c>
      <c r="U81" s="113">
        <f t="shared" si="49"/>
        <v>0</v>
      </c>
      <c r="V81" s="113">
        <f t="shared" si="49"/>
        <v>314.7</v>
      </c>
      <c r="W81" s="113">
        <f t="shared" si="49"/>
        <v>0</v>
      </c>
      <c r="X81" s="113">
        <f t="shared" si="49"/>
        <v>0</v>
      </c>
      <c r="Y81" s="113">
        <f t="shared" si="49"/>
        <v>0</v>
      </c>
      <c r="Z81" s="113">
        <f t="shared" si="49"/>
        <v>0</v>
      </c>
      <c r="AA81" s="113">
        <f t="shared" si="49"/>
        <v>0</v>
      </c>
      <c r="AB81" s="113">
        <f t="shared" si="49"/>
        <v>0</v>
      </c>
      <c r="AC81" s="113">
        <f t="shared" si="49"/>
        <v>0</v>
      </c>
      <c r="AD81" s="113">
        <f t="shared" si="49"/>
        <v>0</v>
      </c>
      <c r="AE81" s="113">
        <f t="shared" si="49"/>
        <v>0</v>
      </c>
      <c r="AF81" s="29"/>
      <c r="AG81" s="102">
        <f t="shared" si="3"/>
        <v>0</v>
      </c>
    </row>
    <row r="82" spans="1:33" x14ac:dyDescent="0.3">
      <c r="A82" s="128" t="s">
        <v>169</v>
      </c>
      <c r="B82" s="874"/>
      <c r="C82" s="875"/>
      <c r="D82" s="118"/>
      <c r="E82" s="117"/>
      <c r="F82" s="116"/>
      <c r="G82" s="116"/>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29"/>
      <c r="AG82" s="102">
        <f t="shared" si="3"/>
        <v>0</v>
      </c>
    </row>
    <row r="83" spans="1:33" x14ac:dyDescent="0.3">
      <c r="A83" s="128" t="s">
        <v>32</v>
      </c>
      <c r="B83" s="874"/>
      <c r="C83" s="875"/>
      <c r="D83" s="118"/>
      <c r="E83" s="117"/>
      <c r="F83" s="116"/>
      <c r="G83" s="116"/>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29"/>
      <c r="AG83" s="102">
        <f t="shared" si="3"/>
        <v>0</v>
      </c>
    </row>
    <row r="84" spans="1:33" x14ac:dyDescent="0.3">
      <c r="A84" s="115" t="s">
        <v>33</v>
      </c>
      <c r="B84" s="874">
        <f>J84+L84+N84+P84+R84+T84+V84+X84+Z84+AB84+AD84+H84</f>
        <v>314.7</v>
      </c>
      <c r="C84" s="875">
        <f>SUM(H84)</f>
        <v>0</v>
      </c>
      <c r="D84" s="118">
        <f>E84</f>
        <v>0</v>
      </c>
      <c r="E84" s="117">
        <f>SUM(I84,K84,M84,O84,Q84,S84,U84,W84,Y84,AA84,AC84,AE84)</f>
        <v>0</v>
      </c>
      <c r="F84" s="116">
        <f>IFERROR(E84/B84*100,0)</f>
        <v>0</v>
      </c>
      <c r="G84" s="116">
        <f>IFERROR(E84/C84*100,0)</f>
        <v>0</v>
      </c>
      <c r="H84" s="111">
        <v>0</v>
      </c>
      <c r="I84" s="111">
        <v>0</v>
      </c>
      <c r="J84" s="111">
        <v>0</v>
      </c>
      <c r="K84" s="111">
        <v>0</v>
      </c>
      <c r="L84" s="111">
        <v>0</v>
      </c>
      <c r="M84" s="111">
        <v>0</v>
      </c>
      <c r="N84" s="111">
        <v>0</v>
      </c>
      <c r="O84" s="111">
        <v>0</v>
      </c>
      <c r="P84" s="111"/>
      <c r="Q84" s="111"/>
      <c r="R84" s="111"/>
      <c r="S84" s="111"/>
      <c r="T84" s="111"/>
      <c r="U84" s="111"/>
      <c r="V84" s="111">
        <v>314.7</v>
      </c>
      <c r="W84" s="111"/>
      <c r="X84" s="111"/>
      <c r="Y84" s="111"/>
      <c r="Z84" s="111"/>
      <c r="AA84" s="111"/>
      <c r="AB84" s="111"/>
      <c r="AC84" s="111"/>
      <c r="AD84" s="111"/>
      <c r="AE84" s="111"/>
      <c r="AF84" s="29"/>
      <c r="AG84" s="102">
        <f t="shared" si="3"/>
        <v>0</v>
      </c>
    </row>
    <row r="85" spans="1:33" x14ac:dyDescent="0.3">
      <c r="A85" s="115" t="s">
        <v>170</v>
      </c>
      <c r="B85" s="874"/>
      <c r="C85" s="875"/>
      <c r="D85" s="118"/>
      <c r="E85" s="117"/>
      <c r="F85" s="116"/>
      <c r="G85" s="116"/>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29"/>
      <c r="AG85" s="102">
        <f t="shared" si="3"/>
        <v>0</v>
      </c>
    </row>
    <row r="86" spans="1:33" ht="29.25" customHeight="1" x14ac:dyDescent="0.3">
      <c r="A86" s="123" t="s">
        <v>181</v>
      </c>
      <c r="B86" s="872"/>
      <c r="C86" s="873"/>
      <c r="D86" s="122"/>
      <c r="E86" s="122"/>
      <c r="F86" s="122"/>
      <c r="G86" s="122"/>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29"/>
      <c r="AG86" s="102">
        <f t="shared" si="3"/>
        <v>0</v>
      </c>
    </row>
    <row r="87" spans="1:33" x14ac:dyDescent="0.3">
      <c r="A87" s="112" t="s">
        <v>31</v>
      </c>
      <c r="B87" s="872">
        <f>B89+B90+B88+B91</f>
        <v>66</v>
      </c>
      <c r="C87" s="872">
        <f>C89+C90+C88+C91</f>
        <v>0</v>
      </c>
      <c r="D87" s="113">
        <f>D89+D90+D88+D91</f>
        <v>0</v>
      </c>
      <c r="E87" s="113">
        <f>E89+E90+E88+E91</f>
        <v>0</v>
      </c>
      <c r="F87" s="113">
        <f>IFERROR(E87/B87*100,0)</f>
        <v>0</v>
      </c>
      <c r="G87" s="113">
        <f>IFERROR(E87/C87*100,0)</f>
        <v>0</v>
      </c>
      <c r="H87" s="113">
        <f t="shared" ref="H87:AE87" si="50">H89+H90+H88+H91</f>
        <v>0</v>
      </c>
      <c r="I87" s="113">
        <f t="shared" si="50"/>
        <v>0</v>
      </c>
      <c r="J87" s="113">
        <f t="shared" si="50"/>
        <v>0</v>
      </c>
      <c r="K87" s="113">
        <f t="shared" si="50"/>
        <v>0</v>
      </c>
      <c r="L87" s="113">
        <f t="shared" si="50"/>
        <v>0</v>
      </c>
      <c r="M87" s="113">
        <f t="shared" si="50"/>
        <v>0</v>
      </c>
      <c r="N87" s="113">
        <f t="shared" si="50"/>
        <v>0</v>
      </c>
      <c r="O87" s="113">
        <f t="shared" si="50"/>
        <v>0</v>
      </c>
      <c r="P87" s="113">
        <f t="shared" si="50"/>
        <v>66</v>
      </c>
      <c r="Q87" s="113">
        <f t="shared" si="50"/>
        <v>0</v>
      </c>
      <c r="R87" s="113">
        <f t="shared" si="50"/>
        <v>0</v>
      </c>
      <c r="S87" s="113">
        <f t="shared" si="50"/>
        <v>0</v>
      </c>
      <c r="T87" s="113">
        <f t="shared" si="50"/>
        <v>0</v>
      </c>
      <c r="U87" s="113">
        <f t="shared" si="50"/>
        <v>0</v>
      </c>
      <c r="V87" s="113">
        <f t="shared" si="50"/>
        <v>0</v>
      </c>
      <c r="W87" s="113">
        <f t="shared" si="50"/>
        <v>0</v>
      </c>
      <c r="X87" s="113">
        <f t="shared" si="50"/>
        <v>0</v>
      </c>
      <c r="Y87" s="113">
        <f t="shared" si="50"/>
        <v>0</v>
      </c>
      <c r="Z87" s="113">
        <f t="shared" si="50"/>
        <v>0</v>
      </c>
      <c r="AA87" s="113">
        <f t="shared" si="50"/>
        <v>0</v>
      </c>
      <c r="AB87" s="113">
        <f t="shared" si="50"/>
        <v>0</v>
      </c>
      <c r="AC87" s="113">
        <f t="shared" si="50"/>
        <v>0</v>
      </c>
      <c r="AD87" s="113">
        <f t="shared" si="50"/>
        <v>0</v>
      </c>
      <c r="AE87" s="113">
        <f t="shared" si="50"/>
        <v>0</v>
      </c>
      <c r="AF87" s="29"/>
      <c r="AG87" s="102">
        <f t="shared" si="3"/>
        <v>0</v>
      </c>
    </row>
    <row r="88" spans="1:33" x14ac:dyDescent="0.3">
      <c r="A88" s="115" t="s">
        <v>169</v>
      </c>
      <c r="B88" s="874"/>
      <c r="C88" s="875"/>
      <c r="D88" s="118"/>
      <c r="E88" s="117"/>
      <c r="F88" s="116"/>
      <c r="G88" s="116"/>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29"/>
      <c r="AG88" s="102">
        <f t="shared" ref="AG88:AG151" si="51">B88-H88-J88-L88-N88-P88-R88-T88-V88-X88-Z88-AB88-AD88</f>
        <v>0</v>
      </c>
    </row>
    <row r="89" spans="1:33" x14ac:dyDescent="0.3">
      <c r="A89" s="115" t="s">
        <v>32</v>
      </c>
      <c r="B89" s="874"/>
      <c r="C89" s="875"/>
      <c r="D89" s="118"/>
      <c r="E89" s="117"/>
      <c r="F89" s="116"/>
      <c r="G89" s="116"/>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29"/>
      <c r="AG89" s="102">
        <f t="shared" si="51"/>
        <v>0</v>
      </c>
    </row>
    <row r="90" spans="1:33" x14ac:dyDescent="0.3">
      <c r="A90" s="115" t="s">
        <v>33</v>
      </c>
      <c r="B90" s="874">
        <f>J90+L90+N90+P90+R90+T90+V90+X90+Z90+AB90+AD90+H90</f>
        <v>66</v>
      </c>
      <c r="C90" s="875">
        <f>SUM(H90)</f>
        <v>0</v>
      </c>
      <c r="D90" s="118">
        <f>E90</f>
        <v>0</v>
      </c>
      <c r="E90" s="117">
        <f>SUM(I90,K90,M90,O90,Q90,S90,U90,W90,Y90,AA90,AC90,AE90)</f>
        <v>0</v>
      </c>
      <c r="F90" s="116">
        <f>IFERROR(E90/B90*100,0)</f>
        <v>0</v>
      </c>
      <c r="G90" s="116">
        <f>IFERROR(E90/C90*100,0)</f>
        <v>0</v>
      </c>
      <c r="H90" s="111">
        <v>0</v>
      </c>
      <c r="I90" s="111">
        <v>0</v>
      </c>
      <c r="J90" s="111">
        <v>0</v>
      </c>
      <c r="K90" s="111">
        <v>0</v>
      </c>
      <c r="L90" s="111">
        <v>0</v>
      </c>
      <c r="M90" s="111">
        <v>0</v>
      </c>
      <c r="N90" s="111">
        <v>0</v>
      </c>
      <c r="O90" s="111">
        <v>0</v>
      </c>
      <c r="P90" s="111">
        <v>66</v>
      </c>
      <c r="Q90" s="111"/>
      <c r="R90" s="111"/>
      <c r="S90" s="111"/>
      <c r="T90" s="111"/>
      <c r="U90" s="111"/>
      <c r="V90" s="111"/>
      <c r="W90" s="111"/>
      <c r="X90" s="111"/>
      <c r="Y90" s="111"/>
      <c r="Z90" s="111"/>
      <c r="AA90" s="111"/>
      <c r="AB90" s="111"/>
      <c r="AC90" s="111"/>
      <c r="AD90" s="111"/>
      <c r="AE90" s="111"/>
      <c r="AF90" s="29"/>
      <c r="AG90" s="102">
        <f t="shared" si="51"/>
        <v>0</v>
      </c>
    </row>
    <row r="91" spans="1:33" x14ac:dyDescent="0.3">
      <c r="A91" s="115" t="s">
        <v>170</v>
      </c>
      <c r="B91" s="874"/>
      <c r="C91" s="875"/>
      <c r="D91" s="118"/>
      <c r="E91" s="117"/>
      <c r="F91" s="116"/>
      <c r="G91" s="116"/>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29"/>
      <c r="AG91" s="102">
        <f t="shared" si="51"/>
        <v>0</v>
      </c>
    </row>
    <row r="92" spans="1:33" ht="41.25" customHeight="1" x14ac:dyDescent="0.3">
      <c r="A92" s="123" t="s">
        <v>182</v>
      </c>
      <c r="B92" s="113"/>
      <c r="C92" s="122"/>
      <c r="D92" s="122"/>
      <c r="E92" s="122"/>
      <c r="F92" s="122"/>
      <c r="G92" s="12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790"/>
      <c r="AG92" s="102">
        <f t="shared" si="51"/>
        <v>0</v>
      </c>
    </row>
    <row r="93" spans="1:33" x14ac:dyDescent="0.3">
      <c r="A93" s="112" t="s">
        <v>31</v>
      </c>
      <c r="B93" s="872">
        <f>B95+B96+B94+B97</f>
        <v>500</v>
      </c>
      <c r="C93" s="872">
        <f>C95+C96+C94+C97</f>
        <v>169</v>
      </c>
      <c r="D93" s="113">
        <f>D95+D96+D94+D97</f>
        <v>285.56</v>
      </c>
      <c r="E93" s="113">
        <f>E95+E96+E94+E97</f>
        <v>285.56</v>
      </c>
      <c r="F93" s="113">
        <f>IFERROR(E93/B93*100,0)</f>
        <v>57.111999999999995</v>
      </c>
      <c r="G93" s="113">
        <f>IFERROR(E93/C93*100,0)</f>
        <v>168.97041420118344</v>
      </c>
      <c r="H93" s="113">
        <f t="shared" ref="H93:AE93" si="52">H95+H96+H94+H97</f>
        <v>0</v>
      </c>
      <c r="I93" s="113">
        <f t="shared" si="52"/>
        <v>0</v>
      </c>
      <c r="J93" s="113">
        <f t="shared" si="52"/>
        <v>0</v>
      </c>
      <c r="K93" s="113">
        <f t="shared" si="52"/>
        <v>0</v>
      </c>
      <c r="L93" s="113">
        <f t="shared" si="52"/>
        <v>169</v>
      </c>
      <c r="M93" s="113">
        <f t="shared" si="52"/>
        <v>109</v>
      </c>
      <c r="N93" s="113">
        <f t="shared" si="52"/>
        <v>176.6</v>
      </c>
      <c r="O93" s="113">
        <f t="shared" si="52"/>
        <v>176.56</v>
      </c>
      <c r="P93" s="113">
        <f t="shared" si="52"/>
        <v>0</v>
      </c>
      <c r="Q93" s="113">
        <f t="shared" si="52"/>
        <v>0</v>
      </c>
      <c r="R93" s="113">
        <f t="shared" si="52"/>
        <v>0</v>
      </c>
      <c r="S93" s="113">
        <f t="shared" si="52"/>
        <v>0</v>
      </c>
      <c r="T93" s="113">
        <f t="shared" si="52"/>
        <v>0</v>
      </c>
      <c r="U93" s="113">
        <f t="shared" si="52"/>
        <v>0</v>
      </c>
      <c r="V93" s="113">
        <f t="shared" si="52"/>
        <v>154.4</v>
      </c>
      <c r="W93" s="113">
        <f t="shared" si="52"/>
        <v>0</v>
      </c>
      <c r="X93" s="113">
        <f t="shared" si="52"/>
        <v>0</v>
      </c>
      <c r="Y93" s="113">
        <f t="shared" si="52"/>
        <v>0</v>
      </c>
      <c r="Z93" s="113">
        <f t="shared" si="52"/>
        <v>0</v>
      </c>
      <c r="AA93" s="113">
        <f t="shared" si="52"/>
        <v>0</v>
      </c>
      <c r="AB93" s="113">
        <f t="shared" si="52"/>
        <v>0</v>
      </c>
      <c r="AC93" s="113">
        <f t="shared" si="52"/>
        <v>0</v>
      </c>
      <c r="AD93" s="113">
        <f t="shared" si="52"/>
        <v>0</v>
      </c>
      <c r="AE93" s="113">
        <f t="shared" si="52"/>
        <v>0</v>
      </c>
      <c r="AF93" s="29"/>
      <c r="AG93" s="102">
        <f t="shared" si="51"/>
        <v>0</v>
      </c>
    </row>
    <row r="94" spans="1:33" x14ac:dyDescent="0.3">
      <c r="A94" s="115" t="s">
        <v>169</v>
      </c>
      <c r="B94" s="874"/>
      <c r="C94" s="875"/>
      <c r="D94" s="118"/>
      <c r="E94" s="117"/>
      <c r="F94" s="116"/>
      <c r="G94" s="116"/>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29"/>
      <c r="AG94" s="102">
        <f t="shared" si="51"/>
        <v>0</v>
      </c>
    </row>
    <row r="95" spans="1:33" x14ac:dyDescent="0.3">
      <c r="A95" s="115" t="s">
        <v>32</v>
      </c>
      <c r="B95" s="874"/>
      <c r="C95" s="875"/>
      <c r="D95" s="118"/>
      <c r="E95" s="117"/>
      <c r="F95" s="116"/>
      <c r="G95" s="116"/>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29"/>
      <c r="AG95" s="102">
        <f t="shared" si="51"/>
        <v>0</v>
      </c>
    </row>
    <row r="96" spans="1:33" x14ac:dyDescent="0.3">
      <c r="A96" s="115" t="s">
        <v>33</v>
      </c>
      <c r="B96" s="874">
        <f>J96+L96+N96+P96+R96+T96+V96+X96+Z96+AB96+AD96+H96</f>
        <v>500</v>
      </c>
      <c r="C96" s="875">
        <f>SUM(H96+J96+L96)</f>
        <v>169</v>
      </c>
      <c r="D96" s="118">
        <f>E96</f>
        <v>285.56</v>
      </c>
      <c r="E96" s="117">
        <f>SUM(I96,K96,M96,O96,Q96,S96,U96,W96,Y96,AA96,AC96,AE96)</f>
        <v>285.56</v>
      </c>
      <c r="F96" s="116">
        <f>IFERROR(E96/B96*100,0)</f>
        <v>57.111999999999995</v>
      </c>
      <c r="G96" s="116">
        <f>IFERROR(E96/C96*100,0)</f>
        <v>168.97041420118344</v>
      </c>
      <c r="H96" s="111">
        <v>0</v>
      </c>
      <c r="I96" s="111">
        <v>0</v>
      </c>
      <c r="J96" s="111">
        <v>0</v>
      </c>
      <c r="K96" s="111">
        <v>0</v>
      </c>
      <c r="L96" s="111">
        <v>169</v>
      </c>
      <c r="M96" s="111">
        <v>109</v>
      </c>
      <c r="N96" s="111">
        <v>176.6</v>
      </c>
      <c r="O96" s="111">
        <v>176.56</v>
      </c>
      <c r="P96" s="111"/>
      <c r="Q96" s="111"/>
      <c r="R96" s="111"/>
      <c r="S96" s="111"/>
      <c r="T96" s="111"/>
      <c r="U96" s="111"/>
      <c r="V96" s="111">
        <v>154.4</v>
      </c>
      <c r="W96" s="111"/>
      <c r="X96" s="111"/>
      <c r="Y96" s="111"/>
      <c r="Z96" s="111"/>
      <c r="AA96" s="111"/>
      <c r="AB96" s="111"/>
      <c r="AC96" s="111"/>
      <c r="AD96" s="111"/>
      <c r="AE96" s="111"/>
      <c r="AF96" s="881" t="s">
        <v>615</v>
      </c>
      <c r="AG96" s="102">
        <f t="shared" si="51"/>
        <v>0</v>
      </c>
    </row>
    <row r="97" spans="1:33" x14ac:dyDescent="0.3">
      <c r="A97" s="115" t="s">
        <v>170</v>
      </c>
      <c r="B97" s="874"/>
      <c r="C97" s="875"/>
      <c r="D97" s="118"/>
      <c r="E97" s="117"/>
      <c r="F97" s="116"/>
      <c r="G97" s="116"/>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29"/>
      <c r="AG97" s="102">
        <f t="shared" si="51"/>
        <v>0</v>
      </c>
    </row>
    <row r="98" spans="1:33" x14ac:dyDescent="0.3">
      <c r="A98" s="123" t="s">
        <v>183</v>
      </c>
      <c r="B98" s="874"/>
      <c r="C98" s="874"/>
      <c r="D98" s="124"/>
      <c r="E98" s="124"/>
      <c r="F98" s="124"/>
      <c r="G98" s="124"/>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29"/>
      <c r="AG98" s="102">
        <f t="shared" si="51"/>
        <v>0</v>
      </c>
    </row>
    <row r="99" spans="1:33" x14ac:dyDescent="0.3">
      <c r="A99" s="112" t="s">
        <v>31</v>
      </c>
      <c r="B99" s="872">
        <f>B101+B102+B100+B103</f>
        <v>443.8</v>
      </c>
      <c r="C99" s="872">
        <f>C101+C102+C100+C103</f>
        <v>0</v>
      </c>
      <c r="D99" s="113">
        <f>D101+D102+D100+D103</f>
        <v>300</v>
      </c>
      <c r="E99" s="113">
        <f>E101+E102+E100+E103</f>
        <v>300</v>
      </c>
      <c r="F99" s="113">
        <f>IFERROR(E99/B99*100,0)</f>
        <v>67.598017124831003</v>
      </c>
      <c r="G99" s="113">
        <f>IFERROR(E99/C99*100,0)</f>
        <v>0</v>
      </c>
      <c r="H99" s="113">
        <f t="shared" ref="H99:AE99" si="53">H101+H102+H100+H103</f>
        <v>0</v>
      </c>
      <c r="I99" s="113">
        <f t="shared" si="53"/>
        <v>0</v>
      </c>
      <c r="J99" s="113">
        <f t="shared" si="53"/>
        <v>0</v>
      </c>
      <c r="K99" s="113">
        <f t="shared" si="53"/>
        <v>0</v>
      </c>
      <c r="L99" s="113">
        <f t="shared" si="53"/>
        <v>0</v>
      </c>
      <c r="M99" s="113">
        <f t="shared" si="53"/>
        <v>0</v>
      </c>
      <c r="N99" s="113">
        <f t="shared" si="53"/>
        <v>443.8</v>
      </c>
      <c r="O99" s="113">
        <f t="shared" si="53"/>
        <v>300</v>
      </c>
      <c r="P99" s="113">
        <f t="shared" si="53"/>
        <v>0</v>
      </c>
      <c r="Q99" s="113">
        <f t="shared" si="53"/>
        <v>0</v>
      </c>
      <c r="R99" s="113">
        <f t="shared" si="53"/>
        <v>0</v>
      </c>
      <c r="S99" s="113">
        <f t="shared" si="53"/>
        <v>0</v>
      </c>
      <c r="T99" s="113">
        <f t="shared" si="53"/>
        <v>0</v>
      </c>
      <c r="U99" s="113">
        <f t="shared" si="53"/>
        <v>0</v>
      </c>
      <c r="V99" s="113">
        <f t="shared" si="53"/>
        <v>0</v>
      </c>
      <c r="W99" s="113">
        <f t="shared" si="53"/>
        <v>0</v>
      </c>
      <c r="X99" s="113">
        <f t="shared" si="53"/>
        <v>0</v>
      </c>
      <c r="Y99" s="113">
        <f t="shared" si="53"/>
        <v>0</v>
      </c>
      <c r="Z99" s="113">
        <f t="shared" si="53"/>
        <v>0</v>
      </c>
      <c r="AA99" s="113">
        <f t="shared" si="53"/>
        <v>0</v>
      </c>
      <c r="AB99" s="113">
        <f t="shared" si="53"/>
        <v>0</v>
      </c>
      <c r="AC99" s="113">
        <f t="shared" si="53"/>
        <v>0</v>
      </c>
      <c r="AD99" s="113">
        <f t="shared" si="53"/>
        <v>0</v>
      </c>
      <c r="AE99" s="113">
        <f t="shared" si="53"/>
        <v>0</v>
      </c>
      <c r="AF99" s="29"/>
      <c r="AG99" s="102">
        <f t="shared" si="51"/>
        <v>0</v>
      </c>
    </row>
    <row r="100" spans="1:33" x14ac:dyDescent="0.3">
      <c r="A100" s="115" t="s">
        <v>169</v>
      </c>
      <c r="B100" s="116"/>
      <c r="C100" s="117"/>
      <c r="D100" s="118"/>
      <c r="E100" s="117"/>
      <c r="F100" s="116"/>
      <c r="G100" s="116"/>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29"/>
      <c r="AG100" s="102">
        <f t="shared" si="51"/>
        <v>0</v>
      </c>
    </row>
    <row r="101" spans="1:33" x14ac:dyDescent="0.3">
      <c r="A101" s="115" t="s">
        <v>32</v>
      </c>
      <c r="B101" s="116"/>
      <c r="C101" s="117"/>
      <c r="D101" s="118"/>
      <c r="E101" s="117"/>
      <c r="F101" s="116"/>
      <c r="G101" s="116"/>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29"/>
      <c r="AG101" s="102">
        <f t="shared" si="51"/>
        <v>0</v>
      </c>
    </row>
    <row r="102" spans="1:33" x14ac:dyDescent="0.3">
      <c r="A102" s="115" t="s">
        <v>33</v>
      </c>
      <c r="B102" s="116">
        <f>J102+L102+N102+P102+R102+T102+V102+X102+Z102+AB102+AD102+H102</f>
        <v>443.8</v>
      </c>
      <c r="C102" s="117">
        <f>SUM(H102)</f>
        <v>0</v>
      </c>
      <c r="D102" s="118">
        <f>E102</f>
        <v>300</v>
      </c>
      <c r="E102" s="117">
        <f>SUM(I102,K102,M102,O102,Q102,S102,U102,W102,Y102,AA102,AC102,AE102)</f>
        <v>300</v>
      </c>
      <c r="F102" s="116">
        <f>IFERROR(E102/B102*100,0)</f>
        <v>67.598017124831003</v>
      </c>
      <c r="G102" s="116">
        <f>IFERROR(E102/C102*100,0)</f>
        <v>0</v>
      </c>
      <c r="H102" s="111">
        <v>0</v>
      </c>
      <c r="I102" s="111">
        <v>0</v>
      </c>
      <c r="J102" s="111">
        <v>0</v>
      </c>
      <c r="K102" s="111">
        <v>0</v>
      </c>
      <c r="L102" s="111">
        <v>0</v>
      </c>
      <c r="M102" s="111">
        <v>0</v>
      </c>
      <c r="N102" s="111">
        <v>443.8</v>
      </c>
      <c r="O102" s="111">
        <v>300</v>
      </c>
      <c r="P102" s="111"/>
      <c r="Q102" s="111"/>
      <c r="R102" s="111"/>
      <c r="S102" s="111"/>
      <c r="T102" s="111"/>
      <c r="U102" s="111"/>
      <c r="V102" s="111"/>
      <c r="W102" s="111"/>
      <c r="X102" s="111"/>
      <c r="Y102" s="111"/>
      <c r="Z102" s="111"/>
      <c r="AA102" s="111"/>
      <c r="AB102" s="111"/>
      <c r="AC102" s="111"/>
      <c r="AD102" s="111"/>
      <c r="AE102" s="111"/>
      <c r="AF102" s="881" t="s">
        <v>616</v>
      </c>
      <c r="AG102" s="102">
        <f t="shared" si="51"/>
        <v>0</v>
      </c>
    </row>
    <row r="103" spans="1:33" x14ac:dyDescent="0.3">
      <c r="A103" s="115" t="s">
        <v>170</v>
      </c>
      <c r="B103" s="116"/>
      <c r="C103" s="117"/>
      <c r="D103" s="118"/>
      <c r="E103" s="117"/>
      <c r="F103" s="116"/>
      <c r="G103" s="116"/>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29"/>
      <c r="AG103" s="102">
        <f t="shared" si="51"/>
        <v>0</v>
      </c>
    </row>
    <row r="104" spans="1:33" ht="42.75" customHeight="1" x14ac:dyDescent="0.3">
      <c r="A104" s="123" t="s">
        <v>184</v>
      </c>
      <c r="B104" s="872"/>
      <c r="C104" s="873"/>
      <c r="D104" s="122"/>
      <c r="E104" s="122"/>
      <c r="F104" s="122"/>
      <c r="G104" s="122"/>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791" t="s">
        <v>617</v>
      </c>
      <c r="AG104" s="102">
        <f t="shared" si="51"/>
        <v>0</v>
      </c>
    </row>
    <row r="105" spans="1:33" x14ac:dyDescent="0.3">
      <c r="A105" s="112" t="s">
        <v>31</v>
      </c>
      <c r="B105" s="872">
        <f>B107+B108+B106+B109</f>
        <v>69540.7</v>
      </c>
      <c r="C105" s="872">
        <f>C107+C108+C106+C109</f>
        <v>4455.3</v>
      </c>
      <c r="D105" s="113">
        <f>D107+D108+D106+D109</f>
        <v>15727.137999999999</v>
      </c>
      <c r="E105" s="113">
        <f>E107+E108+E106+E109</f>
        <v>15727.137999999999</v>
      </c>
      <c r="F105" s="113">
        <f>IFERROR(E105/B105*100,0)</f>
        <v>22.615731506872951</v>
      </c>
      <c r="G105" s="113">
        <f>IFERROR(E105/C105*100,0)</f>
        <v>352.99840639238653</v>
      </c>
      <c r="H105" s="113">
        <f t="shared" ref="H105:AE105" si="54">H107+H108+H106+H109</f>
        <v>4455.3</v>
      </c>
      <c r="I105" s="113">
        <f t="shared" si="54"/>
        <v>1704.55</v>
      </c>
      <c r="J105" s="113">
        <f t="shared" si="54"/>
        <v>5432.6</v>
      </c>
      <c r="K105" s="113">
        <f t="shared" si="54"/>
        <v>4745.9340000000002</v>
      </c>
      <c r="L105" s="113">
        <f t="shared" si="54"/>
        <v>5550.1</v>
      </c>
      <c r="M105" s="113">
        <f t="shared" si="54"/>
        <v>4233.8149999999996</v>
      </c>
      <c r="N105" s="113">
        <f t="shared" si="54"/>
        <v>5903.66</v>
      </c>
      <c r="O105" s="113">
        <f t="shared" si="54"/>
        <v>5042.8389999999999</v>
      </c>
      <c r="P105" s="113">
        <f t="shared" si="54"/>
        <v>5862.9</v>
      </c>
      <c r="Q105" s="113">
        <f t="shared" si="54"/>
        <v>0</v>
      </c>
      <c r="R105" s="113">
        <f t="shared" si="54"/>
        <v>6768.2</v>
      </c>
      <c r="S105" s="113">
        <f t="shared" si="54"/>
        <v>0</v>
      </c>
      <c r="T105" s="113">
        <f t="shared" si="54"/>
        <v>7220.2</v>
      </c>
      <c r="U105" s="113">
        <f t="shared" si="54"/>
        <v>0</v>
      </c>
      <c r="V105" s="113">
        <f t="shared" si="54"/>
        <v>6208.74</v>
      </c>
      <c r="W105" s="113">
        <f t="shared" si="54"/>
        <v>0</v>
      </c>
      <c r="X105" s="113">
        <f t="shared" si="54"/>
        <v>6066.4</v>
      </c>
      <c r="Y105" s="113">
        <f t="shared" si="54"/>
        <v>0</v>
      </c>
      <c r="Z105" s="113">
        <f t="shared" si="54"/>
        <v>6496</v>
      </c>
      <c r="AA105" s="113">
        <f t="shared" si="54"/>
        <v>0</v>
      </c>
      <c r="AB105" s="113">
        <f t="shared" si="54"/>
        <v>5947.9</v>
      </c>
      <c r="AC105" s="113">
        <f t="shared" si="54"/>
        <v>0</v>
      </c>
      <c r="AD105" s="113">
        <f t="shared" si="54"/>
        <v>3628.7</v>
      </c>
      <c r="AE105" s="113">
        <f t="shared" si="54"/>
        <v>0</v>
      </c>
      <c r="AF105" s="29"/>
      <c r="AG105" s="102">
        <f t="shared" si="51"/>
        <v>-6.3664629124104977E-12</v>
      </c>
    </row>
    <row r="106" spans="1:33" x14ac:dyDescent="0.3">
      <c r="A106" s="115" t="s">
        <v>169</v>
      </c>
      <c r="B106" s="874"/>
      <c r="C106" s="875"/>
      <c r="D106" s="118"/>
      <c r="E106" s="117"/>
      <c r="F106" s="116"/>
      <c r="G106" s="116"/>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29"/>
      <c r="AG106" s="102">
        <f t="shared" si="51"/>
        <v>0</v>
      </c>
    </row>
    <row r="107" spans="1:33" x14ac:dyDescent="0.3">
      <c r="A107" s="115" t="s">
        <v>32</v>
      </c>
      <c r="B107" s="116"/>
      <c r="C107" s="117"/>
      <c r="D107" s="118"/>
      <c r="E107" s="117"/>
      <c r="F107" s="116"/>
      <c r="G107" s="116"/>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29"/>
      <c r="AG107" s="102">
        <f t="shared" si="51"/>
        <v>0</v>
      </c>
    </row>
    <row r="108" spans="1:33" x14ac:dyDescent="0.3">
      <c r="A108" s="115" t="s">
        <v>33</v>
      </c>
      <c r="B108" s="116">
        <f>J108+L108+N108+P108+R108+T108+V108+X108+Z108+AB108+AD108+H108</f>
        <v>69540.7</v>
      </c>
      <c r="C108" s="117">
        <f>SUM(H108)</f>
        <v>4455.3</v>
      </c>
      <c r="D108" s="118">
        <f>E108</f>
        <v>15727.137999999999</v>
      </c>
      <c r="E108" s="117">
        <f>SUM(I108,K108,M108,O108,Q108,S108,U108,W108,Y108,AA108,AC108,AE108)</f>
        <v>15727.137999999999</v>
      </c>
      <c r="F108" s="116">
        <f>IFERROR(E108/B108*100,0)</f>
        <v>22.615731506872951</v>
      </c>
      <c r="G108" s="116">
        <f>IFERROR(E108/C108*100,0)</f>
        <v>352.99840639238653</v>
      </c>
      <c r="H108" s="111">
        <v>4455.3</v>
      </c>
      <c r="I108" s="111">
        <v>1704.55</v>
      </c>
      <c r="J108" s="111">
        <v>5432.6</v>
      </c>
      <c r="K108" s="788">
        <v>4745.9340000000002</v>
      </c>
      <c r="L108" s="111">
        <v>5550.1</v>
      </c>
      <c r="M108" s="111">
        <v>4233.8149999999996</v>
      </c>
      <c r="N108" s="111">
        <v>5903.66</v>
      </c>
      <c r="O108" s="111">
        <v>5042.8389999999999</v>
      </c>
      <c r="P108" s="111">
        <v>5862.9</v>
      </c>
      <c r="Q108" s="111"/>
      <c r="R108" s="111">
        <v>6768.2</v>
      </c>
      <c r="S108" s="111"/>
      <c r="T108" s="111">
        <v>7220.2</v>
      </c>
      <c r="U108" s="111"/>
      <c r="V108" s="111">
        <v>6208.74</v>
      </c>
      <c r="W108" s="111"/>
      <c r="X108" s="111">
        <v>6066.4</v>
      </c>
      <c r="Y108" s="111"/>
      <c r="Z108" s="111">
        <v>6496</v>
      </c>
      <c r="AA108" s="111"/>
      <c r="AB108" s="111">
        <v>5947.9</v>
      </c>
      <c r="AC108" s="111"/>
      <c r="AD108" s="111">
        <v>3628.7</v>
      </c>
      <c r="AE108" s="111"/>
      <c r="AF108" s="29"/>
      <c r="AG108" s="102">
        <f t="shared" si="51"/>
        <v>-6.3664629124104977E-12</v>
      </c>
    </row>
    <row r="109" spans="1:33" x14ac:dyDescent="0.3">
      <c r="A109" s="115" t="s">
        <v>170</v>
      </c>
      <c r="B109" s="116"/>
      <c r="C109" s="117"/>
      <c r="D109" s="118"/>
      <c r="E109" s="117"/>
      <c r="F109" s="116"/>
      <c r="G109" s="116"/>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29"/>
      <c r="AG109" s="102">
        <f t="shared" si="51"/>
        <v>0</v>
      </c>
    </row>
    <row r="110" spans="1:33" ht="56.25" x14ac:dyDescent="0.3">
      <c r="A110" s="125" t="s">
        <v>185</v>
      </c>
      <c r="B110" s="104"/>
      <c r="C110" s="126"/>
      <c r="D110" s="126"/>
      <c r="E110" s="126"/>
      <c r="F110" s="126"/>
      <c r="G110" s="126"/>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1"/>
      <c r="AG110" s="102">
        <f t="shared" si="51"/>
        <v>0</v>
      </c>
    </row>
    <row r="111" spans="1:33" x14ac:dyDescent="0.3">
      <c r="A111" s="129" t="s">
        <v>31</v>
      </c>
      <c r="B111" s="104">
        <f>B112+B113+B114+B115</f>
        <v>21330.5</v>
      </c>
      <c r="C111" s="104">
        <f>C112+C113+C114</f>
        <v>3919.96</v>
      </c>
      <c r="D111" s="104">
        <f>D112+D113+D114</f>
        <v>2739.1149999999998</v>
      </c>
      <c r="E111" s="104">
        <f>E112+E113+E114</f>
        <v>2739.1149999999998</v>
      </c>
      <c r="F111" s="105">
        <f>IFERROR(E111/B111*100,0)</f>
        <v>12.841307048592391</v>
      </c>
      <c r="G111" s="105">
        <f>IFERROR(E111/C111*100,0)</f>
        <v>69.876095674445651</v>
      </c>
      <c r="H111" s="104">
        <f>H112+H113+H114+H115</f>
        <v>0</v>
      </c>
      <c r="I111" s="104">
        <f t="shared" ref="I111:AE111" si="55">I112+I113+I114+I115</f>
        <v>0</v>
      </c>
      <c r="J111" s="104">
        <f t="shared" si="55"/>
        <v>2745.02</v>
      </c>
      <c r="K111" s="104">
        <f t="shared" si="55"/>
        <v>72</v>
      </c>
      <c r="L111" s="104">
        <f t="shared" si="55"/>
        <v>1174.94</v>
      </c>
      <c r="M111" s="104">
        <f t="shared" si="55"/>
        <v>1577.99</v>
      </c>
      <c r="N111" s="104">
        <f t="shared" si="55"/>
        <v>1011.8</v>
      </c>
      <c r="O111" s="104">
        <f t="shared" si="55"/>
        <v>1089.125</v>
      </c>
      <c r="P111" s="104">
        <f t="shared" si="55"/>
        <v>15817</v>
      </c>
      <c r="Q111" s="104">
        <f t="shared" si="55"/>
        <v>0</v>
      </c>
      <c r="R111" s="104">
        <f t="shared" si="55"/>
        <v>153.1</v>
      </c>
      <c r="S111" s="104">
        <f t="shared" si="55"/>
        <v>0</v>
      </c>
      <c r="T111" s="104">
        <f t="shared" si="55"/>
        <v>0</v>
      </c>
      <c r="U111" s="104">
        <f t="shared" si="55"/>
        <v>0</v>
      </c>
      <c r="V111" s="104">
        <f t="shared" si="55"/>
        <v>30.87</v>
      </c>
      <c r="W111" s="104">
        <f t="shared" si="55"/>
        <v>0</v>
      </c>
      <c r="X111" s="104">
        <f t="shared" si="55"/>
        <v>27.52</v>
      </c>
      <c r="Y111" s="104">
        <f t="shared" si="55"/>
        <v>0</v>
      </c>
      <c r="Z111" s="104">
        <f t="shared" si="55"/>
        <v>136.01</v>
      </c>
      <c r="AA111" s="104">
        <f t="shared" si="55"/>
        <v>0</v>
      </c>
      <c r="AB111" s="104">
        <f t="shared" si="55"/>
        <v>35</v>
      </c>
      <c r="AC111" s="104">
        <f t="shared" si="55"/>
        <v>0</v>
      </c>
      <c r="AD111" s="104">
        <f t="shared" si="55"/>
        <v>199.24</v>
      </c>
      <c r="AE111" s="104">
        <f t="shared" si="55"/>
        <v>0</v>
      </c>
      <c r="AF111" s="101"/>
      <c r="AG111" s="102">
        <f t="shared" si="51"/>
        <v>1.5916157281026244E-12</v>
      </c>
    </row>
    <row r="112" spans="1:33" x14ac:dyDescent="0.3">
      <c r="A112" s="130" t="s">
        <v>169</v>
      </c>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1"/>
      <c r="AG112" s="102">
        <f t="shared" si="51"/>
        <v>0</v>
      </c>
    </row>
    <row r="113" spans="1:33" x14ac:dyDescent="0.3">
      <c r="A113" s="130" t="s">
        <v>32</v>
      </c>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1"/>
      <c r="AG113" s="102">
        <f t="shared" si="51"/>
        <v>0</v>
      </c>
    </row>
    <row r="114" spans="1:33" x14ac:dyDescent="0.3">
      <c r="A114" s="130" t="s">
        <v>33</v>
      </c>
      <c r="B114" s="107">
        <f>B120+B126+B132</f>
        <v>21330.5</v>
      </c>
      <c r="C114" s="107">
        <f>C120+C126+C132</f>
        <v>3919.96</v>
      </c>
      <c r="D114" s="107">
        <f>D120+D126+D132</f>
        <v>2739.1149999999998</v>
      </c>
      <c r="E114" s="107">
        <f>E120+E126+E132</f>
        <v>2739.1149999999998</v>
      </c>
      <c r="F114" s="107">
        <f>IFERROR(E114/B114*100,0)</f>
        <v>12.841307048592391</v>
      </c>
      <c r="G114" s="107">
        <f>IFERROR(E114/C114*100,0)</f>
        <v>69.876095674445651</v>
      </c>
      <c r="H114" s="107">
        <f>H120+H126+H132</f>
        <v>0</v>
      </c>
      <c r="I114" s="107">
        <f t="shared" ref="I114:AE115" si="56">I120+I126+I132</f>
        <v>0</v>
      </c>
      <c r="J114" s="107">
        <f t="shared" si="56"/>
        <v>2745.02</v>
      </c>
      <c r="K114" s="107">
        <f t="shared" si="56"/>
        <v>72</v>
      </c>
      <c r="L114" s="107">
        <f t="shared" si="56"/>
        <v>1174.94</v>
      </c>
      <c r="M114" s="107">
        <f t="shared" si="56"/>
        <v>1577.99</v>
      </c>
      <c r="N114" s="107">
        <f t="shared" si="56"/>
        <v>1011.8</v>
      </c>
      <c r="O114" s="107">
        <f t="shared" si="56"/>
        <v>1089.125</v>
      </c>
      <c r="P114" s="107">
        <f t="shared" si="56"/>
        <v>15817</v>
      </c>
      <c r="Q114" s="107">
        <f t="shared" si="56"/>
        <v>0</v>
      </c>
      <c r="R114" s="107">
        <f t="shared" si="56"/>
        <v>153.1</v>
      </c>
      <c r="S114" s="107">
        <f t="shared" si="56"/>
        <v>0</v>
      </c>
      <c r="T114" s="107">
        <f t="shared" si="56"/>
        <v>0</v>
      </c>
      <c r="U114" s="107">
        <f t="shared" si="56"/>
        <v>0</v>
      </c>
      <c r="V114" s="107">
        <f t="shared" si="56"/>
        <v>30.87</v>
      </c>
      <c r="W114" s="107">
        <f t="shared" si="56"/>
        <v>0</v>
      </c>
      <c r="X114" s="107">
        <f t="shared" si="56"/>
        <v>27.52</v>
      </c>
      <c r="Y114" s="107">
        <f t="shared" si="56"/>
        <v>0</v>
      </c>
      <c r="Z114" s="107">
        <f t="shared" si="56"/>
        <v>136.01</v>
      </c>
      <c r="AA114" s="107">
        <f t="shared" si="56"/>
        <v>0</v>
      </c>
      <c r="AB114" s="107">
        <f t="shared" si="56"/>
        <v>35</v>
      </c>
      <c r="AC114" s="107">
        <f t="shared" si="56"/>
        <v>0</v>
      </c>
      <c r="AD114" s="107">
        <f t="shared" si="56"/>
        <v>199.24</v>
      </c>
      <c r="AE114" s="107">
        <f t="shared" si="56"/>
        <v>0</v>
      </c>
      <c r="AF114" s="101"/>
      <c r="AG114" s="102">
        <f t="shared" si="51"/>
        <v>1.5916157281026244E-12</v>
      </c>
    </row>
    <row r="115" spans="1:33" x14ac:dyDescent="0.3">
      <c r="A115" s="130" t="s">
        <v>170</v>
      </c>
      <c r="B115" s="107">
        <f>B121+B127+B133</f>
        <v>0</v>
      </c>
      <c r="C115" s="107"/>
      <c r="D115" s="107"/>
      <c r="E115" s="107"/>
      <c r="F115" s="107"/>
      <c r="G115" s="107"/>
      <c r="H115" s="107">
        <f>H121+H127+H133</f>
        <v>0</v>
      </c>
      <c r="I115" s="107">
        <f t="shared" si="56"/>
        <v>0</v>
      </c>
      <c r="J115" s="107">
        <f t="shared" si="56"/>
        <v>0</v>
      </c>
      <c r="K115" s="107">
        <f t="shared" si="56"/>
        <v>0</v>
      </c>
      <c r="L115" s="107">
        <f t="shared" si="56"/>
        <v>0</v>
      </c>
      <c r="M115" s="107">
        <f t="shared" si="56"/>
        <v>0</v>
      </c>
      <c r="N115" s="107">
        <f t="shared" si="56"/>
        <v>0</v>
      </c>
      <c r="O115" s="107">
        <f t="shared" si="56"/>
        <v>0</v>
      </c>
      <c r="P115" s="107">
        <f t="shared" si="56"/>
        <v>0</v>
      </c>
      <c r="Q115" s="107">
        <f t="shared" si="56"/>
        <v>0</v>
      </c>
      <c r="R115" s="107">
        <f t="shared" si="56"/>
        <v>0</v>
      </c>
      <c r="S115" s="107">
        <f t="shared" si="56"/>
        <v>0</v>
      </c>
      <c r="T115" s="107">
        <f t="shared" si="56"/>
        <v>0</v>
      </c>
      <c r="U115" s="107">
        <f t="shared" si="56"/>
        <v>0</v>
      </c>
      <c r="V115" s="107">
        <f t="shared" si="56"/>
        <v>0</v>
      </c>
      <c r="W115" s="107">
        <f t="shared" si="56"/>
        <v>0</v>
      </c>
      <c r="X115" s="107">
        <f t="shared" si="56"/>
        <v>0</v>
      </c>
      <c r="Y115" s="107">
        <f t="shared" si="56"/>
        <v>0</v>
      </c>
      <c r="Z115" s="107">
        <f t="shared" si="56"/>
        <v>0</v>
      </c>
      <c r="AA115" s="107">
        <f t="shared" si="56"/>
        <v>0</v>
      </c>
      <c r="AB115" s="107">
        <f t="shared" si="56"/>
        <v>0</v>
      </c>
      <c r="AC115" s="107">
        <f t="shared" si="56"/>
        <v>0</v>
      </c>
      <c r="AD115" s="107">
        <f t="shared" si="56"/>
        <v>0</v>
      </c>
      <c r="AE115" s="107">
        <f t="shared" si="56"/>
        <v>0</v>
      </c>
      <c r="AF115" s="101"/>
      <c r="AG115" s="102">
        <f t="shared" si="51"/>
        <v>0</v>
      </c>
    </row>
    <row r="116" spans="1:33" ht="56.25" x14ac:dyDescent="0.3">
      <c r="A116" s="108" t="s">
        <v>186</v>
      </c>
      <c r="B116" s="131"/>
      <c r="C116" s="132"/>
      <c r="D116" s="132"/>
      <c r="E116" s="132"/>
      <c r="F116" s="132"/>
      <c r="G116" s="132"/>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29"/>
      <c r="AG116" s="102">
        <f t="shared" si="51"/>
        <v>0</v>
      </c>
    </row>
    <row r="117" spans="1:33" ht="24.75" customHeight="1" x14ac:dyDescent="0.3">
      <c r="A117" s="112" t="s">
        <v>31</v>
      </c>
      <c r="B117" s="872">
        <f>B119+B120+B118+B121</f>
        <v>18474.5</v>
      </c>
      <c r="C117" s="113">
        <f>C119+C120+C118+C121</f>
        <v>1394.96</v>
      </c>
      <c r="D117" s="113">
        <f>D119+D120+D118+D121</f>
        <v>1476.615</v>
      </c>
      <c r="E117" s="113">
        <f>E119+E120+E118+E121</f>
        <v>1476.615</v>
      </c>
      <c r="F117" s="113">
        <f>IFERROR(E117/B117*100,0)</f>
        <v>7.992719694714336</v>
      </c>
      <c r="G117" s="113">
        <f>IFERROR(E117/C117*100,0)</f>
        <v>105.8535728623043</v>
      </c>
      <c r="H117" s="113">
        <f t="shared" ref="H117:AE117" si="57">H119+H120+H118+H121</f>
        <v>0</v>
      </c>
      <c r="I117" s="113">
        <f t="shared" si="57"/>
        <v>0</v>
      </c>
      <c r="J117" s="113">
        <f t="shared" si="57"/>
        <v>220.02</v>
      </c>
      <c r="K117" s="113">
        <f t="shared" si="57"/>
        <v>72</v>
      </c>
      <c r="L117" s="113">
        <f t="shared" si="57"/>
        <v>1174.94</v>
      </c>
      <c r="M117" s="113">
        <f t="shared" si="57"/>
        <v>315.49</v>
      </c>
      <c r="N117" s="113">
        <f t="shared" si="57"/>
        <v>1011.8</v>
      </c>
      <c r="O117" s="113">
        <f t="shared" si="57"/>
        <v>1089.125</v>
      </c>
      <c r="P117" s="113">
        <f t="shared" si="57"/>
        <v>15486</v>
      </c>
      <c r="Q117" s="113">
        <f t="shared" si="57"/>
        <v>0</v>
      </c>
      <c r="R117" s="113">
        <f t="shared" si="57"/>
        <v>153.1</v>
      </c>
      <c r="S117" s="113">
        <f t="shared" si="57"/>
        <v>0</v>
      </c>
      <c r="T117" s="113">
        <f t="shared" si="57"/>
        <v>0</v>
      </c>
      <c r="U117" s="113">
        <f t="shared" si="57"/>
        <v>0</v>
      </c>
      <c r="V117" s="113">
        <f t="shared" si="57"/>
        <v>30.87</v>
      </c>
      <c r="W117" s="113">
        <f t="shared" si="57"/>
        <v>0</v>
      </c>
      <c r="X117" s="113">
        <f t="shared" si="57"/>
        <v>27.52</v>
      </c>
      <c r="Y117" s="113">
        <f t="shared" si="57"/>
        <v>0</v>
      </c>
      <c r="Z117" s="113">
        <f t="shared" si="57"/>
        <v>136.01</v>
      </c>
      <c r="AA117" s="113">
        <f t="shared" si="57"/>
        <v>0</v>
      </c>
      <c r="AB117" s="113">
        <f t="shared" si="57"/>
        <v>35</v>
      </c>
      <c r="AC117" s="113">
        <f t="shared" si="57"/>
        <v>0</v>
      </c>
      <c r="AD117" s="113">
        <f t="shared" si="57"/>
        <v>199.24</v>
      </c>
      <c r="AE117" s="113">
        <f t="shared" si="57"/>
        <v>0</v>
      </c>
      <c r="AF117" s="792" t="s">
        <v>577</v>
      </c>
      <c r="AG117" s="102">
        <f t="shared" si="51"/>
        <v>1.5916157281026244E-12</v>
      </c>
    </row>
    <row r="118" spans="1:33" x14ac:dyDescent="0.3">
      <c r="A118" s="115" t="s">
        <v>169</v>
      </c>
      <c r="B118" s="116"/>
      <c r="C118" s="117"/>
      <c r="D118" s="118"/>
      <c r="E118" s="117"/>
      <c r="F118" s="116"/>
      <c r="G118" s="116"/>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29"/>
      <c r="AG118" s="102">
        <f t="shared" si="51"/>
        <v>0</v>
      </c>
    </row>
    <row r="119" spans="1:33" x14ac:dyDescent="0.3">
      <c r="A119" s="115" t="s">
        <v>32</v>
      </c>
      <c r="B119" s="116"/>
      <c r="C119" s="117"/>
      <c r="D119" s="118"/>
      <c r="E119" s="117"/>
      <c r="F119" s="116"/>
      <c r="G119" s="116"/>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29"/>
      <c r="AG119" s="102">
        <f t="shared" si="51"/>
        <v>0</v>
      </c>
    </row>
    <row r="120" spans="1:33" x14ac:dyDescent="0.3">
      <c r="A120" s="115" t="s">
        <v>33</v>
      </c>
      <c r="B120" s="116">
        <f>J120+L120+N120+P120+R120+T120+V120+X120+Z120+AB120+AD120+H120</f>
        <v>18474.5</v>
      </c>
      <c r="C120" s="117">
        <f>SUM(H120+J120+L120)</f>
        <v>1394.96</v>
      </c>
      <c r="D120" s="118">
        <f>E120</f>
        <v>1476.615</v>
      </c>
      <c r="E120" s="117">
        <f>SUM(I120,K120,M120,O120,Q120,S120,U120,W120,Y120,AA120,AC120,AE120)</f>
        <v>1476.615</v>
      </c>
      <c r="F120" s="116">
        <f>IFERROR(E120/B120*100,0)</f>
        <v>7.992719694714336</v>
      </c>
      <c r="G120" s="116">
        <f>IFERROR(E120/C120*100,0)</f>
        <v>105.8535728623043</v>
      </c>
      <c r="H120" s="111">
        <v>0</v>
      </c>
      <c r="I120" s="111">
        <v>0</v>
      </c>
      <c r="J120" s="111">
        <v>220.02</v>
      </c>
      <c r="K120" s="111">
        <v>72</v>
      </c>
      <c r="L120" s="111">
        <v>1174.94</v>
      </c>
      <c r="M120" s="111">
        <v>315.49</v>
      </c>
      <c r="N120" s="111">
        <v>1011.8</v>
      </c>
      <c r="O120" s="111">
        <v>1089.125</v>
      </c>
      <c r="P120" s="111">
        <v>15486</v>
      </c>
      <c r="Q120" s="111"/>
      <c r="R120" s="111">
        <v>153.1</v>
      </c>
      <c r="S120" s="111"/>
      <c r="T120" s="111">
        <v>0</v>
      </c>
      <c r="U120" s="111"/>
      <c r="V120" s="111">
        <v>30.87</v>
      </c>
      <c r="W120" s="111"/>
      <c r="X120" s="111">
        <v>27.52</v>
      </c>
      <c r="Y120" s="111"/>
      <c r="Z120" s="111">
        <v>136.01</v>
      </c>
      <c r="AA120" s="111"/>
      <c r="AB120" s="111">
        <v>35</v>
      </c>
      <c r="AC120" s="111"/>
      <c r="AD120" s="111">
        <v>199.24</v>
      </c>
      <c r="AE120" s="111"/>
      <c r="AF120" s="29"/>
      <c r="AG120" s="102">
        <f t="shared" si="51"/>
        <v>1.5916157281026244E-12</v>
      </c>
    </row>
    <row r="121" spans="1:33" x14ac:dyDescent="0.3">
      <c r="A121" s="123" t="s">
        <v>170</v>
      </c>
      <c r="B121" s="116"/>
      <c r="C121" s="117"/>
      <c r="D121" s="118"/>
      <c r="E121" s="117"/>
      <c r="F121" s="116"/>
      <c r="G121" s="116"/>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29"/>
      <c r="AG121" s="102">
        <f t="shared" si="51"/>
        <v>0</v>
      </c>
    </row>
    <row r="122" spans="1:33" ht="60" customHeight="1" x14ac:dyDescent="0.3">
      <c r="A122" s="128" t="s">
        <v>187</v>
      </c>
      <c r="B122" s="131"/>
      <c r="C122" s="132"/>
      <c r="D122" s="132"/>
      <c r="E122" s="132"/>
      <c r="F122" s="132"/>
      <c r="G122" s="132"/>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790" t="s">
        <v>578</v>
      </c>
      <c r="AG122" s="102">
        <f t="shared" si="51"/>
        <v>0</v>
      </c>
    </row>
    <row r="123" spans="1:33" x14ac:dyDescent="0.3">
      <c r="A123" s="112" t="s">
        <v>31</v>
      </c>
      <c r="B123" s="872">
        <f>B125+B126+B124+B127</f>
        <v>2525</v>
      </c>
      <c r="C123" s="872">
        <f>C125+C126+C124+C127</f>
        <v>2525</v>
      </c>
      <c r="D123" s="113">
        <f>D125+D126+D124+D127</f>
        <v>1262.5</v>
      </c>
      <c r="E123" s="113">
        <f>E125+E126+E124+E127</f>
        <v>1262.5</v>
      </c>
      <c r="F123" s="113">
        <f>IFERROR(E123/B123*100,0)</f>
        <v>50</v>
      </c>
      <c r="G123" s="113">
        <f>IFERROR(E123/C123*100,0)</f>
        <v>50</v>
      </c>
      <c r="H123" s="113">
        <f t="shared" ref="H123:AE123" si="58">H125+H126+H124+H127</f>
        <v>0</v>
      </c>
      <c r="I123" s="113">
        <f t="shared" si="58"/>
        <v>0</v>
      </c>
      <c r="J123" s="113">
        <f t="shared" si="58"/>
        <v>2525</v>
      </c>
      <c r="K123" s="113">
        <f t="shared" si="58"/>
        <v>0</v>
      </c>
      <c r="L123" s="113">
        <f t="shared" si="58"/>
        <v>0</v>
      </c>
      <c r="M123" s="113">
        <f t="shared" si="58"/>
        <v>1262.5</v>
      </c>
      <c r="N123" s="113">
        <f t="shared" si="58"/>
        <v>0</v>
      </c>
      <c r="O123" s="113">
        <f t="shared" si="58"/>
        <v>0</v>
      </c>
      <c r="P123" s="113">
        <f t="shared" si="58"/>
        <v>0</v>
      </c>
      <c r="Q123" s="113">
        <f t="shared" si="58"/>
        <v>0</v>
      </c>
      <c r="R123" s="113">
        <f t="shared" si="58"/>
        <v>0</v>
      </c>
      <c r="S123" s="113">
        <f t="shared" si="58"/>
        <v>0</v>
      </c>
      <c r="T123" s="113">
        <f t="shared" si="58"/>
        <v>0</v>
      </c>
      <c r="U123" s="113">
        <f t="shared" si="58"/>
        <v>0</v>
      </c>
      <c r="V123" s="113">
        <f t="shared" si="58"/>
        <v>0</v>
      </c>
      <c r="W123" s="113">
        <f t="shared" si="58"/>
        <v>0</v>
      </c>
      <c r="X123" s="113">
        <f t="shared" si="58"/>
        <v>0</v>
      </c>
      <c r="Y123" s="113">
        <f t="shared" si="58"/>
        <v>0</v>
      </c>
      <c r="Z123" s="113">
        <f t="shared" si="58"/>
        <v>0</v>
      </c>
      <c r="AA123" s="113">
        <f t="shared" si="58"/>
        <v>0</v>
      </c>
      <c r="AB123" s="113">
        <f t="shared" si="58"/>
        <v>0</v>
      </c>
      <c r="AC123" s="113">
        <f t="shared" si="58"/>
        <v>0</v>
      </c>
      <c r="AD123" s="113">
        <f t="shared" si="58"/>
        <v>0</v>
      </c>
      <c r="AE123" s="113">
        <f t="shared" si="58"/>
        <v>0</v>
      </c>
      <c r="AF123" s="29"/>
      <c r="AG123" s="102">
        <f t="shared" si="51"/>
        <v>0</v>
      </c>
    </row>
    <row r="124" spans="1:33" x14ac:dyDescent="0.3">
      <c r="A124" s="115" t="s">
        <v>169</v>
      </c>
      <c r="B124" s="116">
        <f>H124+J124+L124+N124+P124+R124+T124+V124+X124+Z124+AB124+AD124</f>
        <v>0</v>
      </c>
      <c r="C124" s="875">
        <f>SUM(H124)</f>
        <v>0</v>
      </c>
      <c r="D124" s="118">
        <f>E124</f>
        <v>0</v>
      </c>
      <c r="E124" s="117">
        <f>SUM(I124,K124,M124,O124,Q124,S124,U124,W124,Y124,AA124,AC124,AE124)</f>
        <v>0</v>
      </c>
      <c r="F124" s="116">
        <f>IFERROR(E124/B124*100,0)</f>
        <v>0</v>
      </c>
      <c r="G124" s="116">
        <f>IFERROR(E124/C124*100,0)</f>
        <v>0</v>
      </c>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29"/>
      <c r="AG124" s="102">
        <f t="shared" si="51"/>
        <v>0</v>
      </c>
    </row>
    <row r="125" spans="1:33" x14ac:dyDescent="0.3">
      <c r="A125" s="115" t="s">
        <v>32</v>
      </c>
      <c r="B125" s="116">
        <f>J125+L125+N125+P125+R125+T125+V125+X125+Z125+AB125+AD125+H125</f>
        <v>0</v>
      </c>
      <c r="C125" s="875">
        <f>SUM(H125)</f>
        <v>0</v>
      </c>
      <c r="D125" s="118">
        <f>E125</f>
        <v>0</v>
      </c>
      <c r="E125" s="117">
        <f>SUM(I125,K125,M125,O125,Q125,S125,U125,W125,Y125,AA125,AC125,AE125)</f>
        <v>0</v>
      </c>
      <c r="F125" s="116">
        <f>IFERROR(E125/B125*100,0)</f>
        <v>0</v>
      </c>
      <c r="G125" s="116">
        <f>IFERROR(E125/C125*100,0)</f>
        <v>0</v>
      </c>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29"/>
      <c r="AG125" s="102">
        <f t="shared" si="51"/>
        <v>0</v>
      </c>
    </row>
    <row r="126" spans="1:33" x14ac:dyDescent="0.3">
      <c r="A126" s="115" t="s">
        <v>33</v>
      </c>
      <c r="B126" s="116">
        <f>J126+L126+N126+P126+R126+T126+V126+X126+Z126+AB126+AD126+H126</f>
        <v>2525</v>
      </c>
      <c r="C126" s="875">
        <f>SUM(H126+J126+L126)</f>
        <v>2525</v>
      </c>
      <c r="D126" s="118">
        <f>E126</f>
        <v>1262.5</v>
      </c>
      <c r="E126" s="117">
        <f>SUM(I126,K126,M126,O126,Q126,S126,U126,W126,Y126,AA126,AC126,AE126)</f>
        <v>1262.5</v>
      </c>
      <c r="F126" s="116">
        <f>IFERROR(E126/B126*100,0)</f>
        <v>50</v>
      </c>
      <c r="G126" s="116">
        <f>IFERROR(E126/C126*100,0)</f>
        <v>50</v>
      </c>
      <c r="H126" s="111">
        <v>0</v>
      </c>
      <c r="I126" s="111">
        <v>0</v>
      </c>
      <c r="J126" s="111">
        <v>2525</v>
      </c>
      <c r="K126" s="111">
        <v>0</v>
      </c>
      <c r="L126" s="111">
        <v>0</v>
      </c>
      <c r="M126" s="111">
        <v>1262.5</v>
      </c>
      <c r="N126" s="111">
        <v>0</v>
      </c>
      <c r="O126" s="111">
        <v>0</v>
      </c>
      <c r="P126" s="111"/>
      <c r="Q126" s="111"/>
      <c r="R126" s="111"/>
      <c r="S126" s="111"/>
      <c r="T126" s="111"/>
      <c r="U126" s="111"/>
      <c r="V126" s="111"/>
      <c r="W126" s="111"/>
      <c r="X126" s="111"/>
      <c r="Y126" s="111"/>
      <c r="Z126" s="111"/>
      <c r="AA126" s="111"/>
      <c r="AB126" s="111"/>
      <c r="AC126" s="111"/>
      <c r="AD126" s="111"/>
      <c r="AE126" s="111"/>
      <c r="AF126" s="29"/>
      <c r="AG126" s="102">
        <f t="shared" si="51"/>
        <v>0</v>
      </c>
    </row>
    <row r="127" spans="1:33" x14ac:dyDescent="0.3">
      <c r="A127" s="123" t="s">
        <v>170</v>
      </c>
      <c r="B127" s="116">
        <f>J127+L127+N127+P127+R127+T127+V127+X127+Z127+AB127+AD127+H127</f>
        <v>0</v>
      </c>
      <c r="C127" s="117">
        <f>SUM(H127)</f>
        <v>0</v>
      </c>
      <c r="D127" s="118">
        <f>E127</f>
        <v>0</v>
      </c>
      <c r="E127" s="117">
        <f>SUM(I127,K127,M127,O127,Q127,S127,U127,W127,Y127,AA127,AC127,AE127)</f>
        <v>0</v>
      </c>
      <c r="F127" s="116">
        <f>IFERROR(E127/B127*100,0)</f>
        <v>0</v>
      </c>
      <c r="G127" s="116">
        <f>IFERROR(E127/C127*100,0)</f>
        <v>0</v>
      </c>
      <c r="H127" s="111"/>
      <c r="I127" s="111"/>
      <c r="J127" s="111"/>
      <c r="K127" s="111">
        <v>0</v>
      </c>
      <c r="L127" s="111"/>
      <c r="M127" s="111"/>
      <c r="N127" s="111"/>
      <c r="O127" s="111"/>
      <c r="P127" s="111"/>
      <c r="Q127" s="111"/>
      <c r="R127" s="111"/>
      <c r="S127" s="111"/>
      <c r="T127" s="111"/>
      <c r="U127" s="111"/>
      <c r="V127" s="111"/>
      <c r="W127" s="111"/>
      <c r="X127" s="111"/>
      <c r="Y127" s="111"/>
      <c r="Z127" s="111"/>
      <c r="AA127" s="111"/>
      <c r="AB127" s="111"/>
      <c r="AC127" s="111"/>
      <c r="AD127" s="111"/>
      <c r="AE127" s="111"/>
      <c r="AF127" s="29"/>
      <c r="AG127" s="102">
        <f t="shared" si="51"/>
        <v>0</v>
      </c>
    </row>
    <row r="128" spans="1:33" ht="56.25" x14ac:dyDescent="0.3">
      <c r="A128" s="123" t="s">
        <v>188</v>
      </c>
      <c r="B128" s="116"/>
      <c r="C128" s="124"/>
      <c r="D128" s="124"/>
      <c r="E128" s="124"/>
      <c r="F128" s="124"/>
      <c r="G128" s="124"/>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29"/>
      <c r="AG128" s="102">
        <f t="shared" si="51"/>
        <v>0</v>
      </c>
    </row>
    <row r="129" spans="1:33" x14ac:dyDescent="0.3">
      <c r="A129" s="112" t="s">
        <v>31</v>
      </c>
      <c r="B129" s="872">
        <f>B131+B132+B130+B133</f>
        <v>331</v>
      </c>
      <c r="C129" s="872">
        <f>C131+C132+C130+C133</f>
        <v>0</v>
      </c>
      <c r="D129" s="872">
        <f>D131+D132+D130+D133</f>
        <v>0</v>
      </c>
      <c r="E129" s="113">
        <f>E131+E132+E130+E133</f>
        <v>0</v>
      </c>
      <c r="F129" s="113">
        <f>IFERROR(E129/B129*100,0)</f>
        <v>0</v>
      </c>
      <c r="G129" s="113">
        <f>IFERROR(E129/C129*100,0)</f>
        <v>0</v>
      </c>
      <c r="H129" s="113">
        <f t="shared" ref="H129:AE129" si="59">H131+H132+H130+H133</f>
        <v>0</v>
      </c>
      <c r="I129" s="113">
        <f t="shared" si="59"/>
        <v>0</v>
      </c>
      <c r="J129" s="113">
        <f t="shared" si="59"/>
        <v>0</v>
      </c>
      <c r="K129" s="113">
        <f t="shared" si="59"/>
        <v>0</v>
      </c>
      <c r="L129" s="113">
        <f t="shared" si="59"/>
        <v>0</v>
      </c>
      <c r="M129" s="113">
        <f t="shared" si="59"/>
        <v>0</v>
      </c>
      <c r="N129" s="113">
        <f t="shared" si="59"/>
        <v>0</v>
      </c>
      <c r="O129" s="113">
        <f t="shared" si="59"/>
        <v>0</v>
      </c>
      <c r="P129" s="113">
        <f t="shared" si="59"/>
        <v>331</v>
      </c>
      <c r="Q129" s="113">
        <f t="shared" si="59"/>
        <v>0</v>
      </c>
      <c r="R129" s="113">
        <f t="shared" si="59"/>
        <v>0</v>
      </c>
      <c r="S129" s="113">
        <f t="shared" si="59"/>
        <v>0</v>
      </c>
      <c r="T129" s="113">
        <f t="shared" si="59"/>
        <v>0</v>
      </c>
      <c r="U129" s="113">
        <f t="shared" si="59"/>
        <v>0</v>
      </c>
      <c r="V129" s="113">
        <f t="shared" si="59"/>
        <v>0</v>
      </c>
      <c r="W129" s="113">
        <f t="shared" si="59"/>
        <v>0</v>
      </c>
      <c r="X129" s="113">
        <f t="shared" si="59"/>
        <v>0</v>
      </c>
      <c r="Y129" s="113">
        <f t="shared" si="59"/>
        <v>0</v>
      </c>
      <c r="Z129" s="113">
        <f t="shared" si="59"/>
        <v>0</v>
      </c>
      <c r="AA129" s="113">
        <f t="shared" si="59"/>
        <v>0</v>
      </c>
      <c r="AB129" s="113">
        <f t="shared" si="59"/>
        <v>0</v>
      </c>
      <c r="AC129" s="113">
        <f t="shared" si="59"/>
        <v>0</v>
      </c>
      <c r="AD129" s="113">
        <f t="shared" si="59"/>
        <v>0</v>
      </c>
      <c r="AE129" s="113">
        <f t="shared" si="59"/>
        <v>0</v>
      </c>
      <c r="AF129" s="29"/>
      <c r="AG129" s="102">
        <f t="shared" si="51"/>
        <v>0</v>
      </c>
    </row>
    <row r="130" spans="1:33" x14ac:dyDescent="0.3">
      <c r="A130" s="115" t="s">
        <v>169</v>
      </c>
      <c r="B130" s="116">
        <f>H130+J130+L130+N130+P130+R130+T130+V130+X130+Z130+AB130+AD130</f>
        <v>0</v>
      </c>
      <c r="C130" s="117">
        <f>SUM(H130)</f>
        <v>0</v>
      </c>
      <c r="D130" s="118">
        <f>E130</f>
        <v>0</v>
      </c>
      <c r="E130" s="117">
        <f>SUM(I130,K130,M130,O130,Q130,S130,U130,W130,Y130,AA130,AC130,AE130)</f>
        <v>0</v>
      </c>
      <c r="F130" s="116">
        <f>IFERROR(E130/B130*100,0)</f>
        <v>0</v>
      </c>
      <c r="G130" s="116">
        <f>IFERROR(E130/C130*100,0)</f>
        <v>0</v>
      </c>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29"/>
      <c r="AG130" s="102">
        <f t="shared" si="51"/>
        <v>0</v>
      </c>
    </row>
    <row r="131" spans="1:33" x14ac:dyDescent="0.3">
      <c r="A131" s="115" t="s">
        <v>32</v>
      </c>
      <c r="B131" s="116">
        <f>J131+L131+N131+P131+R131+T131+V131+X131+Z131+AB131+AD131+H131</f>
        <v>0</v>
      </c>
      <c r="C131" s="117">
        <f>SUM(H131)</f>
        <v>0</v>
      </c>
      <c r="D131" s="118">
        <f>E131</f>
        <v>0</v>
      </c>
      <c r="E131" s="117">
        <f>SUM(I131,K131,M131,O131,Q131,S131,U131,W131,Y131,AA131,AC131,AE131)</f>
        <v>0</v>
      </c>
      <c r="F131" s="116">
        <f>IFERROR(E131/B131*100,0)</f>
        <v>0</v>
      </c>
      <c r="G131" s="116">
        <f>IFERROR(E131/C131*100,0)</f>
        <v>0</v>
      </c>
      <c r="H131" s="111">
        <v>0</v>
      </c>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29"/>
      <c r="AG131" s="102">
        <f t="shared" si="51"/>
        <v>0</v>
      </c>
    </row>
    <row r="132" spans="1:33" x14ac:dyDescent="0.3">
      <c r="A132" s="115" t="s">
        <v>33</v>
      </c>
      <c r="B132" s="116">
        <f>J132+L132+N132+P132+R132+T132+V132+X132+Z132+AB132+AD132+H132</f>
        <v>331</v>
      </c>
      <c r="C132" s="117">
        <f>SUM(H132)</f>
        <v>0</v>
      </c>
      <c r="D132" s="118">
        <f>E132</f>
        <v>0</v>
      </c>
      <c r="E132" s="117">
        <f>SUM(I132,K132,M132,O132,Q132,S132,U132,W132,Y132,AA132,AC132,AE132)</f>
        <v>0</v>
      </c>
      <c r="F132" s="116">
        <f>IFERROR(E132/B132*100,0)</f>
        <v>0</v>
      </c>
      <c r="G132" s="116">
        <f>IFERROR(E132/C132*100,0)</f>
        <v>0</v>
      </c>
      <c r="H132" s="111">
        <v>0</v>
      </c>
      <c r="I132" s="111">
        <v>0</v>
      </c>
      <c r="J132" s="111">
        <v>0</v>
      </c>
      <c r="K132" s="111">
        <v>0</v>
      </c>
      <c r="L132" s="111">
        <v>0</v>
      </c>
      <c r="M132" s="111">
        <v>0</v>
      </c>
      <c r="N132" s="111">
        <v>0</v>
      </c>
      <c r="O132" s="111">
        <v>0</v>
      </c>
      <c r="P132" s="111">
        <v>331</v>
      </c>
      <c r="Q132" s="111"/>
      <c r="R132" s="111"/>
      <c r="S132" s="111"/>
      <c r="T132" s="111"/>
      <c r="U132" s="111"/>
      <c r="V132" s="111"/>
      <c r="W132" s="111"/>
      <c r="X132" s="111"/>
      <c r="Y132" s="111"/>
      <c r="Z132" s="111"/>
      <c r="AA132" s="111"/>
      <c r="AB132" s="111"/>
      <c r="AC132" s="111"/>
      <c r="AD132" s="111"/>
      <c r="AE132" s="111"/>
      <c r="AF132" s="29"/>
      <c r="AG132" s="102">
        <f t="shared" si="51"/>
        <v>0</v>
      </c>
    </row>
    <row r="133" spans="1:33" x14ac:dyDescent="0.3">
      <c r="A133" s="123" t="s">
        <v>170</v>
      </c>
      <c r="B133" s="116">
        <f>J133+L133+N133+P133+R133+T133+V133+X133+Z133+AB133+AD133+H133</f>
        <v>0</v>
      </c>
      <c r="C133" s="117">
        <f>SUM(H133)</f>
        <v>0</v>
      </c>
      <c r="D133" s="118">
        <f>E133</f>
        <v>0</v>
      </c>
      <c r="E133" s="117">
        <f>SUM(I133,K133,M133,O133,Q133,S133,U133,W133,Y133,AA133,AC133,AE133)</f>
        <v>0</v>
      </c>
      <c r="F133" s="116">
        <f>IFERROR(E133/B133*100,0)</f>
        <v>0</v>
      </c>
      <c r="G133" s="116">
        <f>IFERROR(E133/C133*100,0)</f>
        <v>0</v>
      </c>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29"/>
      <c r="AG133" s="102">
        <f t="shared" si="51"/>
        <v>0</v>
      </c>
    </row>
    <row r="134" spans="1:33" ht="37.5" x14ac:dyDescent="0.3">
      <c r="A134" s="125" t="s">
        <v>189</v>
      </c>
      <c r="B134" s="104"/>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01"/>
      <c r="AG134" s="102">
        <f t="shared" si="51"/>
        <v>0</v>
      </c>
    </row>
    <row r="135" spans="1:33" x14ac:dyDescent="0.3">
      <c r="A135" s="129" t="s">
        <v>31</v>
      </c>
      <c r="B135" s="104">
        <f>B136+B137+B138+B139</f>
        <v>80575.305999999997</v>
      </c>
      <c r="C135" s="104">
        <f>C136+C137+C138</f>
        <v>18077.199999999997</v>
      </c>
      <c r="D135" s="104">
        <f>D136+D137+D138</f>
        <v>19094.310000000001</v>
      </c>
      <c r="E135" s="104">
        <f>E136+E137+E138</f>
        <v>19094.310000000001</v>
      </c>
      <c r="F135" s="104">
        <f>E135/B135*100</f>
        <v>23.697471282330596</v>
      </c>
      <c r="G135" s="104">
        <f>E135/C135*100</f>
        <v>105.62647976456535</v>
      </c>
      <c r="H135" s="104">
        <f>H136+H137+H138</f>
        <v>3705.29</v>
      </c>
      <c r="I135" s="104">
        <f t="shared" ref="I135:AE135" si="60">I136+I137+I138</f>
        <v>1612.47</v>
      </c>
      <c r="J135" s="104">
        <f t="shared" si="60"/>
        <v>8006.5599999999995</v>
      </c>
      <c r="K135" s="104">
        <f t="shared" si="60"/>
        <v>5898.18</v>
      </c>
      <c r="L135" s="104">
        <f t="shared" si="60"/>
        <v>6365.35</v>
      </c>
      <c r="M135" s="104">
        <f t="shared" si="60"/>
        <v>6075.75</v>
      </c>
      <c r="N135" s="104">
        <f t="shared" si="60"/>
        <v>9373.17</v>
      </c>
      <c r="O135" s="104">
        <f t="shared" si="60"/>
        <v>5507.91</v>
      </c>
      <c r="P135" s="104">
        <f t="shared" si="60"/>
        <v>11010.08</v>
      </c>
      <c r="Q135" s="104">
        <f t="shared" si="60"/>
        <v>0</v>
      </c>
      <c r="R135" s="104">
        <f t="shared" si="60"/>
        <v>10552.17</v>
      </c>
      <c r="S135" s="104">
        <f t="shared" si="60"/>
        <v>0</v>
      </c>
      <c r="T135" s="104">
        <f t="shared" si="60"/>
        <v>3577.6800000000003</v>
      </c>
      <c r="U135" s="104">
        <f t="shared" si="60"/>
        <v>0</v>
      </c>
      <c r="V135" s="104">
        <f t="shared" si="60"/>
        <v>3667.17</v>
      </c>
      <c r="W135" s="104">
        <f t="shared" si="60"/>
        <v>0</v>
      </c>
      <c r="X135" s="104">
        <f t="shared" si="60"/>
        <v>3661.3360000000002</v>
      </c>
      <c r="Y135" s="104">
        <f t="shared" si="60"/>
        <v>0</v>
      </c>
      <c r="Z135" s="104">
        <f t="shared" si="60"/>
        <v>6118.57</v>
      </c>
      <c r="AA135" s="104">
        <f t="shared" si="60"/>
        <v>0</v>
      </c>
      <c r="AB135" s="104">
        <f t="shared" si="60"/>
        <v>6050.26</v>
      </c>
      <c r="AC135" s="104">
        <f t="shared" si="60"/>
        <v>0</v>
      </c>
      <c r="AD135" s="104">
        <f t="shared" si="60"/>
        <v>8487.67</v>
      </c>
      <c r="AE135" s="104">
        <f t="shared" si="60"/>
        <v>0</v>
      </c>
      <c r="AF135" s="101"/>
      <c r="AG135" s="102">
        <f t="shared" si="51"/>
        <v>0</v>
      </c>
    </row>
    <row r="136" spans="1:33" x14ac:dyDescent="0.3">
      <c r="A136" s="130" t="s">
        <v>169</v>
      </c>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1"/>
      <c r="AG136" s="102">
        <f t="shared" si="51"/>
        <v>0</v>
      </c>
    </row>
    <row r="137" spans="1:33" x14ac:dyDescent="0.3">
      <c r="A137" s="130" t="s">
        <v>32</v>
      </c>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1"/>
      <c r="AG137" s="102">
        <f t="shared" si="51"/>
        <v>0</v>
      </c>
    </row>
    <row r="138" spans="1:33" x14ac:dyDescent="0.3">
      <c r="A138" s="130" t="s">
        <v>33</v>
      </c>
      <c r="B138" s="107">
        <f>B144+B157+B163</f>
        <v>80575.305999999997</v>
      </c>
      <c r="C138" s="107">
        <f>C144+C157+C163</f>
        <v>18077.199999999997</v>
      </c>
      <c r="D138" s="107">
        <f>D144+D157+D163</f>
        <v>19094.310000000001</v>
      </c>
      <c r="E138" s="107">
        <f>E144+E157+E163</f>
        <v>19094.310000000001</v>
      </c>
      <c r="F138" s="107">
        <f>IFERROR(E138/B138*100,0)</f>
        <v>23.697471282330596</v>
      </c>
      <c r="G138" s="107">
        <f>IFERROR(E138/C138*100,0)</f>
        <v>105.62647976456535</v>
      </c>
      <c r="H138" s="107">
        <f>H144+H157+H163</f>
        <v>3705.29</v>
      </c>
      <c r="I138" s="107">
        <f t="shared" ref="I138:AE138" si="61">I144+I157+I163</f>
        <v>1612.47</v>
      </c>
      <c r="J138" s="107">
        <f t="shared" si="61"/>
        <v>8006.5599999999995</v>
      </c>
      <c r="K138" s="107">
        <f t="shared" si="61"/>
        <v>5898.18</v>
      </c>
      <c r="L138" s="107">
        <f t="shared" si="61"/>
        <v>6365.35</v>
      </c>
      <c r="M138" s="107">
        <f t="shared" si="61"/>
        <v>6075.75</v>
      </c>
      <c r="N138" s="107">
        <f t="shared" si="61"/>
        <v>9373.17</v>
      </c>
      <c r="O138" s="107">
        <f t="shared" si="61"/>
        <v>5507.91</v>
      </c>
      <c r="P138" s="107">
        <f t="shared" si="61"/>
        <v>11010.08</v>
      </c>
      <c r="Q138" s="107">
        <f t="shared" si="61"/>
        <v>0</v>
      </c>
      <c r="R138" s="107">
        <f t="shared" si="61"/>
        <v>10552.17</v>
      </c>
      <c r="S138" s="107">
        <f t="shared" si="61"/>
        <v>0</v>
      </c>
      <c r="T138" s="107">
        <f t="shared" si="61"/>
        <v>3577.6800000000003</v>
      </c>
      <c r="U138" s="107">
        <f t="shared" si="61"/>
        <v>0</v>
      </c>
      <c r="V138" s="107">
        <f t="shared" si="61"/>
        <v>3667.17</v>
      </c>
      <c r="W138" s="107">
        <f t="shared" si="61"/>
        <v>0</v>
      </c>
      <c r="X138" s="107">
        <f t="shared" si="61"/>
        <v>3661.3360000000002</v>
      </c>
      <c r="Y138" s="107">
        <f t="shared" si="61"/>
        <v>0</v>
      </c>
      <c r="Z138" s="107">
        <f t="shared" si="61"/>
        <v>6118.57</v>
      </c>
      <c r="AA138" s="107">
        <f t="shared" si="61"/>
        <v>0</v>
      </c>
      <c r="AB138" s="107">
        <f t="shared" si="61"/>
        <v>6050.26</v>
      </c>
      <c r="AC138" s="107">
        <f t="shared" si="61"/>
        <v>0</v>
      </c>
      <c r="AD138" s="107">
        <f t="shared" si="61"/>
        <v>8487.67</v>
      </c>
      <c r="AE138" s="107">
        <f t="shared" si="61"/>
        <v>0</v>
      </c>
      <c r="AF138" s="101"/>
      <c r="AG138" s="102">
        <f t="shared" si="51"/>
        <v>0</v>
      </c>
    </row>
    <row r="139" spans="1:33" x14ac:dyDescent="0.3">
      <c r="A139" s="130" t="s">
        <v>170</v>
      </c>
      <c r="B139" s="107">
        <f>B145+B158+B164</f>
        <v>0</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1"/>
      <c r="AG139" s="102">
        <f t="shared" si="51"/>
        <v>0</v>
      </c>
    </row>
    <row r="140" spans="1:33" ht="37.5" x14ac:dyDescent="0.3">
      <c r="A140" s="108" t="s">
        <v>190</v>
      </c>
      <c r="B140" s="131"/>
      <c r="C140" s="132"/>
      <c r="D140" s="132"/>
      <c r="E140" s="132"/>
      <c r="F140" s="132"/>
      <c r="G140" s="132"/>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29"/>
      <c r="AG140" s="102">
        <f t="shared" si="51"/>
        <v>0</v>
      </c>
    </row>
    <row r="141" spans="1:33" x14ac:dyDescent="0.3">
      <c r="A141" s="112" t="s">
        <v>31</v>
      </c>
      <c r="B141" s="872">
        <f>B143+B144+B142+B145</f>
        <v>80575.305999999997</v>
      </c>
      <c r="C141" s="113">
        <f>C143+C144+C142+C145</f>
        <v>18077.199999999997</v>
      </c>
      <c r="D141" s="113">
        <f>D143+D144+D142+D145</f>
        <v>19094.310000000001</v>
      </c>
      <c r="E141" s="113">
        <f>E143+E144+E142+E145</f>
        <v>19094.310000000001</v>
      </c>
      <c r="F141" s="113">
        <f>IFERROR(E141/B141*100,0)</f>
        <v>23.697471282330596</v>
      </c>
      <c r="G141" s="113">
        <f>IFERROR(E141/C141*100,0)</f>
        <v>105.62647976456535</v>
      </c>
      <c r="H141" s="113">
        <f t="shared" ref="H141:AE141" si="62">H143+H144+H142+H145</f>
        <v>3705.29</v>
      </c>
      <c r="I141" s="113">
        <f t="shared" si="62"/>
        <v>1612.47</v>
      </c>
      <c r="J141" s="113">
        <f t="shared" si="62"/>
        <v>8006.5599999999995</v>
      </c>
      <c r="K141" s="113">
        <f t="shared" si="62"/>
        <v>5898.18</v>
      </c>
      <c r="L141" s="113">
        <f t="shared" si="62"/>
        <v>6365.35</v>
      </c>
      <c r="M141" s="113">
        <f t="shared" si="62"/>
        <v>6075.75</v>
      </c>
      <c r="N141" s="113">
        <f t="shared" si="62"/>
        <v>9373.17</v>
      </c>
      <c r="O141" s="113">
        <f t="shared" si="62"/>
        <v>5507.91</v>
      </c>
      <c r="P141" s="113">
        <f t="shared" si="62"/>
        <v>11010.08</v>
      </c>
      <c r="Q141" s="113">
        <f t="shared" si="62"/>
        <v>0</v>
      </c>
      <c r="R141" s="113">
        <f t="shared" si="62"/>
        <v>10552.17</v>
      </c>
      <c r="S141" s="113">
        <f t="shared" si="62"/>
        <v>0</v>
      </c>
      <c r="T141" s="113">
        <f t="shared" si="62"/>
        <v>3577.6800000000003</v>
      </c>
      <c r="U141" s="113">
        <f t="shared" si="62"/>
        <v>0</v>
      </c>
      <c r="V141" s="113">
        <f t="shared" si="62"/>
        <v>3667.17</v>
      </c>
      <c r="W141" s="113">
        <f t="shared" si="62"/>
        <v>0</v>
      </c>
      <c r="X141" s="113">
        <f t="shared" si="62"/>
        <v>3661.3360000000002</v>
      </c>
      <c r="Y141" s="113">
        <f t="shared" si="62"/>
        <v>0</v>
      </c>
      <c r="Z141" s="113">
        <f t="shared" si="62"/>
        <v>6118.57</v>
      </c>
      <c r="AA141" s="113">
        <f t="shared" si="62"/>
        <v>0</v>
      </c>
      <c r="AB141" s="113">
        <f t="shared" si="62"/>
        <v>6050.26</v>
      </c>
      <c r="AC141" s="113">
        <f t="shared" si="62"/>
        <v>0</v>
      </c>
      <c r="AD141" s="113">
        <f t="shared" si="62"/>
        <v>8487.67</v>
      </c>
      <c r="AE141" s="113">
        <f t="shared" si="62"/>
        <v>0</v>
      </c>
      <c r="AF141" s="29"/>
      <c r="AG141" s="102">
        <f t="shared" si="51"/>
        <v>0</v>
      </c>
    </row>
    <row r="142" spans="1:33" x14ac:dyDescent="0.3">
      <c r="A142" s="115" t="s">
        <v>169</v>
      </c>
      <c r="B142" s="116"/>
      <c r="C142" s="117"/>
      <c r="D142" s="118"/>
      <c r="E142" s="117"/>
      <c r="F142" s="116"/>
      <c r="G142" s="116"/>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29"/>
      <c r="AG142" s="102">
        <f t="shared" si="51"/>
        <v>0</v>
      </c>
    </row>
    <row r="143" spans="1:33" x14ac:dyDescent="0.3">
      <c r="A143" s="115" t="s">
        <v>32</v>
      </c>
      <c r="B143" s="116"/>
      <c r="C143" s="117"/>
      <c r="D143" s="118"/>
      <c r="E143" s="117"/>
      <c r="F143" s="116"/>
      <c r="G143" s="116"/>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29"/>
      <c r="AG143" s="102">
        <f t="shared" si="51"/>
        <v>0</v>
      </c>
    </row>
    <row r="144" spans="1:33" x14ac:dyDescent="0.3">
      <c r="A144" s="115" t="s">
        <v>33</v>
      </c>
      <c r="B144" s="116">
        <f>J144+L144+N144+P144+R144+T144+V144+X144+Z144+AB144+AD144+H144</f>
        <v>80575.305999999997</v>
      </c>
      <c r="C144" s="117">
        <f>SUM(H144+J144+L144)</f>
        <v>18077.199999999997</v>
      </c>
      <c r="D144" s="118">
        <f>E144</f>
        <v>19094.310000000001</v>
      </c>
      <c r="E144" s="117">
        <f>SUM(I144,K144,M144,O144,Q144,S144,U144,W144,Y144,AA144,AC144,AE144)</f>
        <v>19094.310000000001</v>
      </c>
      <c r="F144" s="116">
        <f>IFERROR(E144/B144*100,0)</f>
        <v>23.697471282330596</v>
      </c>
      <c r="G144" s="116">
        <f>IFERROR(E144/C144*100,0)</f>
        <v>105.62647976456535</v>
      </c>
      <c r="H144" s="111">
        <f>1570.01+2135.28</f>
        <v>3705.29</v>
      </c>
      <c r="I144" s="529">
        <v>1612.47</v>
      </c>
      <c r="J144" s="111">
        <f>2798.56+5208</f>
        <v>8006.5599999999995</v>
      </c>
      <c r="K144" s="111">
        <v>5898.18</v>
      </c>
      <c r="L144" s="111">
        <f>2068.75+4296.6</f>
        <v>6365.35</v>
      </c>
      <c r="M144" s="111">
        <v>6075.75</v>
      </c>
      <c r="N144" s="111">
        <f>2980.35+6392.82</f>
        <v>9373.17</v>
      </c>
      <c r="O144" s="111">
        <v>5507.91</v>
      </c>
      <c r="P144" s="111">
        <f>3849.08+7161</f>
        <v>11010.08</v>
      </c>
      <c r="Q144" s="111"/>
      <c r="R144" s="111">
        <f>2740.17+7812</f>
        <v>10552.17</v>
      </c>
      <c r="S144" s="111"/>
      <c r="T144" s="111">
        <f>1364.28+2213.4</f>
        <v>3577.6800000000003</v>
      </c>
      <c r="U144" s="111"/>
      <c r="V144" s="111">
        <f>1453.77+2213.4</f>
        <v>3667.17</v>
      </c>
      <c r="W144" s="111"/>
      <c r="X144" s="111">
        <f>1447.936+2213.4</f>
        <v>3661.3360000000002</v>
      </c>
      <c r="Y144" s="111"/>
      <c r="Z144" s="111">
        <f>2212.57+3906</f>
        <v>6118.57</v>
      </c>
      <c r="AA144" s="111"/>
      <c r="AB144" s="111">
        <f>2144.26+3906</f>
        <v>6050.26</v>
      </c>
      <c r="AC144" s="111"/>
      <c r="AD144" s="111">
        <f>2670.3+5817.37</f>
        <v>8487.67</v>
      </c>
      <c r="AE144" s="111"/>
      <c r="AF144" s="29"/>
      <c r="AG144" s="102">
        <f t="shared" si="51"/>
        <v>0</v>
      </c>
    </row>
    <row r="145" spans="1:33" x14ac:dyDescent="0.3">
      <c r="A145" s="123" t="s">
        <v>170</v>
      </c>
      <c r="B145" s="116"/>
      <c r="C145" s="117"/>
      <c r="D145" s="118"/>
      <c r="E145" s="117"/>
      <c r="F145" s="116"/>
      <c r="G145" s="116"/>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29"/>
      <c r="AG145" s="102">
        <f t="shared" si="51"/>
        <v>0</v>
      </c>
    </row>
    <row r="146" spans="1:33" x14ac:dyDescent="0.3">
      <c r="A146" s="908" t="s">
        <v>191</v>
      </c>
      <c r="B146" s="909"/>
      <c r="C146" s="909"/>
      <c r="D146" s="909"/>
      <c r="E146" s="909"/>
      <c r="F146" s="909"/>
      <c r="G146" s="909"/>
      <c r="H146" s="909"/>
      <c r="I146" s="909"/>
      <c r="J146" s="909"/>
      <c r="K146" s="909"/>
      <c r="L146" s="909"/>
      <c r="M146" s="909"/>
      <c r="N146" s="909"/>
      <c r="O146" s="909"/>
      <c r="P146" s="909"/>
      <c r="Q146" s="909"/>
      <c r="R146" s="909"/>
      <c r="S146" s="909"/>
      <c r="T146" s="909"/>
      <c r="U146" s="909"/>
      <c r="V146" s="909"/>
      <c r="W146" s="909"/>
      <c r="X146" s="909"/>
      <c r="Y146" s="909"/>
      <c r="Z146" s="909"/>
      <c r="AA146" s="909"/>
      <c r="AB146" s="909"/>
      <c r="AC146" s="909"/>
      <c r="AD146" s="909"/>
      <c r="AE146" s="909"/>
      <c r="AF146" s="910"/>
      <c r="AG146" s="102">
        <f t="shared" si="51"/>
        <v>0</v>
      </c>
    </row>
    <row r="147" spans="1:33" x14ac:dyDescent="0.3">
      <c r="A147" s="908" t="s">
        <v>167</v>
      </c>
      <c r="B147" s="909"/>
      <c r="C147" s="909"/>
      <c r="D147" s="909"/>
      <c r="E147" s="909"/>
      <c r="F147" s="909"/>
      <c r="G147" s="909"/>
      <c r="H147" s="909"/>
      <c r="I147" s="909"/>
      <c r="J147" s="909"/>
      <c r="K147" s="909"/>
      <c r="L147" s="909"/>
      <c r="M147" s="909"/>
      <c r="N147" s="909"/>
      <c r="O147" s="909"/>
      <c r="P147" s="909"/>
      <c r="Q147" s="909"/>
      <c r="R147" s="909"/>
      <c r="S147" s="909"/>
      <c r="T147" s="909"/>
      <c r="U147" s="909"/>
      <c r="V147" s="909"/>
      <c r="W147" s="909"/>
      <c r="X147" s="909"/>
      <c r="Y147" s="909"/>
      <c r="Z147" s="909"/>
      <c r="AA147" s="909"/>
      <c r="AB147" s="909"/>
      <c r="AC147" s="909"/>
      <c r="AD147" s="909"/>
      <c r="AE147" s="909"/>
      <c r="AF147" s="910"/>
      <c r="AG147" s="102">
        <f t="shared" si="51"/>
        <v>0</v>
      </c>
    </row>
    <row r="148" spans="1:33" ht="56.25" x14ac:dyDescent="0.3">
      <c r="A148" s="125" t="s">
        <v>192</v>
      </c>
      <c r="B148" s="133"/>
      <c r="C148" s="134"/>
      <c r="D148" s="134"/>
      <c r="E148" s="134"/>
      <c r="F148" s="134"/>
      <c r="G148" s="134"/>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01"/>
      <c r="AG148" s="102">
        <f t="shared" si="51"/>
        <v>0</v>
      </c>
    </row>
    <row r="149" spans="1:33" x14ac:dyDescent="0.3">
      <c r="A149" s="103" t="s">
        <v>31</v>
      </c>
      <c r="B149" s="104">
        <f>B150+B151+B152</f>
        <v>0</v>
      </c>
      <c r="C149" s="104">
        <f>C150+C151+C152</f>
        <v>0</v>
      </c>
      <c r="D149" s="104">
        <f>D150+D151+D152</f>
        <v>0</v>
      </c>
      <c r="E149" s="104">
        <f>E150+E151+E152</f>
        <v>0</v>
      </c>
      <c r="F149" s="107">
        <f>IFERROR(E149/B149*100,0)</f>
        <v>0</v>
      </c>
      <c r="G149" s="107">
        <f>IFERROR(E149/C149*100,0)</f>
        <v>0</v>
      </c>
      <c r="H149" s="104">
        <f>H150+H151+H152</f>
        <v>0</v>
      </c>
      <c r="I149" s="104">
        <f t="shared" ref="I149:AE149" si="63">I150+I151+I152</f>
        <v>0</v>
      </c>
      <c r="J149" s="104">
        <f t="shared" si="63"/>
        <v>0</v>
      </c>
      <c r="K149" s="104">
        <f t="shared" si="63"/>
        <v>0</v>
      </c>
      <c r="L149" s="104">
        <f t="shared" si="63"/>
        <v>0</v>
      </c>
      <c r="M149" s="104">
        <f t="shared" si="63"/>
        <v>0</v>
      </c>
      <c r="N149" s="104">
        <f t="shared" si="63"/>
        <v>0</v>
      </c>
      <c r="O149" s="104">
        <f t="shared" si="63"/>
        <v>0</v>
      </c>
      <c r="P149" s="104">
        <f t="shared" si="63"/>
        <v>0</v>
      </c>
      <c r="Q149" s="104">
        <f t="shared" si="63"/>
        <v>0</v>
      </c>
      <c r="R149" s="104">
        <f t="shared" si="63"/>
        <v>0</v>
      </c>
      <c r="S149" s="104">
        <f t="shared" si="63"/>
        <v>0</v>
      </c>
      <c r="T149" s="104">
        <f t="shared" si="63"/>
        <v>0</v>
      </c>
      <c r="U149" s="104">
        <f t="shared" si="63"/>
        <v>0</v>
      </c>
      <c r="V149" s="104">
        <f t="shared" si="63"/>
        <v>0</v>
      </c>
      <c r="W149" s="104">
        <f t="shared" si="63"/>
        <v>0</v>
      </c>
      <c r="X149" s="104">
        <f t="shared" si="63"/>
        <v>0</v>
      </c>
      <c r="Y149" s="104">
        <f t="shared" si="63"/>
        <v>0</v>
      </c>
      <c r="Z149" s="104">
        <f t="shared" si="63"/>
        <v>0</v>
      </c>
      <c r="AA149" s="104">
        <f t="shared" si="63"/>
        <v>0</v>
      </c>
      <c r="AB149" s="104">
        <f t="shared" si="63"/>
        <v>0</v>
      </c>
      <c r="AC149" s="104">
        <f t="shared" si="63"/>
        <v>0</v>
      </c>
      <c r="AD149" s="104">
        <f t="shared" si="63"/>
        <v>0</v>
      </c>
      <c r="AE149" s="104">
        <f t="shared" si="63"/>
        <v>0</v>
      </c>
      <c r="AF149" s="101"/>
      <c r="AG149" s="102">
        <f t="shared" si="51"/>
        <v>0</v>
      </c>
    </row>
    <row r="150" spans="1:33" x14ac:dyDescent="0.3">
      <c r="A150" s="106" t="s">
        <v>169</v>
      </c>
      <c r="B150" s="107">
        <f t="shared" ref="B150:B153" si="64">J150+L150+N150+P150+R150+T150+V150+X150+Z150+AB150+AD150+H150</f>
        <v>0</v>
      </c>
      <c r="C150" s="107">
        <f t="shared" ref="C150:C153" si="65">SUM(H150)</f>
        <v>0</v>
      </c>
      <c r="D150" s="107">
        <f t="shared" ref="D150:D153" si="66">E150</f>
        <v>0</v>
      </c>
      <c r="E150" s="107">
        <f t="shared" ref="E150:E153" si="67">SUM(I150,K150,M150,O150,Q150,S150,U150,W150,Y150,AA150,AC150,AE150)</f>
        <v>0</v>
      </c>
      <c r="F150" s="107">
        <f>IFERROR(E150/B150*100,0)</f>
        <v>0</v>
      </c>
      <c r="G150" s="107">
        <f>IFERROR(E150/C150*100,0)</f>
        <v>0</v>
      </c>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1"/>
      <c r="AG150" s="102">
        <f t="shared" si="51"/>
        <v>0</v>
      </c>
    </row>
    <row r="151" spans="1:33" x14ac:dyDescent="0.3">
      <c r="A151" s="106" t="s">
        <v>32</v>
      </c>
      <c r="B151" s="107">
        <f t="shared" si="64"/>
        <v>0</v>
      </c>
      <c r="C151" s="107">
        <f t="shared" si="65"/>
        <v>0</v>
      </c>
      <c r="D151" s="107">
        <f t="shared" si="66"/>
        <v>0</v>
      </c>
      <c r="E151" s="107">
        <f t="shared" si="67"/>
        <v>0</v>
      </c>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1"/>
      <c r="AG151" s="102">
        <f t="shared" si="51"/>
        <v>0</v>
      </c>
    </row>
    <row r="152" spans="1:33" x14ac:dyDescent="0.3">
      <c r="A152" s="106" t="s">
        <v>33</v>
      </c>
      <c r="B152" s="107">
        <f t="shared" si="64"/>
        <v>0</v>
      </c>
      <c r="C152" s="107">
        <f t="shared" si="65"/>
        <v>0</v>
      </c>
      <c r="D152" s="107">
        <f t="shared" si="66"/>
        <v>0</v>
      </c>
      <c r="E152" s="107">
        <f t="shared" si="67"/>
        <v>0</v>
      </c>
      <c r="F152" s="107">
        <f>IFERROR(E152/B152*100,0)</f>
        <v>0</v>
      </c>
      <c r="G152" s="107">
        <f>IFERROR(E152/C152*100,0)</f>
        <v>0</v>
      </c>
      <c r="H152" s="107">
        <v>0</v>
      </c>
      <c r="I152" s="107">
        <v>0</v>
      </c>
      <c r="J152" s="107">
        <v>0</v>
      </c>
      <c r="K152" s="107">
        <v>0</v>
      </c>
      <c r="L152" s="107">
        <v>0</v>
      </c>
      <c r="M152" s="107">
        <v>0</v>
      </c>
      <c r="N152" s="107">
        <v>0</v>
      </c>
      <c r="O152" s="107">
        <v>0</v>
      </c>
      <c r="P152" s="107"/>
      <c r="Q152" s="107"/>
      <c r="R152" s="107"/>
      <c r="S152" s="107"/>
      <c r="T152" s="107"/>
      <c r="U152" s="107"/>
      <c r="V152" s="107"/>
      <c r="W152" s="107"/>
      <c r="X152" s="107"/>
      <c r="Y152" s="107"/>
      <c r="Z152" s="107"/>
      <c r="AA152" s="107"/>
      <c r="AB152" s="107"/>
      <c r="AC152" s="107"/>
      <c r="AD152" s="107"/>
      <c r="AE152" s="107"/>
      <c r="AF152" s="101"/>
      <c r="AG152" s="102">
        <f t="shared" ref="AG152:AG215" si="68">B152-H152-J152-L152-N152-P152-R152-T152-V152-X152-Z152-AB152-AD152</f>
        <v>0</v>
      </c>
    </row>
    <row r="153" spans="1:33" x14ac:dyDescent="0.3">
      <c r="A153" s="106" t="s">
        <v>170</v>
      </c>
      <c r="B153" s="107">
        <f t="shared" si="64"/>
        <v>0</v>
      </c>
      <c r="C153" s="107">
        <f t="shared" si="65"/>
        <v>0</v>
      </c>
      <c r="D153" s="107">
        <f t="shared" si="66"/>
        <v>0</v>
      </c>
      <c r="E153" s="107">
        <f t="shared" si="67"/>
        <v>0</v>
      </c>
      <c r="F153" s="107">
        <f>IFERROR(E153/B153*100,0)</f>
        <v>0</v>
      </c>
      <c r="G153" s="107">
        <f>IFERROR(E153/C153*100,0)</f>
        <v>0</v>
      </c>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1"/>
      <c r="AG153" s="102">
        <f t="shared" si="68"/>
        <v>0</v>
      </c>
    </row>
    <row r="154" spans="1:33" x14ac:dyDescent="0.3">
      <c r="A154" s="908" t="s">
        <v>54</v>
      </c>
      <c r="B154" s="909"/>
      <c r="C154" s="909"/>
      <c r="D154" s="909"/>
      <c r="E154" s="909"/>
      <c r="F154" s="909"/>
      <c r="G154" s="909"/>
      <c r="H154" s="909"/>
      <c r="I154" s="909"/>
      <c r="J154" s="909"/>
      <c r="K154" s="909"/>
      <c r="L154" s="909"/>
      <c r="M154" s="909"/>
      <c r="N154" s="909"/>
      <c r="O154" s="909"/>
      <c r="P154" s="909"/>
      <c r="Q154" s="909"/>
      <c r="R154" s="909"/>
      <c r="S154" s="909"/>
      <c r="T154" s="909"/>
      <c r="U154" s="909"/>
      <c r="V154" s="909"/>
      <c r="W154" s="909"/>
      <c r="X154" s="909"/>
      <c r="Y154" s="909"/>
      <c r="Z154" s="909"/>
      <c r="AA154" s="909"/>
      <c r="AB154" s="909"/>
      <c r="AC154" s="909"/>
      <c r="AD154" s="909"/>
      <c r="AE154" s="909"/>
      <c r="AF154" s="910"/>
      <c r="AG154" s="102">
        <f t="shared" si="68"/>
        <v>0</v>
      </c>
    </row>
    <row r="155" spans="1:33" ht="75" x14ac:dyDescent="0.3">
      <c r="A155" s="125" t="s">
        <v>193</v>
      </c>
      <c r="B155" s="133"/>
      <c r="C155" s="134"/>
      <c r="D155" s="134"/>
      <c r="E155" s="134"/>
      <c r="F155" s="134"/>
      <c r="G155" s="134"/>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01"/>
      <c r="AG155" s="102">
        <f t="shared" si="68"/>
        <v>0</v>
      </c>
    </row>
    <row r="156" spans="1:33" x14ac:dyDescent="0.3">
      <c r="A156" s="103" t="s">
        <v>31</v>
      </c>
      <c r="B156" s="104">
        <f>B157+B158+B159</f>
        <v>373.1</v>
      </c>
      <c r="C156" s="104">
        <f>C157+C158+C159</f>
        <v>158</v>
      </c>
      <c r="D156" s="104">
        <f>D157+D158+D159</f>
        <v>105.1</v>
      </c>
      <c r="E156" s="104">
        <f>E157+E158+E159</f>
        <v>105.1</v>
      </c>
      <c r="F156" s="107">
        <f>IFERROR(E156/B156*100,0)</f>
        <v>28.169391584025728</v>
      </c>
      <c r="G156" s="107">
        <f>IFERROR(E156/C156*100,0)</f>
        <v>66.518987341772146</v>
      </c>
      <c r="H156" s="104">
        <f t="shared" ref="H156:AE156" si="69">H157+H158+H159</f>
        <v>0</v>
      </c>
      <c r="I156" s="104">
        <f t="shared" si="69"/>
        <v>0</v>
      </c>
      <c r="J156" s="104">
        <f t="shared" si="69"/>
        <v>0</v>
      </c>
      <c r="K156" s="104">
        <f t="shared" si="69"/>
        <v>0</v>
      </c>
      <c r="L156" s="104">
        <f t="shared" si="69"/>
        <v>158</v>
      </c>
      <c r="M156" s="104">
        <f t="shared" si="69"/>
        <v>0</v>
      </c>
      <c r="N156" s="104">
        <f t="shared" si="69"/>
        <v>15.1</v>
      </c>
      <c r="O156" s="104">
        <f t="shared" si="69"/>
        <v>105.1</v>
      </c>
      <c r="P156" s="104">
        <f t="shared" si="69"/>
        <v>0</v>
      </c>
      <c r="Q156" s="104">
        <f t="shared" si="69"/>
        <v>0</v>
      </c>
      <c r="R156" s="104">
        <f t="shared" si="69"/>
        <v>0</v>
      </c>
      <c r="S156" s="104">
        <f t="shared" si="69"/>
        <v>0</v>
      </c>
      <c r="T156" s="104">
        <f t="shared" si="69"/>
        <v>0</v>
      </c>
      <c r="U156" s="104">
        <f t="shared" si="69"/>
        <v>0</v>
      </c>
      <c r="V156" s="104">
        <f t="shared" si="69"/>
        <v>60</v>
      </c>
      <c r="W156" s="104">
        <f t="shared" si="69"/>
        <v>0</v>
      </c>
      <c r="X156" s="104">
        <f t="shared" si="69"/>
        <v>140</v>
      </c>
      <c r="Y156" s="104">
        <f t="shared" si="69"/>
        <v>0</v>
      </c>
      <c r="Z156" s="104">
        <f t="shared" si="69"/>
        <v>0</v>
      </c>
      <c r="AA156" s="104">
        <f t="shared" si="69"/>
        <v>0</v>
      </c>
      <c r="AB156" s="104">
        <f t="shared" si="69"/>
        <v>0</v>
      </c>
      <c r="AC156" s="104">
        <f t="shared" si="69"/>
        <v>0</v>
      </c>
      <c r="AD156" s="104">
        <f t="shared" si="69"/>
        <v>0</v>
      </c>
      <c r="AE156" s="104">
        <f t="shared" si="69"/>
        <v>0</v>
      </c>
      <c r="AF156" s="101"/>
      <c r="AG156" s="102">
        <f t="shared" si="68"/>
        <v>2.8421709430404007E-14</v>
      </c>
    </row>
    <row r="157" spans="1:33" x14ac:dyDescent="0.3">
      <c r="A157" s="106" t="s">
        <v>169</v>
      </c>
      <c r="B157" s="107">
        <f>B163+B188</f>
        <v>0</v>
      </c>
      <c r="C157" s="107">
        <f>C163+C188</f>
        <v>0</v>
      </c>
      <c r="D157" s="107">
        <f>D163+D188</f>
        <v>0</v>
      </c>
      <c r="E157" s="107">
        <f>E163+E188</f>
        <v>0</v>
      </c>
      <c r="F157" s="107">
        <f>IFERROR(E157/B157*100,0)</f>
        <v>0</v>
      </c>
      <c r="G157" s="107">
        <f>IFERROR(E157/C157*100,0)</f>
        <v>0</v>
      </c>
      <c r="H157" s="107">
        <f t="shared" ref="H157:AE157" si="70">H163+H188</f>
        <v>0</v>
      </c>
      <c r="I157" s="107">
        <f t="shared" si="70"/>
        <v>0</v>
      </c>
      <c r="J157" s="107">
        <f t="shared" si="70"/>
        <v>0</v>
      </c>
      <c r="K157" s="107">
        <f t="shared" si="70"/>
        <v>0</v>
      </c>
      <c r="L157" s="107">
        <f t="shared" si="70"/>
        <v>0</v>
      </c>
      <c r="M157" s="107">
        <f t="shared" si="70"/>
        <v>0</v>
      </c>
      <c r="N157" s="107">
        <f t="shared" si="70"/>
        <v>0</v>
      </c>
      <c r="O157" s="107">
        <f t="shared" si="70"/>
        <v>0</v>
      </c>
      <c r="P157" s="107">
        <f t="shared" si="70"/>
        <v>0</v>
      </c>
      <c r="Q157" s="107">
        <f t="shared" si="70"/>
        <v>0</v>
      </c>
      <c r="R157" s="107">
        <f t="shared" si="70"/>
        <v>0</v>
      </c>
      <c r="S157" s="107">
        <f t="shared" si="70"/>
        <v>0</v>
      </c>
      <c r="T157" s="107">
        <f t="shared" si="70"/>
        <v>0</v>
      </c>
      <c r="U157" s="107">
        <f t="shared" si="70"/>
        <v>0</v>
      </c>
      <c r="V157" s="107">
        <f t="shared" si="70"/>
        <v>0</v>
      </c>
      <c r="W157" s="107">
        <f t="shared" si="70"/>
        <v>0</v>
      </c>
      <c r="X157" s="107">
        <f t="shared" si="70"/>
        <v>0</v>
      </c>
      <c r="Y157" s="107">
        <f t="shared" si="70"/>
        <v>0</v>
      </c>
      <c r="Z157" s="107">
        <f t="shared" si="70"/>
        <v>0</v>
      </c>
      <c r="AA157" s="107">
        <f t="shared" si="70"/>
        <v>0</v>
      </c>
      <c r="AB157" s="107">
        <f t="shared" si="70"/>
        <v>0</v>
      </c>
      <c r="AC157" s="107">
        <f t="shared" si="70"/>
        <v>0</v>
      </c>
      <c r="AD157" s="107">
        <f t="shared" si="70"/>
        <v>0</v>
      </c>
      <c r="AE157" s="107">
        <f t="shared" si="70"/>
        <v>0</v>
      </c>
      <c r="AF157" s="101"/>
      <c r="AG157" s="102">
        <f t="shared" si="68"/>
        <v>0</v>
      </c>
    </row>
    <row r="158" spans="1:33" x14ac:dyDescent="0.3">
      <c r="A158" s="106" t="s">
        <v>32</v>
      </c>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1"/>
      <c r="AG158" s="102">
        <f t="shared" si="68"/>
        <v>0</v>
      </c>
    </row>
    <row r="159" spans="1:33" x14ac:dyDescent="0.3">
      <c r="A159" s="106" t="s">
        <v>33</v>
      </c>
      <c r="B159" s="107">
        <f t="shared" ref="B159:E160" si="71">B165+B190</f>
        <v>373.1</v>
      </c>
      <c r="C159" s="107">
        <f>C165+C190</f>
        <v>158</v>
      </c>
      <c r="D159" s="107">
        <f t="shared" si="71"/>
        <v>105.1</v>
      </c>
      <c r="E159" s="107">
        <f t="shared" si="71"/>
        <v>105.1</v>
      </c>
      <c r="F159" s="107">
        <f>IFERROR(E159/B159*100,0)</f>
        <v>28.169391584025728</v>
      </c>
      <c r="G159" s="107">
        <f>IFERROR(E159/C159*100,0)</f>
        <v>66.518987341772146</v>
      </c>
      <c r="H159" s="107">
        <f t="shared" ref="H159:AE160" si="72">H165+H190</f>
        <v>0</v>
      </c>
      <c r="I159" s="107">
        <f t="shared" si="72"/>
        <v>0</v>
      </c>
      <c r="J159" s="107">
        <f t="shared" si="72"/>
        <v>0</v>
      </c>
      <c r="K159" s="107">
        <f t="shared" si="72"/>
        <v>0</v>
      </c>
      <c r="L159" s="107">
        <f t="shared" si="72"/>
        <v>158</v>
      </c>
      <c r="M159" s="107">
        <f t="shared" si="72"/>
        <v>0</v>
      </c>
      <c r="N159" s="107">
        <f t="shared" si="72"/>
        <v>15.1</v>
      </c>
      <c r="O159" s="107">
        <f t="shared" si="72"/>
        <v>105.1</v>
      </c>
      <c r="P159" s="107">
        <f t="shared" si="72"/>
        <v>0</v>
      </c>
      <c r="Q159" s="107">
        <f t="shared" si="72"/>
        <v>0</v>
      </c>
      <c r="R159" s="107">
        <f t="shared" si="72"/>
        <v>0</v>
      </c>
      <c r="S159" s="107">
        <f t="shared" si="72"/>
        <v>0</v>
      </c>
      <c r="T159" s="107">
        <f t="shared" si="72"/>
        <v>0</v>
      </c>
      <c r="U159" s="107">
        <f t="shared" si="72"/>
        <v>0</v>
      </c>
      <c r="V159" s="107">
        <f t="shared" si="72"/>
        <v>60</v>
      </c>
      <c r="W159" s="107">
        <f t="shared" si="72"/>
        <v>0</v>
      </c>
      <c r="X159" s="107">
        <f t="shared" si="72"/>
        <v>140</v>
      </c>
      <c r="Y159" s="107">
        <f t="shared" si="72"/>
        <v>0</v>
      </c>
      <c r="Z159" s="107">
        <f t="shared" si="72"/>
        <v>0</v>
      </c>
      <c r="AA159" s="107">
        <f t="shared" si="72"/>
        <v>0</v>
      </c>
      <c r="AB159" s="107">
        <f t="shared" si="72"/>
        <v>0</v>
      </c>
      <c r="AC159" s="107">
        <f t="shared" si="72"/>
        <v>0</v>
      </c>
      <c r="AD159" s="107">
        <f t="shared" si="72"/>
        <v>0</v>
      </c>
      <c r="AE159" s="107">
        <f t="shared" si="72"/>
        <v>0</v>
      </c>
      <c r="AF159" s="101"/>
      <c r="AG159" s="102">
        <f t="shared" si="68"/>
        <v>2.8421709430404007E-14</v>
      </c>
    </row>
    <row r="160" spans="1:33" x14ac:dyDescent="0.3">
      <c r="A160" s="106" t="s">
        <v>170</v>
      </c>
      <c r="B160" s="107">
        <f t="shared" si="71"/>
        <v>0</v>
      </c>
      <c r="C160" s="107">
        <f t="shared" si="71"/>
        <v>0</v>
      </c>
      <c r="D160" s="107">
        <f t="shared" si="71"/>
        <v>0</v>
      </c>
      <c r="E160" s="107">
        <f>E166+E191</f>
        <v>0</v>
      </c>
      <c r="F160" s="107">
        <f>IFERROR(E160/B160*100,0)</f>
        <v>0</v>
      </c>
      <c r="G160" s="107">
        <f>IFERROR(E160/C160*100,0)</f>
        <v>0</v>
      </c>
      <c r="H160" s="107">
        <f t="shared" si="72"/>
        <v>0</v>
      </c>
      <c r="I160" s="107">
        <f t="shared" si="72"/>
        <v>0</v>
      </c>
      <c r="J160" s="107">
        <f t="shared" si="72"/>
        <v>0</v>
      </c>
      <c r="K160" s="107">
        <f t="shared" si="72"/>
        <v>0</v>
      </c>
      <c r="L160" s="107">
        <f t="shared" si="72"/>
        <v>0</v>
      </c>
      <c r="M160" s="107">
        <f t="shared" si="72"/>
        <v>0</v>
      </c>
      <c r="N160" s="107">
        <f t="shared" si="72"/>
        <v>0</v>
      </c>
      <c r="O160" s="107">
        <f t="shared" si="72"/>
        <v>0</v>
      </c>
      <c r="P160" s="107">
        <f t="shared" si="72"/>
        <v>0</v>
      </c>
      <c r="Q160" s="107">
        <f t="shared" si="72"/>
        <v>0</v>
      </c>
      <c r="R160" s="107">
        <f t="shared" si="72"/>
        <v>0</v>
      </c>
      <c r="S160" s="107">
        <f t="shared" si="72"/>
        <v>0</v>
      </c>
      <c r="T160" s="107">
        <f t="shared" si="72"/>
        <v>0</v>
      </c>
      <c r="U160" s="107">
        <f t="shared" si="72"/>
        <v>0</v>
      </c>
      <c r="V160" s="107">
        <f t="shared" si="72"/>
        <v>0</v>
      </c>
      <c r="W160" s="107">
        <f t="shared" si="72"/>
        <v>0</v>
      </c>
      <c r="X160" s="107">
        <f t="shared" si="72"/>
        <v>0</v>
      </c>
      <c r="Y160" s="107">
        <f t="shared" si="72"/>
        <v>0</v>
      </c>
      <c r="Z160" s="107">
        <f t="shared" si="72"/>
        <v>0</v>
      </c>
      <c r="AA160" s="107">
        <f t="shared" si="72"/>
        <v>0</v>
      </c>
      <c r="AB160" s="107">
        <f t="shared" si="72"/>
        <v>0</v>
      </c>
      <c r="AC160" s="107">
        <f t="shared" si="72"/>
        <v>0</v>
      </c>
      <c r="AD160" s="107">
        <f t="shared" si="72"/>
        <v>0</v>
      </c>
      <c r="AE160" s="107">
        <f t="shared" si="72"/>
        <v>0</v>
      </c>
      <c r="AF160" s="101"/>
      <c r="AG160" s="102">
        <f t="shared" si="68"/>
        <v>0</v>
      </c>
    </row>
    <row r="161" spans="1:33" ht="56.25" x14ac:dyDescent="0.3">
      <c r="A161" s="123" t="s">
        <v>194</v>
      </c>
      <c r="B161" s="135"/>
      <c r="C161" s="136"/>
      <c r="D161" s="136"/>
      <c r="E161" s="136"/>
      <c r="F161" s="136"/>
      <c r="G161" s="136"/>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29"/>
      <c r="AG161" s="102">
        <f t="shared" si="68"/>
        <v>0</v>
      </c>
    </row>
    <row r="162" spans="1:33" x14ac:dyDescent="0.3">
      <c r="A162" s="112" t="s">
        <v>31</v>
      </c>
      <c r="B162" s="872">
        <f>B163+B164+B165+B166</f>
        <v>373.1</v>
      </c>
      <c r="C162" s="113">
        <f>C163+C164+C165+C166</f>
        <v>158</v>
      </c>
      <c r="D162" s="113">
        <f>D163+D164+D165+D166</f>
        <v>105.1</v>
      </c>
      <c r="E162" s="113">
        <f>E163+E164+E165+E166</f>
        <v>105.1</v>
      </c>
      <c r="F162" s="116">
        <f>IFERROR(E162/B162*100,0)</f>
        <v>28.169391584025728</v>
      </c>
      <c r="G162" s="116">
        <f>IFERROR(E162/C162*100,0)</f>
        <v>66.518987341772146</v>
      </c>
      <c r="H162" s="113">
        <f t="shared" ref="H162:AE162" si="73">H163+H164+H165+H166</f>
        <v>0</v>
      </c>
      <c r="I162" s="113">
        <f t="shared" si="73"/>
        <v>0</v>
      </c>
      <c r="J162" s="113">
        <f t="shared" si="73"/>
        <v>0</v>
      </c>
      <c r="K162" s="113">
        <f t="shared" si="73"/>
        <v>0</v>
      </c>
      <c r="L162" s="113">
        <f t="shared" si="73"/>
        <v>158</v>
      </c>
      <c r="M162" s="113">
        <f t="shared" si="73"/>
        <v>0</v>
      </c>
      <c r="N162" s="113">
        <f t="shared" si="73"/>
        <v>15.1</v>
      </c>
      <c r="O162" s="113">
        <f t="shared" si="73"/>
        <v>105.1</v>
      </c>
      <c r="P162" s="113">
        <f t="shared" si="73"/>
        <v>0</v>
      </c>
      <c r="Q162" s="113">
        <f t="shared" si="73"/>
        <v>0</v>
      </c>
      <c r="R162" s="113">
        <f t="shared" si="73"/>
        <v>0</v>
      </c>
      <c r="S162" s="113">
        <f t="shared" si="73"/>
        <v>0</v>
      </c>
      <c r="T162" s="113">
        <f t="shared" si="73"/>
        <v>0</v>
      </c>
      <c r="U162" s="113">
        <f t="shared" si="73"/>
        <v>0</v>
      </c>
      <c r="V162" s="113">
        <f t="shared" si="73"/>
        <v>60</v>
      </c>
      <c r="W162" s="113">
        <f t="shared" si="73"/>
        <v>0</v>
      </c>
      <c r="X162" s="113">
        <f t="shared" si="73"/>
        <v>140</v>
      </c>
      <c r="Y162" s="113">
        <f t="shared" si="73"/>
        <v>0</v>
      </c>
      <c r="Z162" s="113">
        <f t="shared" si="73"/>
        <v>0</v>
      </c>
      <c r="AA162" s="113">
        <f t="shared" si="73"/>
        <v>0</v>
      </c>
      <c r="AB162" s="113">
        <f t="shared" si="73"/>
        <v>0</v>
      </c>
      <c r="AC162" s="113">
        <f t="shared" si="73"/>
        <v>0</v>
      </c>
      <c r="AD162" s="113">
        <f t="shared" si="73"/>
        <v>0</v>
      </c>
      <c r="AE162" s="113">
        <f t="shared" si="73"/>
        <v>0</v>
      </c>
      <c r="AF162" s="29"/>
      <c r="AG162" s="102">
        <f t="shared" si="68"/>
        <v>2.8421709430404007E-14</v>
      </c>
    </row>
    <row r="163" spans="1:33" x14ac:dyDescent="0.3">
      <c r="A163" s="115" t="s">
        <v>169</v>
      </c>
      <c r="B163" s="874">
        <f>B170+B176+B182</f>
        <v>0</v>
      </c>
      <c r="C163" s="116">
        <f>C171+C176+C182</f>
        <v>0</v>
      </c>
      <c r="D163" s="116">
        <f>D170+D176+D182</f>
        <v>0</v>
      </c>
      <c r="E163" s="116">
        <f>E170+E176+E182</f>
        <v>0</v>
      </c>
      <c r="F163" s="116">
        <f>IFERROR(E163/B163*100,0)</f>
        <v>0</v>
      </c>
      <c r="G163" s="116">
        <f>IFERROR(E163/C163*100,0)</f>
        <v>0</v>
      </c>
      <c r="H163" s="116">
        <f t="shared" ref="H163:AE163" si="74">H170+H176+H182</f>
        <v>0</v>
      </c>
      <c r="I163" s="116">
        <f t="shared" si="74"/>
        <v>0</v>
      </c>
      <c r="J163" s="116">
        <f t="shared" si="74"/>
        <v>0</v>
      </c>
      <c r="K163" s="116">
        <f t="shared" si="74"/>
        <v>0</v>
      </c>
      <c r="L163" s="116">
        <f t="shared" si="74"/>
        <v>0</v>
      </c>
      <c r="M163" s="116">
        <f t="shared" si="74"/>
        <v>0</v>
      </c>
      <c r="N163" s="116">
        <f t="shared" si="74"/>
        <v>0</v>
      </c>
      <c r="O163" s="116">
        <f t="shared" si="74"/>
        <v>0</v>
      </c>
      <c r="P163" s="116">
        <f t="shared" si="74"/>
        <v>0</v>
      </c>
      <c r="Q163" s="116">
        <f t="shared" si="74"/>
        <v>0</v>
      </c>
      <c r="R163" s="116">
        <f t="shared" si="74"/>
        <v>0</v>
      </c>
      <c r="S163" s="116">
        <f t="shared" si="74"/>
        <v>0</v>
      </c>
      <c r="T163" s="116">
        <f t="shared" si="74"/>
        <v>0</v>
      </c>
      <c r="U163" s="116">
        <f t="shared" si="74"/>
        <v>0</v>
      </c>
      <c r="V163" s="116">
        <f t="shared" si="74"/>
        <v>0</v>
      </c>
      <c r="W163" s="116">
        <f t="shared" si="74"/>
        <v>0</v>
      </c>
      <c r="X163" s="116">
        <f t="shared" si="74"/>
        <v>0</v>
      </c>
      <c r="Y163" s="116">
        <f t="shared" si="74"/>
        <v>0</v>
      </c>
      <c r="Z163" s="116">
        <f t="shared" si="74"/>
        <v>0</v>
      </c>
      <c r="AA163" s="116">
        <f t="shared" si="74"/>
        <v>0</v>
      </c>
      <c r="AB163" s="116">
        <f t="shared" si="74"/>
        <v>0</v>
      </c>
      <c r="AC163" s="116">
        <f t="shared" si="74"/>
        <v>0</v>
      </c>
      <c r="AD163" s="116">
        <f t="shared" si="74"/>
        <v>0</v>
      </c>
      <c r="AE163" s="116">
        <f t="shared" si="74"/>
        <v>0</v>
      </c>
      <c r="AF163" s="29"/>
      <c r="AG163" s="102">
        <f t="shared" si="68"/>
        <v>0</v>
      </c>
    </row>
    <row r="164" spans="1:33" x14ac:dyDescent="0.3">
      <c r="A164" s="115" t="s">
        <v>32</v>
      </c>
      <c r="B164" s="874"/>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29"/>
      <c r="AG164" s="102">
        <f t="shared" si="68"/>
        <v>0</v>
      </c>
    </row>
    <row r="165" spans="1:33" x14ac:dyDescent="0.3">
      <c r="A165" s="115" t="s">
        <v>33</v>
      </c>
      <c r="B165" s="874">
        <f>B172+B178+B184</f>
        <v>373.1</v>
      </c>
      <c r="C165" s="116">
        <f>C172+C178+C184</f>
        <v>158</v>
      </c>
      <c r="D165" s="116">
        <f>D172+D178+D184</f>
        <v>105.1</v>
      </c>
      <c r="E165" s="116">
        <f>E172+E178+E184</f>
        <v>105.1</v>
      </c>
      <c r="F165" s="116">
        <f>IFERROR(E165/B165*100,0)</f>
        <v>28.169391584025728</v>
      </c>
      <c r="G165" s="116">
        <f>IFERROR(E165/C165*100,0)</f>
        <v>66.518987341772146</v>
      </c>
      <c r="H165" s="116">
        <f t="shared" ref="H165:AE166" si="75">H172+H178+H184</f>
        <v>0</v>
      </c>
      <c r="I165" s="116">
        <f t="shared" si="75"/>
        <v>0</v>
      </c>
      <c r="J165" s="116">
        <f t="shared" si="75"/>
        <v>0</v>
      </c>
      <c r="K165" s="116">
        <f t="shared" si="75"/>
        <v>0</v>
      </c>
      <c r="L165" s="116">
        <f t="shared" si="75"/>
        <v>158</v>
      </c>
      <c r="M165" s="116">
        <f t="shared" si="75"/>
        <v>0</v>
      </c>
      <c r="N165" s="116">
        <f t="shared" si="75"/>
        <v>15.1</v>
      </c>
      <c r="O165" s="116">
        <f t="shared" si="75"/>
        <v>105.1</v>
      </c>
      <c r="P165" s="116">
        <f t="shared" si="75"/>
        <v>0</v>
      </c>
      <c r="Q165" s="116">
        <f t="shared" si="75"/>
        <v>0</v>
      </c>
      <c r="R165" s="116">
        <f t="shared" si="75"/>
        <v>0</v>
      </c>
      <c r="S165" s="116">
        <f t="shared" si="75"/>
        <v>0</v>
      </c>
      <c r="T165" s="116">
        <f t="shared" si="75"/>
        <v>0</v>
      </c>
      <c r="U165" s="116">
        <f t="shared" si="75"/>
        <v>0</v>
      </c>
      <c r="V165" s="116">
        <f t="shared" si="75"/>
        <v>60</v>
      </c>
      <c r="W165" s="116">
        <f t="shared" si="75"/>
        <v>0</v>
      </c>
      <c r="X165" s="116">
        <f t="shared" si="75"/>
        <v>140</v>
      </c>
      <c r="Y165" s="116">
        <f t="shared" si="75"/>
        <v>0</v>
      </c>
      <c r="Z165" s="116">
        <f t="shared" si="75"/>
        <v>0</v>
      </c>
      <c r="AA165" s="116">
        <f t="shared" si="75"/>
        <v>0</v>
      </c>
      <c r="AB165" s="116">
        <f t="shared" si="75"/>
        <v>0</v>
      </c>
      <c r="AC165" s="116">
        <f t="shared" si="75"/>
        <v>0</v>
      </c>
      <c r="AD165" s="116">
        <f t="shared" si="75"/>
        <v>0</v>
      </c>
      <c r="AE165" s="116">
        <f t="shared" si="75"/>
        <v>0</v>
      </c>
      <c r="AF165" s="29"/>
      <c r="AG165" s="102">
        <f t="shared" si="68"/>
        <v>2.8421709430404007E-14</v>
      </c>
    </row>
    <row r="166" spans="1:33" x14ac:dyDescent="0.3">
      <c r="A166" s="115" t="s">
        <v>170</v>
      </c>
      <c r="B166" s="874">
        <f>B173+B179+B185</f>
        <v>0</v>
      </c>
      <c r="C166" s="116">
        <f>C173+C179+C185</f>
        <v>0</v>
      </c>
      <c r="D166" s="116">
        <f>D173+D179+D185</f>
        <v>0</v>
      </c>
      <c r="E166" s="116">
        <f>E173+E179+E185</f>
        <v>0</v>
      </c>
      <c r="F166" s="116">
        <f>IFERROR(E166/B166*100,0)</f>
        <v>0</v>
      </c>
      <c r="G166" s="116">
        <f>IFERROR(E166/C166*100,0)</f>
        <v>0</v>
      </c>
      <c r="H166" s="116">
        <f t="shared" si="75"/>
        <v>0</v>
      </c>
      <c r="I166" s="116">
        <f t="shared" si="75"/>
        <v>0</v>
      </c>
      <c r="J166" s="116">
        <f t="shared" si="75"/>
        <v>0</v>
      </c>
      <c r="K166" s="116">
        <f t="shared" si="75"/>
        <v>0</v>
      </c>
      <c r="L166" s="116">
        <f t="shared" si="75"/>
        <v>0</v>
      </c>
      <c r="M166" s="116">
        <f t="shared" si="75"/>
        <v>0</v>
      </c>
      <c r="N166" s="116">
        <f t="shared" si="75"/>
        <v>0</v>
      </c>
      <c r="O166" s="116">
        <f t="shared" si="75"/>
        <v>0</v>
      </c>
      <c r="P166" s="116">
        <f t="shared" si="75"/>
        <v>0</v>
      </c>
      <c r="Q166" s="116">
        <f t="shared" si="75"/>
        <v>0</v>
      </c>
      <c r="R166" s="116">
        <f t="shared" si="75"/>
        <v>0</v>
      </c>
      <c r="S166" s="116">
        <f t="shared" si="75"/>
        <v>0</v>
      </c>
      <c r="T166" s="116">
        <f t="shared" si="75"/>
        <v>0</v>
      </c>
      <c r="U166" s="116">
        <f t="shared" si="75"/>
        <v>0</v>
      </c>
      <c r="V166" s="116">
        <f t="shared" si="75"/>
        <v>0</v>
      </c>
      <c r="W166" s="116">
        <f t="shared" si="75"/>
        <v>0</v>
      </c>
      <c r="X166" s="116">
        <f t="shared" si="75"/>
        <v>0</v>
      </c>
      <c r="Y166" s="116">
        <f t="shared" si="75"/>
        <v>0</v>
      </c>
      <c r="Z166" s="116">
        <f t="shared" si="75"/>
        <v>0</v>
      </c>
      <c r="AA166" s="116">
        <f t="shared" si="75"/>
        <v>0</v>
      </c>
      <c r="AB166" s="116">
        <f t="shared" si="75"/>
        <v>0</v>
      </c>
      <c r="AC166" s="116">
        <f t="shared" si="75"/>
        <v>0</v>
      </c>
      <c r="AD166" s="116">
        <f t="shared" si="75"/>
        <v>0</v>
      </c>
      <c r="AE166" s="116">
        <f t="shared" si="75"/>
        <v>0</v>
      </c>
      <c r="AF166" s="29"/>
      <c r="AG166" s="102">
        <f t="shared" si="68"/>
        <v>0</v>
      </c>
    </row>
    <row r="167" spans="1:33" x14ac:dyDescent="0.3">
      <c r="A167" s="123" t="s">
        <v>195</v>
      </c>
      <c r="B167" s="874"/>
      <c r="C167" s="116"/>
      <c r="D167" s="124"/>
      <c r="E167" s="124"/>
      <c r="F167" s="124"/>
      <c r="G167" s="124"/>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29"/>
      <c r="AG167" s="102">
        <f t="shared" si="68"/>
        <v>0</v>
      </c>
    </row>
    <row r="168" spans="1:33" x14ac:dyDescent="0.3">
      <c r="A168" s="123" t="s">
        <v>196</v>
      </c>
      <c r="B168" s="878"/>
      <c r="C168" s="136"/>
      <c r="D168" s="136"/>
      <c r="E168" s="136"/>
      <c r="F168" s="136"/>
      <c r="G168" s="136"/>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29"/>
      <c r="AG168" s="102">
        <f t="shared" si="68"/>
        <v>0</v>
      </c>
    </row>
    <row r="169" spans="1:33" ht="24.75" customHeight="1" x14ac:dyDescent="0.3">
      <c r="A169" s="112" t="s">
        <v>31</v>
      </c>
      <c r="B169" s="872">
        <f>B171+B172+B170+B173</f>
        <v>105.1</v>
      </c>
      <c r="C169" s="113">
        <f>C171+C172+C170+C173</f>
        <v>90</v>
      </c>
      <c r="D169" s="113">
        <f>D171+D172+D170+D173</f>
        <v>105.1</v>
      </c>
      <c r="E169" s="113">
        <f>E171+E172+E170+E173</f>
        <v>105.1</v>
      </c>
      <c r="F169" s="113">
        <f>IFERROR(E169/B169*100,0)</f>
        <v>100</v>
      </c>
      <c r="G169" s="113">
        <f>IFERROR(E169/C169*100,0)</f>
        <v>116.77777777777779</v>
      </c>
      <c r="H169" s="113">
        <f t="shared" ref="H169:AE169" si="76">H171+H172+H170+H173</f>
        <v>0</v>
      </c>
      <c r="I169" s="113">
        <f t="shared" si="76"/>
        <v>0</v>
      </c>
      <c r="J169" s="113">
        <f t="shared" si="76"/>
        <v>0</v>
      </c>
      <c r="K169" s="113">
        <f t="shared" si="76"/>
        <v>0</v>
      </c>
      <c r="L169" s="113">
        <f t="shared" si="76"/>
        <v>90</v>
      </c>
      <c r="M169" s="113">
        <f t="shared" si="76"/>
        <v>0</v>
      </c>
      <c r="N169" s="113">
        <f t="shared" si="76"/>
        <v>15.1</v>
      </c>
      <c r="O169" s="113">
        <f t="shared" si="76"/>
        <v>105.1</v>
      </c>
      <c r="P169" s="113">
        <f t="shared" si="76"/>
        <v>0</v>
      </c>
      <c r="Q169" s="113">
        <f t="shared" si="76"/>
        <v>0</v>
      </c>
      <c r="R169" s="113">
        <f t="shared" si="76"/>
        <v>0</v>
      </c>
      <c r="S169" s="113">
        <f t="shared" si="76"/>
        <v>0</v>
      </c>
      <c r="T169" s="113">
        <f t="shared" si="76"/>
        <v>0</v>
      </c>
      <c r="U169" s="113">
        <f t="shared" si="76"/>
        <v>0</v>
      </c>
      <c r="V169" s="113">
        <f t="shared" si="76"/>
        <v>0</v>
      </c>
      <c r="W169" s="113">
        <f t="shared" si="76"/>
        <v>0</v>
      </c>
      <c r="X169" s="113">
        <f t="shared" si="76"/>
        <v>0</v>
      </c>
      <c r="Y169" s="113">
        <f t="shared" si="76"/>
        <v>0</v>
      </c>
      <c r="Z169" s="113">
        <f t="shared" si="76"/>
        <v>0</v>
      </c>
      <c r="AA169" s="113">
        <f t="shared" si="76"/>
        <v>0</v>
      </c>
      <c r="AB169" s="113">
        <f t="shared" si="76"/>
        <v>0</v>
      </c>
      <c r="AC169" s="113">
        <f t="shared" si="76"/>
        <v>0</v>
      </c>
      <c r="AD169" s="113">
        <f t="shared" si="76"/>
        <v>0</v>
      </c>
      <c r="AE169" s="113">
        <f t="shared" si="76"/>
        <v>0</v>
      </c>
      <c r="AF169" s="790" t="s">
        <v>576</v>
      </c>
      <c r="AG169" s="102">
        <f t="shared" si="68"/>
        <v>-5.3290705182007514E-15</v>
      </c>
    </row>
    <row r="170" spans="1:33" x14ac:dyDescent="0.3">
      <c r="A170" s="115" t="s">
        <v>169</v>
      </c>
      <c r="B170" s="874"/>
      <c r="C170" s="117"/>
      <c r="D170" s="118"/>
      <c r="E170" s="117"/>
      <c r="F170" s="116"/>
      <c r="G170" s="116"/>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29"/>
      <c r="AG170" s="102">
        <f t="shared" si="68"/>
        <v>0</v>
      </c>
    </row>
    <row r="171" spans="1:33" x14ac:dyDescent="0.3">
      <c r="A171" s="115" t="s">
        <v>32</v>
      </c>
      <c r="B171" s="874"/>
      <c r="C171" s="117"/>
      <c r="D171" s="118"/>
      <c r="E171" s="117"/>
      <c r="F171" s="116"/>
      <c r="G171" s="116"/>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29"/>
      <c r="AG171" s="102">
        <f t="shared" si="68"/>
        <v>0</v>
      </c>
    </row>
    <row r="172" spans="1:33" x14ac:dyDescent="0.3">
      <c r="A172" s="115" t="s">
        <v>33</v>
      </c>
      <c r="B172" s="874">
        <f>J172+L172+N172+P172+R172+T172+V172+X172+Z172+AB172+AD172+H172</f>
        <v>105.1</v>
      </c>
      <c r="C172" s="117">
        <f>SUM(H172+J172+L172)</f>
        <v>90</v>
      </c>
      <c r="D172" s="118">
        <f>E172</f>
        <v>105.1</v>
      </c>
      <c r="E172" s="117">
        <f>SUM(I172,K172,M172,O172,Q172,S172,U172,W172,Y172,AA172,AC172,AE172)</f>
        <v>105.1</v>
      </c>
      <c r="F172" s="116">
        <f>IFERROR(E172/B172*100,0)</f>
        <v>100</v>
      </c>
      <c r="G172" s="116">
        <f>IFERROR(E172/C172*100,0)</f>
        <v>116.77777777777779</v>
      </c>
      <c r="H172" s="111">
        <v>0</v>
      </c>
      <c r="I172" s="111">
        <v>0</v>
      </c>
      <c r="J172" s="111"/>
      <c r="K172" s="111"/>
      <c r="L172" s="111">
        <v>90</v>
      </c>
      <c r="M172" s="111">
        <v>0</v>
      </c>
      <c r="N172" s="111">
        <v>15.1</v>
      </c>
      <c r="O172" s="111">
        <v>105.1</v>
      </c>
      <c r="P172" s="111"/>
      <c r="Q172" s="111"/>
      <c r="R172" s="111"/>
      <c r="S172" s="111"/>
      <c r="T172" s="111"/>
      <c r="U172" s="111"/>
      <c r="V172" s="111"/>
      <c r="W172" s="111"/>
      <c r="X172" s="111"/>
      <c r="Y172" s="111"/>
      <c r="Z172" s="111"/>
      <c r="AA172" s="111"/>
      <c r="AB172" s="111"/>
      <c r="AC172" s="111"/>
      <c r="AD172" s="111"/>
      <c r="AE172" s="111"/>
      <c r="AF172" s="29"/>
      <c r="AG172" s="102">
        <f t="shared" si="68"/>
        <v>-5.3290705182007514E-15</v>
      </c>
    </row>
    <row r="173" spans="1:33" x14ac:dyDescent="0.3">
      <c r="A173" s="115" t="s">
        <v>170</v>
      </c>
      <c r="B173" s="874"/>
      <c r="C173" s="117"/>
      <c r="D173" s="118"/>
      <c r="E173" s="117"/>
      <c r="F173" s="116"/>
      <c r="G173" s="116"/>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29"/>
      <c r="AG173" s="102">
        <f t="shared" si="68"/>
        <v>0</v>
      </c>
    </row>
    <row r="174" spans="1:33" x14ac:dyDescent="0.3">
      <c r="A174" s="123" t="s">
        <v>197</v>
      </c>
      <c r="B174" s="878"/>
      <c r="C174" s="136"/>
      <c r="D174" s="136"/>
      <c r="E174" s="136"/>
      <c r="F174" s="136"/>
      <c r="G174" s="136"/>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29"/>
      <c r="AG174" s="102">
        <f t="shared" si="68"/>
        <v>0</v>
      </c>
    </row>
    <row r="175" spans="1:33" x14ac:dyDescent="0.3">
      <c r="A175" s="112" t="s">
        <v>31</v>
      </c>
      <c r="B175" s="872">
        <f>B177+B178+B176+B179</f>
        <v>200</v>
      </c>
      <c r="C175" s="113">
        <f>C177+C178+C176+C179</f>
        <v>0</v>
      </c>
      <c r="D175" s="113">
        <f>D177+D178+D176+D179</f>
        <v>0</v>
      </c>
      <c r="E175" s="113">
        <f>E177+E178+E176+E179</f>
        <v>0</v>
      </c>
      <c r="F175" s="113">
        <f>IFERROR(E175/B175*100,0)</f>
        <v>0</v>
      </c>
      <c r="G175" s="113">
        <f>IFERROR(E175/C175*100,0)</f>
        <v>0</v>
      </c>
      <c r="H175" s="113">
        <f t="shared" ref="H175:AE175" si="77">H177+H178+H176+H179</f>
        <v>0</v>
      </c>
      <c r="I175" s="113">
        <f t="shared" si="77"/>
        <v>0</v>
      </c>
      <c r="J175" s="113">
        <f t="shared" si="77"/>
        <v>0</v>
      </c>
      <c r="K175" s="113">
        <f t="shared" si="77"/>
        <v>0</v>
      </c>
      <c r="L175" s="113">
        <f t="shared" si="77"/>
        <v>0</v>
      </c>
      <c r="M175" s="113">
        <f t="shared" si="77"/>
        <v>0</v>
      </c>
      <c r="N175" s="113">
        <f t="shared" si="77"/>
        <v>0</v>
      </c>
      <c r="O175" s="113">
        <f t="shared" si="77"/>
        <v>0</v>
      </c>
      <c r="P175" s="113">
        <f t="shared" si="77"/>
        <v>0</v>
      </c>
      <c r="Q175" s="113">
        <f t="shared" si="77"/>
        <v>0</v>
      </c>
      <c r="R175" s="113">
        <f t="shared" si="77"/>
        <v>0</v>
      </c>
      <c r="S175" s="113">
        <f t="shared" si="77"/>
        <v>0</v>
      </c>
      <c r="T175" s="113">
        <f t="shared" si="77"/>
        <v>0</v>
      </c>
      <c r="U175" s="113">
        <f t="shared" si="77"/>
        <v>0</v>
      </c>
      <c r="V175" s="113">
        <f t="shared" si="77"/>
        <v>60</v>
      </c>
      <c r="W175" s="113">
        <f t="shared" si="77"/>
        <v>0</v>
      </c>
      <c r="X175" s="113">
        <f t="shared" si="77"/>
        <v>140</v>
      </c>
      <c r="Y175" s="113">
        <f t="shared" si="77"/>
        <v>0</v>
      </c>
      <c r="Z175" s="113">
        <f t="shared" si="77"/>
        <v>0</v>
      </c>
      <c r="AA175" s="113">
        <f t="shared" si="77"/>
        <v>0</v>
      </c>
      <c r="AB175" s="113">
        <f t="shared" si="77"/>
        <v>0</v>
      </c>
      <c r="AC175" s="113">
        <f t="shared" si="77"/>
        <v>0</v>
      </c>
      <c r="AD175" s="113">
        <f t="shared" si="77"/>
        <v>0</v>
      </c>
      <c r="AE175" s="113">
        <f t="shared" si="77"/>
        <v>0</v>
      </c>
      <c r="AF175" s="29"/>
      <c r="AG175" s="102">
        <f t="shared" si="68"/>
        <v>0</v>
      </c>
    </row>
    <row r="176" spans="1:33" x14ac:dyDescent="0.3">
      <c r="A176" s="115" t="s">
        <v>169</v>
      </c>
      <c r="B176" s="874"/>
      <c r="C176" s="117"/>
      <c r="D176" s="118"/>
      <c r="E176" s="117"/>
      <c r="F176" s="116"/>
      <c r="G176" s="116"/>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29"/>
      <c r="AG176" s="102">
        <f t="shared" si="68"/>
        <v>0</v>
      </c>
    </row>
    <row r="177" spans="1:33" x14ac:dyDescent="0.3">
      <c r="A177" s="115" t="s">
        <v>32</v>
      </c>
      <c r="B177" s="874"/>
      <c r="C177" s="117"/>
      <c r="D177" s="118"/>
      <c r="E177" s="117"/>
      <c r="F177" s="116"/>
      <c r="G177" s="116"/>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29"/>
      <c r="AG177" s="102">
        <f t="shared" si="68"/>
        <v>0</v>
      </c>
    </row>
    <row r="178" spans="1:33" x14ac:dyDescent="0.3">
      <c r="A178" s="115" t="s">
        <v>33</v>
      </c>
      <c r="B178" s="874">
        <f>J178+L178+N178+P178+R178+T178+V178+X178+Z178+AB178+AD178+H178</f>
        <v>200</v>
      </c>
      <c r="C178" s="117">
        <f>SUM(H178+J178+L178)</f>
        <v>0</v>
      </c>
      <c r="D178" s="118">
        <f>E178</f>
        <v>0</v>
      </c>
      <c r="E178" s="117">
        <f>SUM(I178,K178,M178,O178,Q178,S178,U178,W178,Y178,AA178,AC178,AE178)</f>
        <v>0</v>
      </c>
      <c r="F178" s="116">
        <f>IFERROR(E178/B178*100,0)</f>
        <v>0</v>
      </c>
      <c r="G178" s="116">
        <f>IFERROR(E178/C178*100,0)</f>
        <v>0</v>
      </c>
      <c r="H178" s="111">
        <v>0</v>
      </c>
      <c r="I178" s="111">
        <v>0</v>
      </c>
      <c r="J178" s="111">
        <v>0</v>
      </c>
      <c r="K178" s="111">
        <v>0</v>
      </c>
      <c r="L178" s="111">
        <v>0</v>
      </c>
      <c r="M178" s="111">
        <v>0</v>
      </c>
      <c r="N178" s="111">
        <v>0</v>
      </c>
      <c r="O178" s="111">
        <v>0</v>
      </c>
      <c r="P178" s="111"/>
      <c r="Q178" s="111"/>
      <c r="R178" s="111"/>
      <c r="S178" s="111"/>
      <c r="T178" s="111"/>
      <c r="U178" s="111"/>
      <c r="V178" s="111">
        <v>60</v>
      </c>
      <c r="W178" s="111"/>
      <c r="X178" s="111">
        <v>140</v>
      </c>
      <c r="Y178" s="111"/>
      <c r="Z178" s="111"/>
      <c r="AA178" s="111"/>
      <c r="AB178" s="111"/>
      <c r="AC178" s="111"/>
      <c r="AD178" s="111"/>
      <c r="AE178" s="111"/>
      <c r="AF178" s="29"/>
      <c r="AG178" s="102">
        <f t="shared" si="68"/>
        <v>0</v>
      </c>
    </row>
    <row r="179" spans="1:33" x14ac:dyDescent="0.3">
      <c r="A179" s="115" t="s">
        <v>170</v>
      </c>
      <c r="B179" s="874"/>
      <c r="C179" s="117"/>
      <c r="D179" s="118"/>
      <c r="E179" s="117"/>
      <c r="F179" s="116"/>
      <c r="G179" s="116"/>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29"/>
      <c r="AG179" s="102">
        <f t="shared" si="68"/>
        <v>0</v>
      </c>
    </row>
    <row r="180" spans="1:33" x14ac:dyDescent="0.3">
      <c r="A180" s="123" t="s">
        <v>198</v>
      </c>
      <c r="B180" s="878"/>
      <c r="C180" s="136"/>
      <c r="D180" s="136"/>
      <c r="E180" s="136"/>
      <c r="F180" s="136"/>
      <c r="G180" s="136"/>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29"/>
      <c r="AG180" s="102">
        <f t="shared" si="68"/>
        <v>0</v>
      </c>
    </row>
    <row r="181" spans="1:33" ht="18.75" customHeight="1" x14ac:dyDescent="0.3">
      <c r="A181" s="112" t="s">
        <v>31</v>
      </c>
      <c r="B181" s="872">
        <f>B183+B184+B182+B185</f>
        <v>68</v>
      </c>
      <c r="C181" s="113">
        <f>C183+C184+C182+C185</f>
        <v>68</v>
      </c>
      <c r="D181" s="113">
        <f>D183+D184+D182+D185</f>
        <v>0</v>
      </c>
      <c r="E181" s="113">
        <f>E183+E184+E182+E185</f>
        <v>0</v>
      </c>
      <c r="F181" s="113">
        <f>IFERROR(E181/B181*100,0)</f>
        <v>0</v>
      </c>
      <c r="G181" s="113">
        <f>IFERROR(E181/C181*100,0)</f>
        <v>0</v>
      </c>
      <c r="H181" s="113">
        <f t="shared" ref="H181:AE181" si="78">H183+H184+H182+H185</f>
        <v>0</v>
      </c>
      <c r="I181" s="113">
        <f t="shared" si="78"/>
        <v>0</v>
      </c>
      <c r="J181" s="113">
        <f t="shared" si="78"/>
        <v>0</v>
      </c>
      <c r="K181" s="113">
        <f t="shared" si="78"/>
        <v>0</v>
      </c>
      <c r="L181" s="113">
        <f t="shared" si="78"/>
        <v>68</v>
      </c>
      <c r="M181" s="113">
        <f t="shared" si="78"/>
        <v>0</v>
      </c>
      <c r="N181" s="113">
        <f t="shared" si="78"/>
        <v>0</v>
      </c>
      <c r="O181" s="113">
        <f t="shared" si="78"/>
        <v>0</v>
      </c>
      <c r="P181" s="113">
        <f t="shared" si="78"/>
        <v>0</v>
      </c>
      <c r="Q181" s="113">
        <f t="shared" si="78"/>
        <v>0</v>
      </c>
      <c r="R181" s="113">
        <f t="shared" si="78"/>
        <v>0</v>
      </c>
      <c r="S181" s="113">
        <f t="shared" si="78"/>
        <v>0</v>
      </c>
      <c r="T181" s="113">
        <f t="shared" si="78"/>
        <v>0</v>
      </c>
      <c r="U181" s="113">
        <f t="shared" si="78"/>
        <v>0</v>
      </c>
      <c r="V181" s="113">
        <f t="shared" si="78"/>
        <v>0</v>
      </c>
      <c r="W181" s="113">
        <f t="shared" si="78"/>
        <v>0</v>
      </c>
      <c r="X181" s="113">
        <f t="shared" si="78"/>
        <v>0</v>
      </c>
      <c r="Y181" s="113">
        <f t="shared" si="78"/>
        <v>0</v>
      </c>
      <c r="Z181" s="113">
        <f t="shared" si="78"/>
        <v>0</v>
      </c>
      <c r="AA181" s="113">
        <f t="shared" si="78"/>
        <v>0</v>
      </c>
      <c r="AB181" s="113">
        <f t="shared" si="78"/>
        <v>0</v>
      </c>
      <c r="AC181" s="113">
        <f t="shared" si="78"/>
        <v>0</v>
      </c>
      <c r="AD181" s="113">
        <f t="shared" si="78"/>
        <v>0</v>
      </c>
      <c r="AE181" s="113">
        <f t="shared" si="78"/>
        <v>0</v>
      </c>
      <c r="AF181" s="794" t="s">
        <v>584</v>
      </c>
      <c r="AG181" s="102">
        <f t="shared" si="68"/>
        <v>0</v>
      </c>
    </row>
    <row r="182" spans="1:33" x14ac:dyDescent="0.3">
      <c r="A182" s="115" t="s">
        <v>169</v>
      </c>
      <c r="B182" s="116"/>
      <c r="C182" s="117"/>
      <c r="D182" s="118"/>
      <c r="E182" s="117"/>
      <c r="F182" s="116"/>
      <c r="G182" s="116"/>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29"/>
      <c r="AG182" s="102">
        <f t="shared" si="68"/>
        <v>0</v>
      </c>
    </row>
    <row r="183" spans="1:33" x14ac:dyDescent="0.3">
      <c r="A183" s="115" t="s">
        <v>32</v>
      </c>
      <c r="B183" s="116"/>
      <c r="C183" s="117"/>
      <c r="D183" s="118"/>
      <c r="E183" s="117"/>
      <c r="F183" s="116"/>
      <c r="G183" s="116"/>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29"/>
      <c r="AG183" s="102">
        <f t="shared" si="68"/>
        <v>0</v>
      </c>
    </row>
    <row r="184" spans="1:33" x14ac:dyDescent="0.3">
      <c r="A184" s="115" t="s">
        <v>33</v>
      </c>
      <c r="B184" s="116">
        <f>J184+L184+N184+P184+R184+T184+V184+X184+Z184+AB184+AD184+H184</f>
        <v>68</v>
      </c>
      <c r="C184" s="117">
        <f>SUM(H184+J184+L184)</f>
        <v>68</v>
      </c>
      <c r="D184" s="118">
        <f>E184</f>
        <v>0</v>
      </c>
      <c r="E184" s="117">
        <f>SUM(I184,K184,M184,O184,Q184,S184,U184,W184,Y184,AA184,AC184,AE184)</f>
        <v>0</v>
      </c>
      <c r="F184" s="116">
        <f>IFERROR(E184/B184*100,0)</f>
        <v>0</v>
      </c>
      <c r="G184" s="116">
        <f>IFERROR(E184/C184*100,0)</f>
        <v>0</v>
      </c>
      <c r="H184" s="111">
        <v>0</v>
      </c>
      <c r="I184" s="111">
        <v>0</v>
      </c>
      <c r="J184" s="111">
        <v>0</v>
      </c>
      <c r="K184" s="111">
        <v>0</v>
      </c>
      <c r="L184" s="111">
        <v>68</v>
      </c>
      <c r="M184" s="111">
        <v>0</v>
      </c>
      <c r="N184" s="111">
        <v>0</v>
      </c>
      <c r="O184" s="111">
        <v>0</v>
      </c>
      <c r="P184" s="111"/>
      <c r="Q184" s="111"/>
      <c r="R184" s="111"/>
      <c r="S184" s="111"/>
      <c r="T184" s="111"/>
      <c r="U184" s="111"/>
      <c r="V184" s="111"/>
      <c r="W184" s="111"/>
      <c r="X184" s="111"/>
      <c r="Y184" s="111"/>
      <c r="Z184" s="111"/>
      <c r="AA184" s="111"/>
      <c r="AB184" s="111"/>
      <c r="AC184" s="111"/>
      <c r="AD184" s="111"/>
      <c r="AE184" s="111"/>
      <c r="AF184" s="29"/>
      <c r="AG184" s="102">
        <f t="shared" si="68"/>
        <v>0</v>
      </c>
    </row>
    <row r="185" spans="1:33" x14ac:dyDescent="0.3">
      <c r="A185" s="115" t="s">
        <v>170</v>
      </c>
      <c r="B185" s="116"/>
      <c r="C185" s="117"/>
      <c r="D185" s="118"/>
      <c r="E185" s="117"/>
      <c r="F185" s="116"/>
      <c r="G185" s="116"/>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29"/>
      <c r="AG185" s="102">
        <f t="shared" si="68"/>
        <v>0</v>
      </c>
    </row>
    <row r="186" spans="1:33" ht="75" x14ac:dyDescent="0.3">
      <c r="A186" s="123" t="s">
        <v>199</v>
      </c>
      <c r="B186" s="116"/>
      <c r="C186" s="124"/>
      <c r="D186" s="124"/>
      <c r="E186" s="124"/>
      <c r="F186" s="124"/>
      <c r="G186" s="124"/>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29"/>
      <c r="AG186" s="102">
        <f t="shared" si="68"/>
        <v>0</v>
      </c>
    </row>
    <row r="187" spans="1:33" x14ac:dyDescent="0.3">
      <c r="A187" s="112" t="s">
        <v>31</v>
      </c>
      <c r="B187" s="113">
        <f>B189+B190+B188+B191</f>
        <v>0</v>
      </c>
      <c r="C187" s="113">
        <f>C189+C190+C188+C191</f>
        <v>0</v>
      </c>
      <c r="D187" s="113">
        <f>D189+D190+D188+D191</f>
        <v>0</v>
      </c>
      <c r="E187" s="113">
        <f>E189+E190+E188+E191</f>
        <v>0</v>
      </c>
      <c r="F187" s="113">
        <f>IFERROR(E187/B187*100,0)</f>
        <v>0</v>
      </c>
      <c r="G187" s="113">
        <f>IFERROR(E187/C187*100,0)</f>
        <v>0</v>
      </c>
      <c r="H187" s="113">
        <f t="shared" ref="H187:AE187" si="79">H189+H190+H188+H191</f>
        <v>0</v>
      </c>
      <c r="I187" s="113">
        <f t="shared" si="79"/>
        <v>0</v>
      </c>
      <c r="J187" s="113">
        <f t="shared" si="79"/>
        <v>0</v>
      </c>
      <c r="K187" s="113">
        <f t="shared" si="79"/>
        <v>0</v>
      </c>
      <c r="L187" s="113">
        <f t="shared" si="79"/>
        <v>0</v>
      </c>
      <c r="M187" s="113">
        <f t="shared" si="79"/>
        <v>0</v>
      </c>
      <c r="N187" s="113">
        <f t="shared" si="79"/>
        <v>0</v>
      </c>
      <c r="O187" s="113">
        <f t="shared" si="79"/>
        <v>0</v>
      </c>
      <c r="P187" s="113">
        <f t="shared" si="79"/>
        <v>0</v>
      </c>
      <c r="Q187" s="113">
        <f t="shared" si="79"/>
        <v>0</v>
      </c>
      <c r="R187" s="113">
        <f t="shared" si="79"/>
        <v>0</v>
      </c>
      <c r="S187" s="113">
        <f t="shared" si="79"/>
        <v>0</v>
      </c>
      <c r="T187" s="113">
        <f t="shared" si="79"/>
        <v>0</v>
      </c>
      <c r="U187" s="113">
        <f t="shared" si="79"/>
        <v>0</v>
      </c>
      <c r="V187" s="113">
        <f t="shared" si="79"/>
        <v>0</v>
      </c>
      <c r="W187" s="113">
        <f t="shared" si="79"/>
        <v>0</v>
      </c>
      <c r="X187" s="113">
        <f t="shared" si="79"/>
        <v>0</v>
      </c>
      <c r="Y187" s="113">
        <f t="shared" si="79"/>
        <v>0</v>
      </c>
      <c r="Z187" s="113">
        <f t="shared" si="79"/>
        <v>0</v>
      </c>
      <c r="AA187" s="113">
        <f t="shared" si="79"/>
        <v>0</v>
      </c>
      <c r="AB187" s="113">
        <f t="shared" si="79"/>
        <v>0</v>
      </c>
      <c r="AC187" s="113">
        <f t="shared" si="79"/>
        <v>0</v>
      </c>
      <c r="AD187" s="113">
        <f t="shared" si="79"/>
        <v>0</v>
      </c>
      <c r="AE187" s="113">
        <f t="shared" si="79"/>
        <v>0</v>
      </c>
      <c r="AF187" s="29"/>
      <c r="AG187" s="102">
        <f t="shared" si="68"/>
        <v>0</v>
      </c>
    </row>
    <row r="188" spans="1:33" x14ac:dyDescent="0.3">
      <c r="A188" s="115" t="s">
        <v>169</v>
      </c>
      <c r="B188" s="116">
        <f>H188+J188+L188+N188+P188+R188+T188+V188+X188+Z188+AB188+AD188</f>
        <v>0</v>
      </c>
      <c r="C188" s="117">
        <f>SUM(H188)</f>
        <v>0</v>
      </c>
      <c r="D188" s="118">
        <f>E188</f>
        <v>0</v>
      </c>
      <c r="E188" s="117">
        <f>SUM(I188,K188,M188,O188,Q188,S188,U188,W188,Y188,AA188,AC188,AE188)</f>
        <v>0</v>
      </c>
      <c r="F188" s="116">
        <f>IFERROR(E188/B188*100,0)</f>
        <v>0</v>
      </c>
      <c r="G188" s="116">
        <f>IFERROR(E188/C188*100,0)</f>
        <v>0</v>
      </c>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29"/>
      <c r="AG188" s="102">
        <f t="shared" si="68"/>
        <v>0</v>
      </c>
    </row>
    <row r="189" spans="1:33" x14ac:dyDescent="0.3">
      <c r="A189" s="115" t="s">
        <v>32</v>
      </c>
      <c r="B189" s="116">
        <f>J189+L189+N189+P189+R189+T189+V189+X189+Z189+AB189+AD189+H189</f>
        <v>0</v>
      </c>
      <c r="C189" s="117">
        <f>SUM(H189)</f>
        <v>0</v>
      </c>
      <c r="D189" s="118">
        <f>E189</f>
        <v>0</v>
      </c>
      <c r="E189" s="117">
        <f>SUM(I189,K189,M189,O189,Q189,S189,U189,W189,Y189,AA189,AC189,AE189)</f>
        <v>0</v>
      </c>
      <c r="F189" s="116">
        <f>IFERROR(E189/B189*100,0)</f>
        <v>0</v>
      </c>
      <c r="G189" s="116">
        <f>IFERROR(E189/C189*100,0)</f>
        <v>0</v>
      </c>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29"/>
      <c r="AG189" s="102">
        <f t="shared" si="68"/>
        <v>0</v>
      </c>
    </row>
    <row r="190" spans="1:33" x14ac:dyDescent="0.3">
      <c r="A190" s="115" t="s">
        <v>33</v>
      </c>
      <c r="B190" s="116">
        <f>J190+L190+N190+P190+R190+T190+V190+X190+Z190+AB190+AD190+H190</f>
        <v>0</v>
      </c>
      <c r="C190" s="117">
        <f>SUM(H190)</f>
        <v>0</v>
      </c>
      <c r="D190" s="118">
        <f>E190</f>
        <v>0</v>
      </c>
      <c r="E190" s="117">
        <f>SUM(I190,K190,M190,O190,Q190,S190,U190,W190,Y190,AA190,AC190,AE190)</f>
        <v>0</v>
      </c>
      <c r="F190" s="116">
        <f>IFERROR(E190/B190*100,0)</f>
        <v>0</v>
      </c>
      <c r="G190" s="116">
        <f>IFERROR(E190/C190*100,0)</f>
        <v>0</v>
      </c>
      <c r="H190" s="111">
        <v>0</v>
      </c>
      <c r="I190" s="111">
        <v>0</v>
      </c>
      <c r="J190" s="111">
        <v>0</v>
      </c>
      <c r="K190" s="111">
        <v>0</v>
      </c>
      <c r="L190" s="111">
        <v>0</v>
      </c>
      <c r="M190" s="111">
        <v>0</v>
      </c>
      <c r="N190" s="111">
        <v>0</v>
      </c>
      <c r="O190" s="111">
        <v>0</v>
      </c>
      <c r="P190" s="111"/>
      <c r="Q190" s="111"/>
      <c r="R190" s="111"/>
      <c r="S190" s="111"/>
      <c r="T190" s="111"/>
      <c r="U190" s="111"/>
      <c r="V190" s="111"/>
      <c r="W190" s="111"/>
      <c r="X190" s="111"/>
      <c r="Y190" s="111"/>
      <c r="Z190" s="111"/>
      <c r="AA190" s="111"/>
      <c r="AB190" s="111"/>
      <c r="AC190" s="111"/>
      <c r="AD190" s="111"/>
      <c r="AE190" s="111"/>
      <c r="AF190" s="29"/>
      <c r="AG190" s="102">
        <f t="shared" si="68"/>
        <v>0</v>
      </c>
    </row>
    <row r="191" spans="1:33" x14ac:dyDescent="0.3">
      <c r="A191" s="115" t="s">
        <v>170</v>
      </c>
      <c r="B191" s="116">
        <f>J191+L191+N191+P191+R191+T191+V191+X191+Z191+AB191+AD191+H191</f>
        <v>0</v>
      </c>
      <c r="C191" s="117">
        <f>SUM(H191)</f>
        <v>0</v>
      </c>
      <c r="D191" s="118">
        <f>E191</f>
        <v>0</v>
      </c>
      <c r="E191" s="117">
        <f>SUM(I191,K191,M191,O191,Q191,S191,U191,W191,Y191,AA191,AC191,AE191)</f>
        <v>0</v>
      </c>
      <c r="F191" s="116">
        <f>IFERROR(E191/B191*100,0)</f>
        <v>0</v>
      </c>
      <c r="G191" s="116">
        <f>IFERROR(E191/C191*100,0)</f>
        <v>0</v>
      </c>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29"/>
      <c r="AG191" s="102">
        <f t="shared" si="68"/>
        <v>0</v>
      </c>
    </row>
    <row r="192" spans="1:33" ht="37.5" x14ac:dyDescent="0.3">
      <c r="A192" s="125" t="s">
        <v>200</v>
      </c>
      <c r="B192" s="107"/>
      <c r="C192" s="137"/>
      <c r="D192" s="137"/>
      <c r="E192" s="137"/>
      <c r="F192" s="137"/>
      <c r="G192" s="13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1"/>
      <c r="AG192" s="102">
        <f t="shared" si="68"/>
        <v>0</v>
      </c>
    </row>
    <row r="193" spans="1:33" x14ac:dyDescent="0.3">
      <c r="A193" s="103" t="s">
        <v>31</v>
      </c>
      <c r="B193" s="104">
        <f>B194+B195+B196+B197</f>
        <v>168791.10200000004</v>
      </c>
      <c r="C193" s="104">
        <f>C194+C195+C196+C197</f>
        <v>39961.270000000004</v>
      </c>
      <c r="D193" s="104">
        <f>D194+D195+D196+D197</f>
        <v>45687.262999999999</v>
      </c>
      <c r="E193" s="104">
        <f>E194+E195+E196+E197</f>
        <v>45687.262999999999</v>
      </c>
      <c r="F193" s="107">
        <v>0</v>
      </c>
      <c r="G193" s="107">
        <v>0</v>
      </c>
      <c r="H193" s="104">
        <f>H194+H195+H196+H197</f>
        <v>16944.11</v>
      </c>
      <c r="I193" s="104">
        <f t="shared" ref="I193:AE193" si="80">I194+I195+I196+I197</f>
        <v>13353.019</v>
      </c>
      <c r="J193" s="104">
        <f t="shared" si="80"/>
        <v>13239.59</v>
      </c>
      <c r="K193" s="104">
        <f t="shared" si="80"/>
        <v>10800.120999999999</v>
      </c>
      <c r="L193" s="104">
        <f t="shared" si="80"/>
        <v>9777.57</v>
      </c>
      <c r="M193" s="104">
        <f t="shared" si="80"/>
        <v>9469.74</v>
      </c>
      <c r="N193" s="104">
        <f t="shared" si="80"/>
        <v>15594.13</v>
      </c>
      <c r="O193" s="104">
        <f t="shared" si="80"/>
        <v>12064.383</v>
      </c>
      <c r="P193" s="104">
        <f t="shared" si="80"/>
        <v>14082.019999999999</v>
      </c>
      <c r="Q193" s="104">
        <f t="shared" si="80"/>
        <v>0</v>
      </c>
      <c r="R193" s="104">
        <f t="shared" si="80"/>
        <v>14928.46</v>
      </c>
      <c r="S193" s="104">
        <f t="shared" si="80"/>
        <v>0</v>
      </c>
      <c r="T193" s="104">
        <f t="shared" si="80"/>
        <v>16342.57</v>
      </c>
      <c r="U193" s="104">
        <f t="shared" si="80"/>
        <v>0</v>
      </c>
      <c r="V193" s="104">
        <f t="shared" si="80"/>
        <v>11373.369999999999</v>
      </c>
      <c r="W193" s="104">
        <f t="shared" si="80"/>
        <v>0</v>
      </c>
      <c r="X193" s="104">
        <f t="shared" si="80"/>
        <v>12042.312</v>
      </c>
      <c r="Y193" s="104">
        <f t="shared" si="80"/>
        <v>0</v>
      </c>
      <c r="Z193" s="104">
        <f t="shared" si="80"/>
        <v>15258.235000000001</v>
      </c>
      <c r="AA193" s="104">
        <f t="shared" si="80"/>
        <v>0</v>
      </c>
      <c r="AB193" s="104">
        <f t="shared" si="80"/>
        <v>9675.9930000000004</v>
      </c>
      <c r="AC193" s="104">
        <f t="shared" si="80"/>
        <v>0</v>
      </c>
      <c r="AD193" s="104">
        <f t="shared" si="80"/>
        <v>19532.741999999998</v>
      </c>
      <c r="AE193" s="104">
        <f t="shared" si="80"/>
        <v>0</v>
      </c>
      <c r="AF193" s="101"/>
      <c r="AG193" s="102">
        <f t="shared" si="68"/>
        <v>0</v>
      </c>
    </row>
    <row r="194" spans="1:33" x14ac:dyDescent="0.3">
      <c r="A194" s="106" t="s">
        <v>169</v>
      </c>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1"/>
      <c r="AG194" s="102">
        <f t="shared" si="68"/>
        <v>0</v>
      </c>
    </row>
    <row r="195" spans="1:33" x14ac:dyDescent="0.3">
      <c r="A195" s="106" t="s">
        <v>32</v>
      </c>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1"/>
      <c r="AG195" s="102">
        <f t="shared" si="68"/>
        <v>0</v>
      </c>
    </row>
    <row r="196" spans="1:33" x14ac:dyDescent="0.3">
      <c r="A196" s="106" t="s">
        <v>33</v>
      </c>
      <c r="B196" s="107">
        <f>B202+B208+B214+B220+B226</f>
        <v>168791.10200000004</v>
      </c>
      <c r="C196" s="107">
        <f>C202+C208+C214+C220+C226</f>
        <v>39961.270000000004</v>
      </c>
      <c r="D196" s="107">
        <f>D202+D208+D214+D220+D226</f>
        <v>45687.262999999999</v>
      </c>
      <c r="E196" s="107">
        <f>SUM(I196,K196,M196,O196,Q196,S196,U196,W196,Y196,AA196,AC196,AE196)</f>
        <v>45687.262999999999</v>
      </c>
      <c r="F196" s="107">
        <f>IFERROR(E196/B196*100,0)</f>
        <v>27.06734090757935</v>
      </c>
      <c r="G196" s="107">
        <f>IFERROR(E196/C196*100,0)</f>
        <v>114.32885641522404</v>
      </c>
      <c r="H196" s="107">
        <f>H202+H208+H214+H220+H226</f>
        <v>16944.11</v>
      </c>
      <c r="I196" s="107">
        <f t="shared" ref="I196:AE196" si="81">I202+I208+I214+I220+I226</f>
        <v>13353.019</v>
      </c>
      <c r="J196" s="107">
        <f t="shared" si="81"/>
        <v>13239.59</v>
      </c>
      <c r="K196" s="107">
        <f t="shared" si="81"/>
        <v>10800.120999999999</v>
      </c>
      <c r="L196" s="107">
        <f t="shared" si="81"/>
        <v>9777.57</v>
      </c>
      <c r="M196" s="107">
        <f t="shared" si="81"/>
        <v>9469.74</v>
      </c>
      <c r="N196" s="107">
        <f t="shared" si="81"/>
        <v>15594.13</v>
      </c>
      <c r="O196" s="107">
        <f t="shared" si="81"/>
        <v>12064.383</v>
      </c>
      <c r="P196" s="107">
        <f t="shared" si="81"/>
        <v>14082.019999999999</v>
      </c>
      <c r="Q196" s="107">
        <f t="shared" si="81"/>
        <v>0</v>
      </c>
      <c r="R196" s="107">
        <f t="shared" si="81"/>
        <v>14928.46</v>
      </c>
      <c r="S196" s="107">
        <f t="shared" si="81"/>
        <v>0</v>
      </c>
      <c r="T196" s="107">
        <f t="shared" si="81"/>
        <v>16342.57</v>
      </c>
      <c r="U196" s="107">
        <f t="shared" si="81"/>
        <v>0</v>
      </c>
      <c r="V196" s="107">
        <f t="shared" si="81"/>
        <v>11373.369999999999</v>
      </c>
      <c r="W196" s="107">
        <f t="shared" si="81"/>
        <v>0</v>
      </c>
      <c r="X196" s="107">
        <f t="shared" si="81"/>
        <v>12042.312</v>
      </c>
      <c r="Y196" s="107">
        <f t="shared" si="81"/>
        <v>0</v>
      </c>
      <c r="Z196" s="107">
        <f t="shared" si="81"/>
        <v>15258.235000000001</v>
      </c>
      <c r="AA196" s="107">
        <f t="shared" si="81"/>
        <v>0</v>
      </c>
      <c r="AB196" s="107">
        <f t="shared" si="81"/>
        <v>9675.9930000000004</v>
      </c>
      <c r="AC196" s="107">
        <f t="shared" si="81"/>
        <v>0</v>
      </c>
      <c r="AD196" s="107">
        <f t="shared" si="81"/>
        <v>19532.741999999998</v>
      </c>
      <c r="AE196" s="107">
        <f t="shared" si="81"/>
        <v>0</v>
      </c>
      <c r="AF196" s="101"/>
      <c r="AG196" s="102">
        <f t="shared" si="68"/>
        <v>0</v>
      </c>
    </row>
    <row r="197" spans="1:33" x14ac:dyDescent="0.3">
      <c r="A197" s="106" t="s">
        <v>170</v>
      </c>
      <c r="B197" s="107">
        <f>B203</f>
        <v>0</v>
      </c>
      <c r="C197" s="107"/>
      <c r="D197" s="107"/>
      <c r="E197" s="107"/>
      <c r="F197" s="107"/>
      <c r="G197" s="107"/>
      <c r="H197" s="107">
        <f>H203</f>
        <v>0</v>
      </c>
      <c r="I197" s="107">
        <f t="shared" ref="I197:AE197" si="82">I203</f>
        <v>0</v>
      </c>
      <c r="J197" s="107">
        <f t="shared" si="82"/>
        <v>0</v>
      </c>
      <c r="K197" s="107">
        <f t="shared" si="82"/>
        <v>0</v>
      </c>
      <c r="L197" s="107">
        <f t="shared" si="82"/>
        <v>0</v>
      </c>
      <c r="M197" s="107">
        <f t="shared" si="82"/>
        <v>0</v>
      </c>
      <c r="N197" s="107">
        <f t="shared" si="82"/>
        <v>0</v>
      </c>
      <c r="O197" s="107">
        <f t="shared" si="82"/>
        <v>0</v>
      </c>
      <c r="P197" s="107">
        <f t="shared" si="82"/>
        <v>0</v>
      </c>
      <c r="Q197" s="107">
        <f t="shared" si="82"/>
        <v>0</v>
      </c>
      <c r="R197" s="107">
        <f t="shared" si="82"/>
        <v>0</v>
      </c>
      <c r="S197" s="107">
        <f t="shared" si="82"/>
        <v>0</v>
      </c>
      <c r="T197" s="107">
        <f t="shared" si="82"/>
        <v>0</v>
      </c>
      <c r="U197" s="107">
        <f t="shared" si="82"/>
        <v>0</v>
      </c>
      <c r="V197" s="107">
        <f t="shared" si="82"/>
        <v>0</v>
      </c>
      <c r="W197" s="107">
        <f t="shared" si="82"/>
        <v>0</v>
      </c>
      <c r="X197" s="107">
        <f t="shared" si="82"/>
        <v>0</v>
      </c>
      <c r="Y197" s="107">
        <f t="shared" si="82"/>
        <v>0</v>
      </c>
      <c r="Z197" s="107">
        <f t="shared" si="82"/>
        <v>0</v>
      </c>
      <c r="AA197" s="107">
        <f t="shared" si="82"/>
        <v>0</v>
      </c>
      <c r="AB197" s="107">
        <f t="shared" si="82"/>
        <v>0</v>
      </c>
      <c r="AC197" s="107">
        <f t="shared" si="82"/>
        <v>0</v>
      </c>
      <c r="AD197" s="107">
        <f t="shared" si="82"/>
        <v>0</v>
      </c>
      <c r="AE197" s="107">
        <f t="shared" si="82"/>
        <v>0</v>
      </c>
      <c r="AF197" s="101"/>
      <c r="AG197" s="102">
        <f t="shared" si="68"/>
        <v>0</v>
      </c>
    </row>
    <row r="198" spans="1:33" ht="40.5" customHeight="1" x14ac:dyDescent="0.3">
      <c r="A198" s="108" t="s">
        <v>201</v>
      </c>
      <c r="B198" s="109"/>
      <c r="C198" s="110"/>
      <c r="D198" s="110"/>
      <c r="E198" s="110"/>
      <c r="F198" s="110"/>
      <c r="G198" s="110"/>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790" t="s">
        <v>575</v>
      </c>
      <c r="AG198" s="102">
        <f t="shared" si="68"/>
        <v>0</v>
      </c>
    </row>
    <row r="199" spans="1:33" x14ac:dyDescent="0.3">
      <c r="A199" s="112" t="s">
        <v>31</v>
      </c>
      <c r="B199" s="872">
        <f>B201+B202+B200+B203</f>
        <v>10692.602000000001</v>
      </c>
      <c r="C199" s="872">
        <f>C201+C202+C200+C203</f>
        <v>2356.6800000000003</v>
      </c>
      <c r="D199" s="113">
        <f>D201+D202+D200+D203</f>
        <v>2447.7419999999997</v>
      </c>
      <c r="E199" s="113">
        <f>E201+E202+E200+E203</f>
        <v>2447.7419999999997</v>
      </c>
      <c r="F199" s="113">
        <f>F200+F201+F202+F204</f>
        <v>22.8919209748946</v>
      </c>
      <c r="G199" s="113">
        <f>G200+G201+G202+G204</f>
        <v>103.86399511176738</v>
      </c>
      <c r="H199" s="113">
        <f t="shared" ref="H199:AE199" si="83">H201+H202+H200+H203</f>
        <v>576.6</v>
      </c>
      <c r="I199" s="113">
        <f t="shared" si="83"/>
        <v>132.07</v>
      </c>
      <c r="J199" s="113">
        <f t="shared" si="83"/>
        <v>1143.6099999999999</v>
      </c>
      <c r="K199" s="113">
        <f t="shared" si="83"/>
        <v>848.18299999999999</v>
      </c>
      <c r="L199" s="113">
        <f t="shared" si="83"/>
        <v>636.47</v>
      </c>
      <c r="M199" s="113">
        <f t="shared" si="83"/>
        <v>692.9</v>
      </c>
      <c r="N199" s="113">
        <f t="shared" si="83"/>
        <v>864.55</v>
      </c>
      <c r="O199" s="113">
        <f t="shared" si="83"/>
        <v>774.58900000000006</v>
      </c>
      <c r="P199" s="113">
        <f t="shared" si="83"/>
        <v>822.05</v>
      </c>
      <c r="Q199" s="113">
        <f t="shared" si="83"/>
        <v>0</v>
      </c>
      <c r="R199" s="113">
        <f t="shared" si="83"/>
        <v>252.3</v>
      </c>
      <c r="S199" s="113">
        <f t="shared" si="83"/>
        <v>0</v>
      </c>
      <c r="T199" s="113">
        <f t="shared" si="83"/>
        <v>0</v>
      </c>
      <c r="U199" s="113">
        <f t="shared" si="83"/>
        <v>0</v>
      </c>
      <c r="V199" s="113">
        <f t="shared" si="83"/>
        <v>566.71</v>
      </c>
      <c r="W199" s="113">
        <f t="shared" si="83"/>
        <v>0</v>
      </c>
      <c r="X199" s="113">
        <f t="shared" si="83"/>
        <v>2445.4569999999999</v>
      </c>
      <c r="Y199" s="113">
        <f t="shared" si="83"/>
        <v>0</v>
      </c>
      <c r="Z199" s="113">
        <f t="shared" si="83"/>
        <v>2488.8000000000002</v>
      </c>
      <c r="AA199" s="113">
        <f t="shared" si="83"/>
        <v>0</v>
      </c>
      <c r="AB199" s="113">
        <f t="shared" si="83"/>
        <v>19.878</v>
      </c>
      <c r="AC199" s="113">
        <f t="shared" si="83"/>
        <v>0</v>
      </c>
      <c r="AD199" s="113">
        <f t="shared" si="83"/>
        <v>876.17700000000002</v>
      </c>
      <c r="AE199" s="113">
        <f t="shared" si="83"/>
        <v>0</v>
      </c>
      <c r="AF199" s="530"/>
      <c r="AG199" s="102">
        <f t="shared" si="68"/>
        <v>0</v>
      </c>
    </row>
    <row r="200" spans="1:33" x14ac:dyDescent="0.3">
      <c r="A200" s="115" t="s">
        <v>169</v>
      </c>
      <c r="B200" s="874"/>
      <c r="C200" s="875"/>
      <c r="D200" s="118"/>
      <c r="E200" s="117"/>
      <c r="F200" s="117"/>
      <c r="G200" s="117"/>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530"/>
      <c r="AG200" s="102">
        <f t="shared" si="68"/>
        <v>0</v>
      </c>
    </row>
    <row r="201" spans="1:33" x14ac:dyDescent="0.3">
      <c r="A201" s="115" t="s">
        <v>32</v>
      </c>
      <c r="B201" s="874"/>
      <c r="C201" s="875"/>
      <c r="D201" s="118"/>
      <c r="E201" s="117"/>
      <c r="F201" s="117"/>
      <c r="G201" s="117"/>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530"/>
      <c r="AG201" s="102">
        <f t="shared" si="68"/>
        <v>0</v>
      </c>
    </row>
    <row r="202" spans="1:33" x14ac:dyDescent="0.3">
      <c r="A202" s="115" t="s">
        <v>33</v>
      </c>
      <c r="B202" s="874">
        <f>J202+L202+N202+P202+R202+T202+V202+X202+Z202+AB202+AD202+H202</f>
        <v>10692.602000000001</v>
      </c>
      <c r="C202" s="875">
        <f>SUM(H202+J202+L202)</f>
        <v>2356.6800000000003</v>
      </c>
      <c r="D202" s="118">
        <f>E202</f>
        <v>2447.7419999999997</v>
      </c>
      <c r="E202" s="117">
        <f>SUM(I202,K202,M202,O202,Q202,S202,U202,W202,Y202,AA202,AC202,AE202)</f>
        <v>2447.7419999999997</v>
      </c>
      <c r="F202" s="117">
        <f>IFERROR(E202/B202*100,0)</f>
        <v>22.8919209748946</v>
      </c>
      <c r="G202" s="117">
        <f>IFERROR(E202/C202*100,0)</f>
        <v>103.86399511176738</v>
      </c>
      <c r="H202" s="111">
        <v>576.6</v>
      </c>
      <c r="I202" s="111">
        <v>132.07</v>
      </c>
      <c r="J202" s="111">
        <v>1143.6099999999999</v>
      </c>
      <c r="K202" s="111">
        <v>848.18299999999999</v>
      </c>
      <c r="L202" s="111">
        <v>636.47</v>
      </c>
      <c r="M202" s="111">
        <v>692.9</v>
      </c>
      <c r="N202" s="111">
        <v>864.55</v>
      </c>
      <c r="O202" s="111">
        <v>774.58900000000006</v>
      </c>
      <c r="P202" s="111">
        <v>822.05</v>
      </c>
      <c r="Q202" s="111"/>
      <c r="R202" s="111">
        <v>252.3</v>
      </c>
      <c r="S202" s="111"/>
      <c r="T202" s="111">
        <v>0</v>
      </c>
      <c r="U202" s="111"/>
      <c r="V202" s="111">
        <v>566.71</v>
      </c>
      <c r="W202" s="111"/>
      <c r="X202" s="111">
        <v>2445.4569999999999</v>
      </c>
      <c r="Y202" s="111"/>
      <c r="Z202" s="111">
        <v>2488.8000000000002</v>
      </c>
      <c r="AA202" s="111"/>
      <c r="AB202" s="111">
        <v>19.878</v>
      </c>
      <c r="AC202" s="111"/>
      <c r="AD202" s="111">
        <v>876.17700000000002</v>
      </c>
      <c r="AE202" s="111"/>
      <c r="AF202" s="530"/>
      <c r="AG202" s="102">
        <f t="shared" si="68"/>
        <v>0</v>
      </c>
    </row>
    <row r="203" spans="1:33" x14ac:dyDescent="0.3">
      <c r="A203" s="115" t="s">
        <v>170</v>
      </c>
      <c r="B203" s="874">
        <f>J203+L203+N203+P203+R203+T203+V203+X203+Z203+AB203+AD203+H203</f>
        <v>0</v>
      </c>
      <c r="C203" s="875"/>
      <c r="D203" s="118"/>
      <c r="E203" s="117"/>
      <c r="F203" s="117"/>
      <c r="G203" s="117"/>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29"/>
      <c r="AG203" s="102">
        <f t="shared" si="68"/>
        <v>0</v>
      </c>
    </row>
    <row r="204" spans="1:33" ht="37.5" x14ac:dyDescent="0.3">
      <c r="A204" s="123" t="s">
        <v>202</v>
      </c>
      <c r="B204" s="872"/>
      <c r="C204" s="873"/>
      <c r="D204" s="122"/>
      <c r="E204" s="122"/>
      <c r="F204" s="122"/>
      <c r="G204" s="122"/>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29"/>
      <c r="AG204" s="102">
        <f t="shared" si="68"/>
        <v>0</v>
      </c>
    </row>
    <row r="205" spans="1:33" x14ac:dyDescent="0.3">
      <c r="A205" s="112" t="s">
        <v>31</v>
      </c>
      <c r="B205" s="872">
        <f>B207+B208+B206+B209</f>
        <v>50</v>
      </c>
      <c r="C205" s="872">
        <f>C207+C208+C206+C209</f>
        <v>0</v>
      </c>
      <c r="D205" s="113">
        <f>D207+D208+D206+D209</f>
        <v>0</v>
      </c>
      <c r="E205" s="113">
        <f>E207+E208+E206+E209</f>
        <v>0</v>
      </c>
      <c r="F205" s="113">
        <f>IFERROR(E205/B205*100,0)</f>
        <v>0</v>
      </c>
      <c r="G205" s="113">
        <f>IFERROR(E205/C205*100,0)</f>
        <v>0</v>
      </c>
      <c r="H205" s="113">
        <f t="shared" ref="H205:AE205" si="84">H207+H208+H206+H209</f>
        <v>0</v>
      </c>
      <c r="I205" s="113">
        <f t="shared" si="84"/>
        <v>0</v>
      </c>
      <c r="J205" s="113">
        <f t="shared" si="84"/>
        <v>0</v>
      </c>
      <c r="K205" s="113">
        <f t="shared" si="84"/>
        <v>0</v>
      </c>
      <c r="L205" s="113">
        <f t="shared" si="84"/>
        <v>0</v>
      </c>
      <c r="M205" s="113">
        <f t="shared" si="84"/>
        <v>0</v>
      </c>
      <c r="N205" s="113">
        <f t="shared" si="84"/>
        <v>0</v>
      </c>
      <c r="O205" s="113">
        <f t="shared" si="84"/>
        <v>0</v>
      </c>
      <c r="P205" s="113">
        <f t="shared" si="84"/>
        <v>0</v>
      </c>
      <c r="Q205" s="113">
        <f t="shared" si="84"/>
        <v>0</v>
      </c>
      <c r="R205" s="113">
        <f t="shared" si="84"/>
        <v>0</v>
      </c>
      <c r="S205" s="113">
        <f t="shared" si="84"/>
        <v>0</v>
      </c>
      <c r="T205" s="113">
        <f t="shared" si="84"/>
        <v>0</v>
      </c>
      <c r="U205" s="113">
        <f t="shared" si="84"/>
        <v>0</v>
      </c>
      <c r="V205" s="113">
        <f t="shared" si="84"/>
        <v>0</v>
      </c>
      <c r="W205" s="113">
        <f t="shared" si="84"/>
        <v>0</v>
      </c>
      <c r="X205" s="113">
        <f t="shared" si="84"/>
        <v>0</v>
      </c>
      <c r="Y205" s="113">
        <f t="shared" si="84"/>
        <v>0</v>
      </c>
      <c r="Z205" s="113">
        <f t="shared" si="84"/>
        <v>0</v>
      </c>
      <c r="AA205" s="113">
        <f t="shared" si="84"/>
        <v>0</v>
      </c>
      <c r="AB205" s="113">
        <f t="shared" si="84"/>
        <v>50</v>
      </c>
      <c r="AC205" s="113">
        <f t="shared" si="84"/>
        <v>0</v>
      </c>
      <c r="AD205" s="113">
        <f t="shared" si="84"/>
        <v>0</v>
      </c>
      <c r="AE205" s="113">
        <f t="shared" si="84"/>
        <v>0</v>
      </c>
      <c r="AF205" s="29"/>
      <c r="AG205" s="102">
        <f t="shared" si="68"/>
        <v>0</v>
      </c>
    </row>
    <row r="206" spans="1:33" x14ac:dyDescent="0.3">
      <c r="A206" s="115" t="s">
        <v>169</v>
      </c>
      <c r="B206" s="116"/>
      <c r="C206" s="117"/>
      <c r="D206" s="118"/>
      <c r="E206" s="117"/>
      <c r="F206" s="116"/>
      <c r="G206" s="116"/>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29"/>
      <c r="AG206" s="102">
        <f t="shared" si="68"/>
        <v>0</v>
      </c>
    </row>
    <row r="207" spans="1:33" x14ac:dyDescent="0.3">
      <c r="A207" s="115" t="s">
        <v>32</v>
      </c>
      <c r="B207" s="116"/>
      <c r="C207" s="117"/>
      <c r="D207" s="118"/>
      <c r="E207" s="117"/>
      <c r="F207" s="116"/>
      <c r="G207" s="116"/>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29"/>
      <c r="AG207" s="102">
        <f t="shared" si="68"/>
        <v>0</v>
      </c>
    </row>
    <row r="208" spans="1:33" x14ac:dyDescent="0.3">
      <c r="A208" s="115" t="s">
        <v>33</v>
      </c>
      <c r="B208" s="116">
        <f>J208+L208+N208+P208+R208+T208+V208+X208+Z208+AB208+AD208+H208</f>
        <v>50</v>
      </c>
      <c r="C208" s="117">
        <f>SUM(H208)</f>
        <v>0</v>
      </c>
      <c r="D208" s="118">
        <f>E208</f>
        <v>0</v>
      </c>
      <c r="E208" s="117">
        <f>SUM(I208,K208,M208,O208,Q208,S208,U208,W208,Y208,AA208,AC208,AE208)</f>
        <v>0</v>
      </c>
      <c r="F208" s="116">
        <f>IFERROR(E208/B208*100,0)</f>
        <v>0</v>
      </c>
      <c r="G208" s="116">
        <f>IFERROR(E208/C208*100,0)</f>
        <v>0</v>
      </c>
      <c r="H208" s="111">
        <v>0</v>
      </c>
      <c r="I208" s="111">
        <v>0</v>
      </c>
      <c r="J208" s="111">
        <v>0</v>
      </c>
      <c r="K208" s="111">
        <v>0</v>
      </c>
      <c r="L208" s="111">
        <v>0</v>
      </c>
      <c r="M208" s="111">
        <v>0</v>
      </c>
      <c r="N208" s="111">
        <v>0</v>
      </c>
      <c r="O208" s="111">
        <v>0</v>
      </c>
      <c r="P208" s="111"/>
      <c r="Q208" s="111"/>
      <c r="R208" s="111"/>
      <c r="S208" s="111"/>
      <c r="T208" s="111"/>
      <c r="U208" s="111"/>
      <c r="V208" s="111"/>
      <c r="W208" s="111"/>
      <c r="X208" s="111"/>
      <c r="Y208" s="111"/>
      <c r="Z208" s="111"/>
      <c r="AA208" s="111"/>
      <c r="AB208" s="111">
        <v>50</v>
      </c>
      <c r="AC208" s="111"/>
      <c r="AD208" s="111"/>
      <c r="AE208" s="111"/>
      <c r="AF208" s="29"/>
      <c r="AG208" s="102">
        <f t="shared" si="68"/>
        <v>0</v>
      </c>
    </row>
    <row r="209" spans="1:33" x14ac:dyDescent="0.3">
      <c r="A209" s="115" t="s">
        <v>170</v>
      </c>
      <c r="B209" s="116"/>
      <c r="C209" s="117"/>
      <c r="D209" s="118"/>
      <c r="E209" s="117"/>
      <c r="F209" s="116"/>
      <c r="G209" s="116"/>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29"/>
      <c r="AG209" s="102">
        <f t="shared" si="68"/>
        <v>0</v>
      </c>
    </row>
    <row r="210" spans="1:33" ht="62.25" customHeight="1" x14ac:dyDescent="0.3">
      <c r="A210" s="123" t="s">
        <v>203</v>
      </c>
      <c r="B210" s="872"/>
      <c r="C210" s="873"/>
      <c r="D210" s="122"/>
      <c r="E210" s="122"/>
      <c r="F210" s="122"/>
      <c r="G210" s="122"/>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792" t="s">
        <v>574</v>
      </c>
      <c r="AG210" s="102">
        <f t="shared" si="68"/>
        <v>0</v>
      </c>
    </row>
    <row r="211" spans="1:33" x14ac:dyDescent="0.3">
      <c r="A211" s="112" t="s">
        <v>31</v>
      </c>
      <c r="B211" s="872">
        <f>B213+B214+B212+B215</f>
        <v>150133.60000000003</v>
      </c>
      <c r="C211" s="872">
        <f>C213+C214+C212+C215</f>
        <v>29689.690000000002</v>
      </c>
      <c r="D211" s="113">
        <f>D213+D214+D212+D215</f>
        <v>35324.622000000003</v>
      </c>
      <c r="E211" s="113">
        <f>E213+E214+E212+E215</f>
        <v>35324.622000000003</v>
      </c>
      <c r="F211" s="113">
        <f>IFERROR(E211/B211*100,0)</f>
        <v>23.528791689535183</v>
      </c>
      <c r="G211" s="113">
        <f>IFERROR(E211/C211*100,0)</f>
        <v>118.97942349684352</v>
      </c>
      <c r="H211" s="113">
        <f t="shared" ref="H211:AE211" si="85">H213+H214+H212+H215</f>
        <v>8452.61</v>
      </c>
      <c r="I211" s="113">
        <f t="shared" si="85"/>
        <v>5306.05</v>
      </c>
      <c r="J211" s="113">
        <f t="shared" si="85"/>
        <v>12095.98</v>
      </c>
      <c r="K211" s="113">
        <f t="shared" si="85"/>
        <v>9951.9380000000001</v>
      </c>
      <c r="L211" s="113">
        <f t="shared" si="85"/>
        <v>9141.1</v>
      </c>
      <c r="M211" s="113">
        <f t="shared" si="85"/>
        <v>8776.84</v>
      </c>
      <c r="N211" s="113">
        <f t="shared" si="85"/>
        <v>14729.58</v>
      </c>
      <c r="O211" s="113">
        <f t="shared" si="85"/>
        <v>11289.794</v>
      </c>
      <c r="P211" s="113">
        <f t="shared" si="85"/>
        <v>13259.97</v>
      </c>
      <c r="Q211" s="113">
        <f t="shared" si="85"/>
        <v>0</v>
      </c>
      <c r="R211" s="113">
        <f t="shared" si="85"/>
        <v>14676.16</v>
      </c>
      <c r="S211" s="113">
        <f t="shared" si="85"/>
        <v>0</v>
      </c>
      <c r="T211" s="113">
        <f t="shared" si="85"/>
        <v>16342.57</v>
      </c>
      <c r="U211" s="113">
        <f t="shared" si="85"/>
        <v>0</v>
      </c>
      <c r="V211" s="113">
        <f t="shared" si="85"/>
        <v>10806.66</v>
      </c>
      <c r="W211" s="113">
        <f t="shared" si="85"/>
        <v>0</v>
      </c>
      <c r="X211" s="113">
        <f t="shared" si="85"/>
        <v>9596.8549999999996</v>
      </c>
      <c r="Y211" s="113">
        <f t="shared" si="85"/>
        <v>0</v>
      </c>
      <c r="Z211" s="113">
        <f t="shared" si="85"/>
        <v>12769.434999999999</v>
      </c>
      <c r="AA211" s="113">
        <f t="shared" si="85"/>
        <v>0</v>
      </c>
      <c r="AB211" s="113">
        <f t="shared" si="85"/>
        <v>9606.1149999999998</v>
      </c>
      <c r="AC211" s="113">
        <f t="shared" si="85"/>
        <v>0</v>
      </c>
      <c r="AD211" s="113">
        <f t="shared" si="85"/>
        <v>18656.564999999999</v>
      </c>
      <c r="AE211" s="113">
        <f t="shared" si="85"/>
        <v>0</v>
      </c>
      <c r="AF211" s="29"/>
      <c r="AG211" s="102">
        <f t="shared" si="68"/>
        <v>5.4569682106375694E-11</v>
      </c>
    </row>
    <row r="212" spans="1:33" x14ac:dyDescent="0.3">
      <c r="A212" s="115" t="s">
        <v>169</v>
      </c>
      <c r="B212" s="874"/>
      <c r="C212" s="875"/>
      <c r="D212" s="118"/>
      <c r="E212" s="117"/>
      <c r="F212" s="116"/>
      <c r="G212" s="116"/>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29"/>
      <c r="AG212" s="102">
        <f t="shared" si="68"/>
        <v>0</v>
      </c>
    </row>
    <row r="213" spans="1:33" x14ac:dyDescent="0.3">
      <c r="A213" s="115" t="s">
        <v>32</v>
      </c>
      <c r="B213" s="874"/>
      <c r="C213" s="875"/>
      <c r="D213" s="118"/>
      <c r="E213" s="117"/>
      <c r="F213" s="116"/>
      <c r="G213" s="116"/>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29"/>
      <c r="AG213" s="102">
        <f t="shared" si="68"/>
        <v>0</v>
      </c>
    </row>
    <row r="214" spans="1:33" x14ac:dyDescent="0.3">
      <c r="A214" s="115" t="s">
        <v>33</v>
      </c>
      <c r="B214" s="874">
        <f>J214+L214+N214+P214+R214+T214+V214+X214+Z214+AB214+AD214+H214</f>
        <v>150133.60000000003</v>
      </c>
      <c r="C214" s="875">
        <f>SUM(H214+J214+L214)</f>
        <v>29689.690000000002</v>
      </c>
      <c r="D214" s="118">
        <f>E214</f>
        <v>35324.622000000003</v>
      </c>
      <c r="E214" s="117">
        <f>SUM(I214,K214,M214,O214,Q214,S214,U214,W214,Y214,AA214,AC214,AE214)</f>
        <v>35324.622000000003</v>
      </c>
      <c r="F214" s="116">
        <f>IFERROR(E214/B214*100,0)</f>
        <v>23.528791689535183</v>
      </c>
      <c r="G214" s="116">
        <f>IFERROR(E214/C214*100,0)</f>
        <v>118.97942349684352</v>
      </c>
      <c r="H214" s="111">
        <v>8452.61</v>
      </c>
      <c r="I214" s="111">
        <v>5306.05</v>
      </c>
      <c r="J214" s="111">
        <v>12095.98</v>
      </c>
      <c r="K214" s="111">
        <v>9951.9380000000001</v>
      </c>
      <c r="L214" s="111">
        <v>9141.1</v>
      </c>
      <c r="M214" s="111">
        <v>8776.84</v>
      </c>
      <c r="N214" s="111">
        <v>14729.58</v>
      </c>
      <c r="O214" s="111">
        <v>11289.794</v>
      </c>
      <c r="P214" s="111">
        <v>13259.97</v>
      </c>
      <c r="Q214" s="111"/>
      <c r="R214" s="111">
        <v>14676.16</v>
      </c>
      <c r="S214" s="111"/>
      <c r="T214" s="111">
        <v>16342.57</v>
      </c>
      <c r="U214" s="111"/>
      <c r="V214" s="111">
        <v>10806.66</v>
      </c>
      <c r="W214" s="111"/>
      <c r="X214" s="111">
        <v>9596.8549999999996</v>
      </c>
      <c r="Y214" s="111"/>
      <c r="Z214" s="111">
        <v>12769.434999999999</v>
      </c>
      <c r="AA214" s="111"/>
      <c r="AB214" s="111">
        <v>9606.1149999999998</v>
      </c>
      <c r="AC214" s="111"/>
      <c r="AD214" s="111">
        <v>18656.564999999999</v>
      </c>
      <c r="AE214" s="111"/>
      <c r="AF214" s="29"/>
      <c r="AG214" s="102">
        <f t="shared" si="68"/>
        <v>5.4569682106375694E-11</v>
      </c>
    </row>
    <row r="215" spans="1:33" x14ac:dyDescent="0.3">
      <c r="A215" s="115" t="s">
        <v>170</v>
      </c>
      <c r="B215" s="874"/>
      <c r="C215" s="875"/>
      <c r="D215" s="118"/>
      <c r="E215" s="117"/>
      <c r="F215" s="116"/>
      <c r="G215" s="116"/>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29"/>
      <c r="AG215" s="102">
        <f t="shared" si="68"/>
        <v>0</v>
      </c>
    </row>
    <row r="216" spans="1:33" ht="75" x14ac:dyDescent="0.3">
      <c r="A216" s="108" t="s">
        <v>204</v>
      </c>
      <c r="B216" s="874"/>
      <c r="C216" s="879"/>
      <c r="D216" s="110"/>
      <c r="E216" s="110"/>
      <c r="F216" s="110"/>
      <c r="G216" s="110"/>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29"/>
      <c r="AG216" s="102">
        <f t="shared" ref="AG216:AG279" si="86">B216-H216-J216-L216-N216-P216-R216-T216-V216-X216-Z216-AB216-AD216</f>
        <v>0</v>
      </c>
    </row>
    <row r="217" spans="1:33" x14ac:dyDescent="0.3">
      <c r="A217" s="112" t="s">
        <v>31</v>
      </c>
      <c r="B217" s="872">
        <f>B219+B220+B218+B221</f>
        <v>7792.4</v>
      </c>
      <c r="C217" s="872">
        <f>C219+C220+C218+C221</f>
        <v>7792.4</v>
      </c>
      <c r="D217" s="113">
        <f>D219+D220+D218+D221</f>
        <v>7792.3990000000003</v>
      </c>
      <c r="E217" s="113">
        <f>E219+E220+E218+E221</f>
        <v>7792.3990000000003</v>
      </c>
      <c r="F217" s="113">
        <f>IFERROR(E217/B217*100,0)</f>
        <v>99.999987166983232</v>
      </c>
      <c r="G217" s="113">
        <f>IFERROR(E217/C217*100,0)</f>
        <v>99.999987166983232</v>
      </c>
      <c r="H217" s="113">
        <f t="shared" ref="H217:AE217" si="87">H219+H220+H218+H221</f>
        <v>7792.4</v>
      </c>
      <c r="I217" s="113">
        <f t="shared" si="87"/>
        <v>7792.3990000000003</v>
      </c>
      <c r="J217" s="113">
        <f t="shared" si="87"/>
        <v>0</v>
      </c>
      <c r="K217" s="113">
        <f t="shared" si="87"/>
        <v>0</v>
      </c>
      <c r="L217" s="113">
        <f t="shared" si="87"/>
        <v>0</v>
      </c>
      <c r="M217" s="113">
        <f t="shared" si="87"/>
        <v>0</v>
      </c>
      <c r="N217" s="113">
        <f t="shared" si="87"/>
        <v>0</v>
      </c>
      <c r="O217" s="113">
        <f t="shared" si="87"/>
        <v>0</v>
      </c>
      <c r="P217" s="113">
        <f t="shared" si="87"/>
        <v>0</v>
      </c>
      <c r="Q217" s="113">
        <f t="shared" si="87"/>
        <v>0</v>
      </c>
      <c r="R217" s="113">
        <f t="shared" si="87"/>
        <v>0</v>
      </c>
      <c r="S217" s="113">
        <f t="shared" si="87"/>
        <v>0</v>
      </c>
      <c r="T217" s="113">
        <f t="shared" si="87"/>
        <v>0</v>
      </c>
      <c r="U217" s="113">
        <f t="shared" si="87"/>
        <v>0</v>
      </c>
      <c r="V217" s="113">
        <f t="shared" si="87"/>
        <v>0</v>
      </c>
      <c r="W217" s="113">
        <f t="shared" si="87"/>
        <v>0</v>
      </c>
      <c r="X217" s="113">
        <f t="shared" si="87"/>
        <v>0</v>
      </c>
      <c r="Y217" s="113">
        <f t="shared" si="87"/>
        <v>0</v>
      </c>
      <c r="Z217" s="113">
        <f t="shared" si="87"/>
        <v>0</v>
      </c>
      <c r="AA217" s="113">
        <f t="shared" si="87"/>
        <v>0</v>
      </c>
      <c r="AB217" s="113">
        <f t="shared" si="87"/>
        <v>0</v>
      </c>
      <c r="AC217" s="113">
        <f t="shared" si="87"/>
        <v>0</v>
      </c>
      <c r="AD217" s="113">
        <f t="shared" si="87"/>
        <v>0</v>
      </c>
      <c r="AE217" s="113">
        <f t="shared" si="87"/>
        <v>0</v>
      </c>
      <c r="AF217" s="29"/>
      <c r="AG217" s="102">
        <f t="shared" si="86"/>
        <v>0</v>
      </c>
    </row>
    <row r="218" spans="1:33" x14ac:dyDescent="0.3">
      <c r="A218" s="115" t="s">
        <v>169</v>
      </c>
      <c r="B218" s="874"/>
      <c r="C218" s="875"/>
      <c r="D218" s="118"/>
      <c r="E218" s="117"/>
      <c r="F218" s="116"/>
      <c r="G218" s="116"/>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29"/>
      <c r="AG218" s="102">
        <f t="shared" si="86"/>
        <v>0</v>
      </c>
    </row>
    <row r="219" spans="1:33" x14ac:dyDescent="0.3">
      <c r="A219" s="115" t="s">
        <v>32</v>
      </c>
      <c r="B219" s="874"/>
      <c r="C219" s="875"/>
      <c r="D219" s="118"/>
      <c r="E219" s="117"/>
      <c r="F219" s="116"/>
      <c r="G219" s="116"/>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29"/>
      <c r="AG219" s="102">
        <f t="shared" si="86"/>
        <v>0</v>
      </c>
    </row>
    <row r="220" spans="1:33" x14ac:dyDescent="0.3">
      <c r="A220" s="115" t="s">
        <v>33</v>
      </c>
      <c r="B220" s="874">
        <f>J220+L220+N220+P220+R220+T220+V220+X220+Z220+AB220+AD220+H220</f>
        <v>7792.4</v>
      </c>
      <c r="C220" s="875">
        <f>SUM(H220)</f>
        <v>7792.4</v>
      </c>
      <c r="D220" s="118">
        <f>E220</f>
        <v>7792.3990000000003</v>
      </c>
      <c r="E220" s="117">
        <f>SUM(I220,K220,M220,O220,Q220,S220,U220,W220,Y220,AA220,AC220,AE220)</f>
        <v>7792.3990000000003</v>
      </c>
      <c r="F220" s="116">
        <f>IFERROR(E220/B220*100,0)</f>
        <v>99.999987166983232</v>
      </c>
      <c r="G220" s="116">
        <f>IFERROR(E220/C220*100,0)</f>
        <v>99.999987166983232</v>
      </c>
      <c r="H220" s="138">
        <f>723.5+760.1+6308.8</f>
        <v>7792.4</v>
      </c>
      <c r="I220" s="111">
        <v>7792.3990000000003</v>
      </c>
      <c r="J220" s="111">
        <v>0</v>
      </c>
      <c r="K220" s="111">
        <v>0</v>
      </c>
      <c r="L220" s="111">
        <v>0</v>
      </c>
      <c r="M220" s="111">
        <v>0</v>
      </c>
      <c r="N220" s="111">
        <v>0</v>
      </c>
      <c r="O220" s="111">
        <v>0</v>
      </c>
      <c r="P220" s="111"/>
      <c r="Q220" s="111"/>
      <c r="R220" s="111"/>
      <c r="S220" s="111"/>
      <c r="T220" s="111"/>
      <c r="U220" s="111"/>
      <c r="V220" s="111"/>
      <c r="W220" s="111"/>
      <c r="X220" s="111"/>
      <c r="Y220" s="111"/>
      <c r="Z220" s="111"/>
      <c r="AA220" s="111"/>
      <c r="AB220" s="111"/>
      <c r="AC220" s="111"/>
      <c r="AD220" s="111"/>
      <c r="AE220" s="111"/>
      <c r="AF220" s="29"/>
      <c r="AG220" s="102">
        <f t="shared" si="86"/>
        <v>0</v>
      </c>
    </row>
    <row r="221" spans="1:33" x14ac:dyDescent="0.3">
      <c r="A221" s="115" t="s">
        <v>170</v>
      </c>
      <c r="B221" s="874"/>
      <c r="C221" s="875"/>
      <c r="D221" s="118"/>
      <c r="E221" s="117"/>
      <c r="F221" s="116"/>
      <c r="G221" s="116"/>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29"/>
      <c r="AG221" s="102">
        <f t="shared" si="86"/>
        <v>0</v>
      </c>
    </row>
    <row r="222" spans="1:33" ht="75" x14ac:dyDescent="0.3">
      <c r="A222" s="108" t="s">
        <v>205</v>
      </c>
      <c r="B222" s="874"/>
      <c r="C222" s="879"/>
      <c r="D222" s="110"/>
      <c r="E222" s="110"/>
      <c r="F222" s="110"/>
      <c r="G222" s="110"/>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29"/>
      <c r="AG222" s="102">
        <f t="shared" si="86"/>
        <v>0</v>
      </c>
    </row>
    <row r="223" spans="1:33" x14ac:dyDescent="0.3">
      <c r="A223" s="112" t="s">
        <v>31</v>
      </c>
      <c r="B223" s="872">
        <f>B225+B226+B224+B227</f>
        <v>122.5</v>
      </c>
      <c r="C223" s="872">
        <f>C225+C226+C224+C227</f>
        <v>122.5</v>
      </c>
      <c r="D223" s="113">
        <f>D225+D226+D224+D227</f>
        <v>122.5</v>
      </c>
      <c r="E223" s="113">
        <f>E225+E226+E224+E227</f>
        <v>122.5</v>
      </c>
      <c r="F223" s="113">
        <f>IFERROR(E223/B223*100,0)</f>
        <v>100</v>
      </c>
      <c r="G223" s="113">
        <f>IFERROR(E223/C223*100,0)</f>
        <v>100</v>
      </c>
      <c r="H223" s="113">
        <f t="shared" ref="H223:AE223" si="88">H225+H226+H224+H227</f>
        <v>122.5</v>
      </c>
      <c r="I223" s="113">
        <f t="shared" si="88"/>
        <v>122.5</v>
      </c>
      <c r="J223" s="113">
        <f t="shared" si="88"/>
        <v>0</v>
      </c>
      <c r="K223" s="113">
        <f t="shared" si="88"/>
        <v>0</v>
      </c>
      <c r="L223" s="113">
        <f t="shared" si="88"/>
        <v>0</v>
      </c>
      <c r="M223" s="113">
        <f t="shared" si="88"/>
        <v>0</v>
      </c>
      <c r="N223" s="113">
        <f t="shared" si="88"/>
        <v>0</v>
      </c>
      <c r="O223" s="113">
        <f t="shared" si="88"/>
        <v>0</v>
      </c>
      <c r="P223" s="113">
        <f t="shared" si="88"/>
        <v>0</v>
      </c>
      <c r="Q223" s="113">
        <f t="shared" si="88"/>
        <v>0</v>
      </c>
      <c r="R223" s="113">
        <f t="shared" si="88"/>
        <v>0</v>
      </c>
      <c r="S223" s="113">
        <f t="shared" si="88"/>
        <v>0</v>
      </c>
      <c r="T223" s="113">
        <f t="shared" si="88"/>
        <v>0</v>
      </c>
      <c r="U223" s="113">
        <f t="shared" si="88"/>
        <v>0</v>
      </c>
      <c r="V223" s="113">
        <f t="shared" si="88"/>
        <v>0</v>
      </c>
      <c r="W223" s="113">
        <f t="shared" si="88"/>
        <v>0</v>
      </c>
      <c r="X223" s="113">
        <f t="shared" si="88"/>
        <v>0</v>
      </c>
      <c r="Y223" s="113">
        <f t="shared" si="88"/>
        <v>0</v>
      </c>
      <c r="Z223" s="113">
        <f t="shared" si="88"/>
        <v>0</v>
      </c>
      <c r="AA223" s="113">
        <f t="shared" si="88"/>
        <v>0</v>
      </c>
      <c r="AB223" s="113">
        <f t="shared" si="88"/>
        <v>0</v>
      </c>
      <c r="AC223" s="113">
        <f t="shared" si="88"/>
        <v>0</v>
      </c>
      <c r="AD223" s="113">
        <f t="shared" si="88"/>
        <v>0</v>
      </c>
      <c r="AE223" s="113">
        <f t="shared" si="88"/>
        <v>0</v>
      </c>
      <c r="AF223" s="29"/>
      <c r="AG223" s="102">
        <f t="shared" si="86"/>
        <v>0</v>
      </c>
    </row>
    <row r="224" spans="1:33" x14ac:dyDescent="0.3">
      <c r="A224" s="115" t="s">
        <v>169</v>
      </c>
      <c r="B224" s="874"/>
      <c r="C224" s="875"/>
      <c r="D224" s="118"/>
      <c r="E224" s="117"/>
      <c r="F224" s="116"/>
      <c r="G224" s="116"/>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29"/>
      <c r="AG224" s="102">
        <f t="shared" si="86"/>
        <v>0</v>
      </c>
    </row>
    <row r="225" spans="1:33" x14ac:dyDescent="0.3">
      <c r="A225" s="115" t="s">
        <v>32</v>
      </c>
      <c r="B225" s="874"/>
      <c r="C225" s="875"/>
      <c r="D225" s="118"/>
      <c r="E225" s="117"/>
      <c r="F225" s="116"/>
      <c r="G225" s="116"/>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29"/>
      <c r="AG225" s="102">
        <f t="shared" si="86"/>
        <v>0</v>
      </c>
    </row>
    <row r="226" spans="1:33" x14ac:dyDescent="0.3">
      <c r="A226" s="115" t="s">
        <v>33</v>
      </c>
      <c r="B226" s="874">
        <f>J226+L226+N226+P226+R226+T226+V226+X226+Z226+AB226+AD226+H226</f>
        <v>122.5</v>
      </c>
      <c r="C226" s="875">
        <f>SUM(H226)</f>
        <v>122.5</v>
      </c>
      <c r="D226" s="118">
        <f>E226</f>
        <v>122.5</v>
      </c>
      <c r="E226" s="117">
        <f>SUM(I226,K226,M226,O226,Q226,S226,U226,W226,Y226,AA226,AC226,AE226)</f>
        <v>122.5</v>
      </c>
      <c r="F226" s="116">
        <f>IFERROR(E226/B226*100,0)</f>
        <v>100</v>
      </c>
      <c r="G226" s="116">
        <f>IFERROR(E226/C226*100,0)</f>
        <v>100</v>
      </c>
      <c r="H226" s="111">
        <v>122.5</v>
      </c>
      <c r="I226" s="111">
        <v>122.5</v>
      </c>
      <c r="J226" s="111">
        <v>0</v>
      </c>
      <c r="K226" s="111">
        <v>0</v>
      </c>
      <c r="L226" s="111">
        <v>0</v>
      </c>
      <c r="M226" s="111">
        <v>0</v>
      </c>
      <c r="N226" s="111">
        <v>0</v>
      </c>
      <c r="O226" s="111">
        <v>0</v>
      </c>
      <c r="P226" s="111"/>
      <c r="Q226" s="111"/>
      <c r="R226" s="111"/>
      <c r="S226" s="111"/>
      <c r="T226" s="111"/>
      <c r="U226" s="111"/>
      <c r="V226" s="111"/>
      <c r="W226" s="111"/>
      <c r="X226" s="111"/>
      <c r="Y226" s="111"/>
      <c r="Z226" s="111"/>
      <c r="AA226" s="111"/>
      <c r="AB226" s="111"/>
      <c r="AC226" s="111"/>
      <c r="AD226" s="111"/>
      <c r="AE226" s="111"/>
      <c r="AF226" s="29"/>
      <c r="AG226" s="102">
        <f t="shared" si="86"/>
        <v>0</v>
      </c>
    </row>
    <row r="227" spans="1:33" x14ac:dyDescent="0.3">
      <c r="A227" s="115" t="s">
        <v>170</v>
      </c>
      <c r="B227" s="116"/>
      <c r="C227" s="117"/>
      <c r="D227" s="118"/>
      <c r="E227" s="117"/>
      <c r="F227" s="116"/>
      <c r="G227" s="116"/>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29"/>
      <c r="AG227" s="102">
        <f t="shared" si="86"/>
        <v>0</v>
      </c>
    </row>
    <row r="228" spans="1:33" x14ac:dyDescent="0.3">
      <c r="A228" s="908" t="s">
        <v>206</v>
      </c>
      <c r="B228" s="909"/>
      <c r="C228" s="909"/>
      <c r="D228" s="909"/>
      <c r="E228" s="909"/>
      <c r="F228" s="909"/>
      <c r="G228" s="909"/>
      <c r="H228" s="909"/>
      <c r="I228" s="909"/>
      <c r="J228" s="909"/>
      <c r="K228" s="909"/>
      <c r="L228" s="909"/>
      <c r="M228" s="909"/>
      <c r="N228" s="909"/>
      <c r="O228" s="909"/>
      <c r="P228" s="909"/>
      <c r="Q228" s="909"/>
      <c r="R228" s="909"/>
      <c r="S228" s="909"/>
      <c r="T228" s="909"/>
      <c r="U228" s="909"/>
      <c r="V228" s="909"/>
      <c r="W228" s="909"/>
      <c r="X228" s="909"/>
      <c r="Y228" s="909"/>
      <c r="Z228" s="909"/>
      <c r="AA228" s="909"/>
      <c r="AB228" s="909"/>
      <c r="AC228" s="909"/>
      <c r="AD228" s="909"/>
      <c r="AE228" s="909"/>
      <c r="AF228" s="910"/>
      <c r="AG228" s="102">
        <f t="shared" si="86"/>
        <v>0</v>
      </c>
    </row>
    <row r="229" spans="1:33" x14ac:dyDescent="0.3">
      <c r="A229" s="908" t="s">
        <v>54</v>
      </c>
      <c r="B229" s="909"/>
      <c r="C229" s="909"/>
      <c r="D229" s="909"/>
      <c r="E229" s="909"/>
      <c r="F229" s="909"/>
      <c r="G229" s="909"/>
      <c r="H229" s="909"/>
      <c r="I229" s="909"/>
      <c r="J229" s="909"/>
      <c r="K229" s="909"/>
      <c r="L229" s="909"/>
      <c r="M229" s="909"/>
      <c r="N229" s="909"/>
      <c r="O229" s="909"/>
      <c r="P229" s="909"/>
      <c r="Q229" s="909"/>
      <c r="R229" s="909"/>
      <c r="S229" s="909"/>
      <c r="T229" s="909"/>
      <c r="U229" s="909"/>
      <c r="V229" s="909"/>
      <c r="W229" s="909"/>
      <c r="X229" s="909"/>
      <c r="Y229" s="909"/>
      <c r="Z229" s="909"/>
      <c r="AA229" s="909"/>
      <c r="AB229" s="909"/>
      <c r="AC229" s="909"/>
      <c r="AD229" s="909"/>
      <c r="AE229" s="909"/>
      <c r="AF229" s="910"/>
      <c r="AG229" s="102">
        <f t="shared" si="86"/>
        <v>0</v>
      </c>
    </row>
    <row r="230" spans="1:33" ht="56.25" x14ac:dyDescent="0.3">
      <c r="A230" s="139" t="s">
        <v>207</v>
      </c>
      <c r="B230" s="140"/>
      <c r="C230" s="141"/>
      <c r="D230" s="141"/>
      <c r="E230" s="141"/>
      <c r="F230" s="141"/>
      <c r="G230" s="141"/>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01"/>
      <c r="AG230" s="102">
        <f t="shared" si="86"/>
        <v>0</v>
      </c>
    </row>
    <row r="231" spans="1:33" x14ac:dyDescent="0.3">
      <c r="A231" s="103" t="s">
        <v>31</v>
      </c>
      <c r="B231" s="104">
        <f>B232+B233+B234+B235</f>
        <v>21790.591999999997</v>
      </c>
      <c r="C231" s="104">
        <f>C232+C233+C234+C235</f>
        <v>6186.39</v>
      </c>
      <c r="D231" s="104">
        <f>D232+D233+D234+D235</f>
        <v>5081.8510000000006</v>
      </c>
      <c r="E231" s="104">
        <f>E232+E233+E234+E235</f>
        <v>5081.8510000000006</v>
      </c>
      <c r="F231" s="107">
        <f>IFERROR(E231/B231*100,0)</f>
        <v>23.321307654239046</v>
      </c>
      <c r="G231" s="107">
        <f>IFERROR(E231/C231*100,0)</f>
        <v>82.145661686379299</v>
      </c>
      <c r="H231" s="104">
        <f>H232+H233+H234+H235</f>
        <v>2852.02</v>
      </c>
      <c r="I231" s="104">
        <f t="shared" ref="I231:AE231" si="89">I232+I233+I234+I235</f>
        <v>1319.77</v>
      </c>
      <c r="J231" s="104">
        <f t="shared" si="89"/>
        <v>1872.26</v>
      </c>
      <c r="K231" s="104">
        <f t="shared" si="89"/>
        <v>2121.1849999999999</v>
      </c>
      <c r="L231" s="104">
        <f t="shared" si="89"/>
        <v>1462.1100000000001</v>
      </c>
      <c r="M231" s="104">
        <f t="shared" si="89"/>
        <v>1640.8960000000002</v>
      </c>
      <c r="N231" s="104">
        <f t="shared" si="89"/>
        <v>2157.71</v>
      </c>
      <c r="O231" s="104">
        <f t="shared" si="89"/>
        <v>0</v>
      </c>
      <c r="P231" s="104">
        <f t="shared" si="89"/>
        <v>1672.19</v>
      </c>
      <c r="Q231" s="104">
        <f t="shared" si="89"/>
        <v>0</v>
      </c>
      <c r="R231" s="104">
        <f t="shared" si="89"/>
        <v>1462.12</v>
      </c>
      <c r="S231" s="104">
        <f t="shared" si="89"/>
        <v>0</v>
      </c>
      <c r="T231" s="104">
        <f t="shared" si="89"/>
        <v>2157.712</v>
      </c>
      <c r="U231" s="104">
        <f t="shared" si="89"/>
        <v>0</v>
      </c>
      <c r="V231" s="104">
        <f t="shared" si="89"/>
        <v>1672.193</v>
      </c>
      <c r="W231" s="104">
        <f t="shared" si="89"/>
        <v>0</v>
      </c>
      <c r="X231" s="104">
        <f t="shared" si="89"/>
        <v>1462.1120000000001</v>
      </c>
      <c r="Y231" s="104">
        <f t="shared" si="89"/>
        <v>0</v>
      </c>
      <c r="Z231" s="104">
        <f t="shared" si="89"/>
        <v>2157.712</v>
      </c>
      <c r="AA231" s="104">
        <f t="shared" si="89"/>
        <v>0</v>
      </c>
      <c r="AB231" s="104">
        <f t="shared" si="89"/>
        <v>1672.1799999999998</v>
      </c>
      <c r="AC231" s="104">
        <f t="shared" si="89"/>
        <v>0</v>
      </c>
      <c r="AD231" s="104">
        <f t="shared" si="89"/>
        <v>1190.2729999999999</v>
      </c>
      <c r="AE231" s="104">
        <f t="shared" si="89"/>
        <v>0</v>
      </c>
      <c r="AF231" s="101"/>
      <c r="AG231" s="102">
        <f t="shared" si="86"/>
        <v>-2.5011104298755527E-12</v>
      </c>
    </row>
    <row r="232" spans="1:33" x14ac:dyDescent="0.3">
      <c r="A232" s="106" t="s">
        <v>169</v>
      </c>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1"/>
      <c r="AG232" s="102">
        <f t="shared" si="86"/>
        <v>0</v>
      </c>
    </row>
    <row r="233" spans="1:33" x14ac:dyDescent="0.3">
      <c r="A233" s="106" t="s">
        <v>32</v>
      </c>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1"/>
      <c r="AG233" s="102">
        <f t="shared" si="86"/>
        <v>0</v>
      </c>
    </row>
    <row r="234" spans="1:33" x14ac:dyDescent="0.3">
      <c r="A234" s="106" t="s">
        <v>33</v>
      </c>
      <c r="B234" s="107">
        <f>B240+B246</f>
        <v>21790.591999999997</v>
      </c>
      <c r="C234" s="107">
        <f>C240+C246</f>
        <v>6186.39</v>
      </c>
      <c r="D234" s="107">
        <f>D240+D246</f>
        <v>5081.8510000000006</v>
      </c>
      <c r="E234" s="107">
        <f>E240+E246</f>
        <v>5081.8510000000006</v>
      </c>
      <c r="F234" s="107">
        <f>IFERROR(E234/B234*100,0)</f>
        <v>23.321307654239046</v>
      </c>
      <c r="G234" s="107">
        <f>IFERROR(E234/C234*100,0)</f>
        <v>82.145661686379299</v>
      </c>
      <c r="H234" s="107">
        <f>H240+H246</f>
        <v>2852.02</v>
      </c>
      <c r="I234" s="107">
        <f t="shared" ref="I234:AE234" si="90">I240+I246</f>
        <v>1319.77</v>
      </c>
      <c r="J234" s="107">
        <f t="shared" si="90"/>
        <v>1872.26</v>
      </c>
      <c r="K234" s="107">
        <f t="shared" si="90"/>
        <v>2121.1849999999999</v>
      </c>
      <c r="L234" s="107">
        <f t="shared" si="90"/>
        <v>1462.1100000000001</v>
      </c>
      <c r="M234" s="107">
        <f t="shared" si="90"/>
        <v>1640.8960000000002</v>
      </c>
      <c r="N234" s="107">
        <f t="shared" si="90"/>
        <v>2157.71</v>
      </c>
      <c r="O234" s="107">
        <f t="shared" si="90"/>
        <v>0</v>
      </c>
      <c r="P234" s="107">
        <f t="shared" si="90"/>
        <v>1672.19</v>
      </c>
      <c r="Q234" s="107">
        <f t="shared" si="90"/>
        <v>0</v>
      </c>
      <c r="R234" s="107">
        <f t="shared" si="90"/>
        <v>1462.12</v>
      </c>
      <c r="S234" s="107">
        <f t="shared" si="90"/>
        <v>0</v>
      </c>
      <c r="T234" s="107">
        <f t="shared" si="90"/>
        <v>2157.712</v>
      </c>
      <c r="U234" s="107">
        <f t="shared" si="90"/>
        <v>0</v>
      </c>
      <c r="V234" s="107">
        <f t="shared" si="90"/>
        <v>1672.193</v>
      </c>
      <c r="W234" s="107">
        <f t="shared" si="90"/>
        <v>0</v>
      </c>
      <c r="X234" s="107">
        <f t="shared" si="90"/>
        <v>1462.1120000000001</v>
      </c>
      <c r="Y234" s="107">
        <f t="shared" si="90"/>
        <v>0</v>
      </c>
      <c r="Z234" s="107">
        <f t="shared" si="90"/>
        <v>2157.712</v>
      </c>
      <c r="AA234" s="107">
        <f t="shared" si="90"/>
        <v>0</v>
      </c>
      <c r="AB234" s="107">
        <f t="shared" si="90"/>
        <v>1672.1799999999998</v>
      </c>
      <c r="AC234" s="107">
        <f t="shared" si="90"/>
        <v>0</v>
      </c>
      <c r="AD234" s="107">
        <f t="shared" si="90"/>
        <v>1190.2729999999999</v>
      </c>
      <c r="AE234" s="107">
        <f t="shared" si="90"/>
        <v>0</v>
      </c>
      <c r="AF234" s="101"/>
      <c r="AG234" s="102">
        <f t="shared" si="86"/>
        <v>-2.5011104298755527E-12</v>
      </c>
    </row>
    <row r="235" spans="1:33" x14ac:dyDescent="0.3">
      <c r="A235" s="106" t="s">
        <v>170</v>
      </c>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1"/>
      <c r="AG235" s="102">
        <f t="shared" si="86"/>
        <v>0</v>
      </c>
    </row>
    <row r="236" spans="1:33" ht="56.25" x14ac:dyDescent="0.3">
      <c r="A236" s="123" t="s">
        <v>208</v>
      </c>
      <c r="B236" s="872"/>
      <c r="C236" s="122"/>
      <c r="D236" s="122"/>
      <c r="E236" s="122"/>
      <c r="F236" s="122"/>
      <c r="G236" s="122"/>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29"/>
      <c r="AG236" s="102">
        <f t="shared" si="86"/>
        <v>0</v>
      </c>
    </row>
    <row r="237" spans="1:33" x14ac:dyDescent="0.3">
      <c r="A237" s="112" t="s">
        <v>31</v>
      </c>
      <c r="B237" s="872">
        <f>B239+B240+B238+B241</f>
        <v>14354.996999999999</v>
      </c>
      <c r="C237" s="113">
        <f>C239+C240+C238+C241</f>
        <v>4070.21</v>
      </c>
      <c r="D237" s="113">
        <f>D239+D240+D238+D241</f>
        <v>3392.578</v>
      </c>
      <c r="E237" s="113">
        <f>E239+E240+E238+E241</f>
        <v>3392.578</v>
      </c>
      <c r="F237" s="113">
        <f>IFERROR(E237/B237*100,0)</f>
        <v>23.633428833179138</v>
      </c>
      <c r="G237" s="113">
        <f>IFERROR(E237/C237*100,0)</f>
        <v>83.351424127993397</v>
      </c>
      <c r="H237" s="113">
        <f t="shared" ref="H237:AE237" si="91">H239+H240+H238+H241</f>
        <v>1862.93</v>
      </c>
      <c r="I237" s="113">
        <f t="shared" si="91"/>
        <v>860.83</v>
      </c>
      <c r="J237" s="113">
        <f t="shared" si="91"/>
        <v>1244.2</v>
      </c>
      <c r="K237" s="113">
        <f t="shared" si="91"/>
        <v>1369.52</v>
      </c>
      <c r="L237" s="113">
        <f t="shared" si="91"/>
        <v>963.08</v>
      </c>
      <c r="M237" s="113">
        <f t="shared" si="91"/>
        <v>1162.2280000000001</v>
      </c>
      <c r="N237" s="113">
        <f t="shared" si="91"/>
        <v>1423.08</v>
      </c>
      <c r="O237" s="113">
        <f t="shared" si="91"/>
        <v>0</v>
      </c>
      <c r="P237" s="113">
        <f t="shared" si="91"/>
        <v>1102.01</v>
      </c>
      <c r="Q237" s="113">
        <f t="shared" si="91"/>
        <v>0</v>
      </c>
      <c r="R237" s="113">
        <f t="shared" si="91"/>
        <v>963.09</v>
      </c>
      <c r="S237" s="113">
        <f t="shared" si="91"/>
        <v>0</v>
      </c>
      <c r="T237" s="113">
        <f t="shared" si="91"/>
        <v>1423.08</v>
      </c>
      <c r="U237" s="113">
        <f t="shared" si="91"/>
        <v>0</v>
      </c>
      <c r="V237" s="113">
        <f t="shared" si="91"/>
        <v>1102.01</v>
      </c>
      <c r="W237" s="113">
        <f t="shared" si="91"/>
        <v>0</v>
      </c>
      <c r="X237" s="113">
        <f t="shared" si="91"/>
        <v>963.08199999999999</v>
      </c>
      <c r="Y237" s="113">
        <f t="shared" si="91"/>
        <v>0</v>
      </c>
      <c r="Z237" s="113">
        <f t="shared" si="91"/>
        <v>1423.0820000000001</v>
      </c>
      <c r="AA237" s="113">
        <f t="shared" si="91"/>
        <v>0</v>
      </c>
      <c r="AB237" s="113">
        <f t="shared" si="91"/>
        <v>1102</v>
      </c>
      <c r="AC237" s="113">
        <f t="shared" si="91"/>
        <v>0</v>
      </c>
      <c r="AD237" s="113">
        <f t="shared" si="91"/>
        <v>783.35299999999995</v>
      </c>
      <c r="AE237" s="113">
        <f t="shared" si="91"/>
        <v>0</v>
      </c>
      <c r="AF237" s="29"/>
      <c r="AG237" s="102">
        <f t="shared" si="86"/>
        <v>-1.9326762412674725E-12</v>
      </c>
    </row>
    <row r="238" spans="1:33" x14ac:dyDescent="0.3">
      <c r="A238" s="115" t="s">
        <v>169</v>
      </c>
      <c r="B238" s="874"/>
      <c r="C238" s="117"/>
      <c r="D238" s="118"/>
      <c r="E238" s="117"/>
      <c r="F238" s="116"/>
      <c r="G238" s="116"/>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29"/>
      <c r="AG238" s="102">
        <f t="shared" si="86"/>
        <v>0</v>
      </c>
    </row>
    <row r="239" spans="1:33" x14ac:dyDescent="0.3">
      <c r="A239" s="128" t="s">
        <v>32</v>
      </c>
      <c r="B239" s="874"/>
      <c r="C239" s="117"/>
      <c r="D239" s="118"/>
      <c r="E239" s="117"/>
      <c r="F239" s="116"/>
      <c r="G239" s="116"/>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29"/>
      <c r="AG239" s="102">
        <f t="shared" si="86"/>
        <v>0</v>
      </c>
    </row>
    <row r="240" spans="1:33" x14ac:dyDescent="0.3">
      <c r="A240" s="115" t="s">
        <v>33</v>
      </c>
      <c r="B240" s="874">
        <f>J240+L240+N240+P240+R240+T240+V240+X240+Z240+AB240+AD240+H240</f>
        <v>14354.996999999999</v>
      </c>
      <c r="C240" s="117">
        <f>SUM(H240+J240+L240)</f>
        <v>4070.21</v>
      </c>
      <c r="D240" s="118">
        <f>E240</f>
        <v>3392.578</v>
      </c>
      <c r="E240" s="117">
        <f>SUM(I240,K240,M240,O240,Q240,S240,U240,W240,Y240,AA240,AC240,AE240)</f>
        <v>3392.578</v>
      </c>
      <c r="F240" s="116">
        <f>IFERROR(E240/B240*100,0)</f>
        <v>23.633428833179138</v>
      </c>
      <c r="G240" s="116">
        <f>IFERROR(E240/C240*100,0)</f>
        <v>83.351424127993397</v>
      </c>
      <c r="H240" s="111">
        <v>1862.93</v>
      </c>
      <c r="I240" s="111">
        <v>860.83</v>
      </c>
      <c r="J240" s="111">
        <v>1244.2</v>
      </c>
      <c r="K240" s="111">
        <v>1369.52</v>
      </c>
      <c r="L240" s="111">
        <v>963.08</v>
      </c>
      <c r="M240" s="111">
        <v>1162.2280000000001</v>
      </c>
      <c r="N240" s="111">
        <v>1423.08</v>
      </c>
      <c r="O240" s="111"/>
      <c r="P240" s="111">
        <v>1102.01</v>
      </c>
      <c r="Q240" s="111"/>
      <c r="R240" s="111">
        <v>963.09</v>
      </c>
      <c r="S240" s="111"/>
      <c r="T240" s="111">
        <v>1423.08</v>
      </c>
      <c r="U240" s="111"/>
      <c r="V240" s="111">
        <v>1102.01</v>
      </c>
      <c r="W240" s="111"/>
      <c r="X240" s="111">
        <v>963.08199999999999</v>
      </c>
      <c r="Y240" s="111"/>
      <c r="Z240" s="111">
        <v>1423.0820000000001</v>
      </c>
      <c r="AA240" s="111"/>
      <c r="AB240" s="111">
        <v>1102</v>
      </c>
      <c r="AC240" s="111"/>
      <c r="AD240" s="111">
        <v>783.35299999999995</v>
      </c>
      <c r="AE240" s="111"/>
      <c r="AF240" s="29"/>
      <c r="AG240" s="102">
        <f t="shared" si="86"/>
        <v>-1.9326762412674725E-12</v>
      </c>
    </row>
    <row r="241" spans="1:33" x14ac:dyDescent="0.3">
      <c r="A241" s="115" t="s">
        <v>170</v>
      </c>
      <c r="B241" s="874"/>
      <c r="C241" s="117"/>
      <c r="D241" s="118"/>
      <c r="E241" s="117"/>
      <c r="F241" s="116"/>
      <c r="G241" s="116"/>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29"/>
      <c r="AG241" s="102">
        <f t="shared" si="86"/>
        <v>0</v>
      </c>
    </row>
    <row r="242" spans="1:33" ht="56.25" x14ac:dyDescent="0.3">
      <c r="A242" s="123" t="s">
        <v>209</v>
      </c>
      <c r="B242" s="872"/>
      <c r="C242" s="122"/>
      <c r="D242" s="122"/>
      <c r="E242" s="122"/>
      <c r="F242" s="122"/>
      <c r="G242" s="122"/>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29"/>
      <c r="AG242" s="102">
        <f t="shared" si="86"/>
        <v>0</v>
      </c>
    </row>
    <row r="243" spans="1:33" x14ac:dyDescent="0.3">
      <c r="A243" s="112" t="s">
        <v>31</v>
      </c>
      <c r="B243" s="872">
        <f>B245+B246+B244+B247</f>
        <v>7435.5949999999993</v>
      </c>
      <c r="C243" s="113">
        <f>C245+C246+C244+C247</f>
        <v>2116.1800000000003</v>
      </c>
      <c r="D243" s="113">
        <f>D245+D246+D244+D247</f>
        <v>1689.2730000000001</v>
      </c>
      <c r="E243" s="113">
        <f>E245+E246+E244+E247</f>
        <v>1689.2730000000001</v>
      </c>
      <c r="F243" s="113">
        <f>IFERROR(E243/B243*100,0)</f>
        <v>22.718733336067931</v>
      </c>
      <c r="G243" s="113">
        <f>IFERROR(E243/C243*100,0)</f>
        <v>79.826527044013261</v>
      </c>
      <c r="H243" s="113">
        <f t="shared" ref="H243:AE243" si="92">H245+H246+H244+H247</f>
        <v>989.09</v>
      </c>
      <c r="I243" s="113">
        <f t="shared" si="92"/>
        <v>458.94</v>
      </c>
      <c r="J243" s="113">
        <f t="shared" si="92"/>
        <v>628.05999999999995</v>
      </c>
      <c r="K243" s="113">
        <f t="shared" si="92"/>
        <v>751.66499999999996</v>
      </c>
      <c r="L243" s="113">
        <f t="shared" si="92"/>
        <v>499.03</v>
      </c>
      <c r="M243" s="113">
        <f t="shared" si="92"/>
        <v>478.66800000000001</v>
      </c>
      <c r="N243" s="113">
        <f t="shared" si="92"/>
        <v>734.63</v>
      </c>
      <c r="O243" s="113">
        <f t="shared" si="92"/>
        <v>0</v>
      </c>
      <c r="P243" s="113">
        <f t="shared" si="92"/>
        <v>570.17999999999995</v>
      </c>
      <c r="Q243" s="113">
        <f t="shared" si="92"/>
        <v>0</v>
      </c>
      <c r="R243" s="113">
        <f t="shared" si="92"/>
        <v>499.03</v>
      </c>
      <c r="S243" s="113">
        <f t="shared" si="92"/>
        <v>0</v>
      </c>
      <c r="T243" s="113">
        <f t="shared" si="92"/>
        <v>734.63199999999995</v>
      </c>
      <c r="U243" s="113">
        <f t="shared" si="92"/>
        <v>0</v>
      </c>
      <c r="V243" s="113">
        <f t="shared" si="92"/>
        <v>570.18299999999999</v>
      </c>
      <c r="W243" s="113">
        <f t="shared" si="92"/>
        <v>0</v>
      </c>
      <c r="X243" s="113">
        <f t="shared" si="92"/>
        <v>499.03</v>
      </c>
      <c r="Y243" s="113">
        <f t="shared" si="92"/>
        <v>0</v>
      </c>
      <c r="Z243" s="113">
        <f t="shared" si="92"/>
        <v>734.63</v>
      </c>
      <c r="AA243" s="113">
        <f t="shared" si="92"/>
        <v>0</v>
      </c>
      <c r="AB243" s="113">
        <f t="shared" si="92"/>
        <v>570.17999999999995</v>
      </c>
      <c r="AC243" s="113">
        <f t="shared" si="92"/>
        <v>0</v>
      </c>
      <c r="AD243" s="113">
        <f t="shared" si="92"/>
        <v>406.92</v>
      </c>
      <c r="AE243" s="113">
        <f t="shared" si="92"/>
        <v>0</v>
      </c>
      <c r="AF243" s="29"/>
      <c r="AG243" s="102">
        <f t="shared" si="86"/>
        <v>0</v>
      </c>
    </row>
    <row r="244" spans="1:33" x14ac:dyDescent="0.3">
      <c r="A244" s="115" t="s">
        <v>169</v>
      </c>
      <c r="B244" s="874"/>
      <c r="C244" s="117"/>
      <c r="D244" s="118"/>
      <c r="E244" s="117"/>
      <c r="F244" s="116"/>
      <c r="G244" s="116"/>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29"/>
      <c r="AG244" s="102">
        <f t="shared" si="86"/>
        <v>0</v>
      </c>
    </row>
    <row r="245" spans="1:33" x14ac:dyDescent="0.3">
      <c r="A245" s="128" t="s">
        <v>32</v>
      </c>
      <c r="B245" s="874"/>
      <c r="C245" s="117"/>
      <c r="D245" s="118"/>
      <c r="E245" s="117"/>
      <c r="F245" s="116"/>
      <c r="G245" s="116"/>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29"/>
      <c r="AG245" s="102">
        <f t="shared" si="86"/>
        <v>0</v>
      </c>
    </row>
    <row r="246" spans="1:33" x14ac:dyDescent="0.3">
      <c r="A246" s="115" t="s">
        <v>33</v>
      </c>
      <c r="B246" s="874">
        <f>J246+L246+N246+P246+R246+T246+V246+X246+Z246+AB246+AD246+H246</f>
        <v>7435.5949999999993</v>
      </c>
      <c r="C246" s="117">
        <f>SUM(H246+J246+L246)</f>
        <v>2116.1800000000003</v>
      </c>
      <c r="D246" s="118">
        <f>E246</f>
        <v>1689.2730000000001</v>
      </c>
      <c r="E246" s="117">
        <f>SUM(I246,K246,M246,O246,Q246,S246,U246,W246,Y246,AA246,AC246,AE246)</f>
        <v>1689.2730000000001</v>
      </c>
      <c r="F246" s="116">
        <f>IFERROR(E246/B246*100,0)</f>
        <v>22.718733336067931</v>
      </c>
      <c r="G246" s="116">
        <f>IFERROR(E246/C246*100,0)</f>
        <v>79.826527044013261</v>
      </c>
      <c r="H246" s="111">
        <v>989.09</v>
      </c>
      <c r="I246" s="111">
        <v>458.94</v>
      </c>
      <c r="J246" s="111">
        <v>628.05999999999995</v>
      </c>
      <c r="K246" s="111">
        <v>751.66499999999996</v>
      </c>
      <c r="L246" s="111">
        <v>499.03</v>
      </c>
      <c r="M246" s="111">
        <v>478.66800000000001</v>
      </c>
      <c r="N246" s="111">
        <v>734.63</v>
      </c>
      <c r="O246" s="111"/>
      <c r="P246" s="111">
        <v>570.17999999999995</v>
      </c>
      <c r="Q246" s="111"/>
      <c r="R246" s="111">
        <v>499.03</v>
      </c>
      <c r="S246" s="111"/>
      <c r="T246" s="111">
        <v>734.63199999999995</v>
      </c>
      <c r="U246" s="111"/>
      <c r="V246" s="111">
        <v>570.18299999999999</v>
      </c>
      <c r="W246" s="111"/>
      <c r="X246" s="111">
        <v>499.03</v>
      </c>
      <c r="Y246" s="111"/>
      <c r="Z246" s="111">
        <v>734.63</v>
      </c>
      <c r="AA246" s="111"/>
      <c r="AB246" s="111">
        <v>570.17999999999995</v>
      </c>
      <c r="AC246" s="111"/>
      <c r="AD246" s="111">
        <v>406.92</v>
      </c>
      <c r="AE246" s="111"/>
      <c r="AF246" s="29"/>
      <c r="AG246" s="102">
        <f t="shared" si="86"/>
        <v>0</v>
      </c>
    </row>
    <row r="247" spans="1:33" x14ac:dyDescent="0.3">
      <c r="A247" s="115" t="s">
        <v>170</v>
      </c>
      <c r="B247" s="874"/>
      <c r="C247" s="117"/>
      <c r="D247" s="118"/>
      <c r="E247" s="117"/>
      <c r="F247" s="116"/>
      <c r="G247" s="116"/>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29"/>
      <c r="AG247" s="102">
        <f t="shared" si="86"/>
        <v>0</v>
      </c>
    </row>
    <row r="248" spans="1:33" x14ac:dyDescent="0.3">
      <c r="A248" s="125" t="s">
        <v>210</v>
      </c>
      <c r="B248" s="104"/>
      <c r="C248" s="126"/>
      <c r="D248" s="126"/>
      <c r="E248" s="126"/>
      <c r="F248" s="126"/>
      <c r="G248" s="126"/>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1"/>
      <c r="AG248" s="102">
        <f t="shared" si="86"/>
        <v>0</v>
      </c>
    </row>
    <row r="249" spans="1:33" x14ac:dyDescent="0.3">
      <c r="A249" s="103" t="s">
        <v>31</v>
      </c>
      <c r="B249" s="104">
        <f>B250+B251+B252+B253</f>
        <v>74</v>
      </c>
      <c r="C249" s="104">
        <f>C250+C251+C252+C253</f>
        <v>0</v>
      </c>
      <c r="D249" s="104">
        <f>D250+D251+D252+D253</f>
        <v>0</v>
      </c>
      <c r="E249" s="104">
        <f>E250+E251+E252+E253</f>
        <v>0</v>
      </c>
      <c r="F249" s="107">
        <f>IFERROR(E249/B249*100,0)</f>
        <v>0</v>
      </c>
      <c r="G249" s="107">
        <f>IFERROR(E249/C249*100,0)</f>
        <v>0</v>
      </c>
      <c r="H249" s="104">
        <f t="shared" ref="H249:AE249" si="93">H250+H251+H252+H253</f>
        <v>0</v>
      </c>
      <c r="I249" s="104">
        <f t="shared" si="93"/>
        <v>0</v>
      </c>
      <c r="J249" s="104">
        <f t="shared" si="93"/>
        <v>0</v>
      </c>
      <c r="K249" s="104">
        <f t="shared" si="93"/>
        <v>0</v>
      </c>
      <c r="L249" s="104">
        <f t="shared" si="93"/>
        <v>0</v>
      </c>
      <c r="M249" s="104">
        <f t="shared" si="93"/>
        <v>0</v>
      </c>
      <c r="N249" s="104">
        <f t="shared" si="93"/>
        <v>0</v>
      </c>
      <c r="O249" s="104">
        <f t="shared" si="93"/>
        <v>0</v>
      </c>
      <c r="P249" s="104">
        <f t="shared" si="93"/>
        <v>0</v>
      </c>
      <c r="Q249" s="104">
        <f t="shared" si="93"/>
        <v>0</v>
      </c>
      <c r="R249" s="104">
        <f t="shared" si="93"/>
        <v>0</v>
      </c>
      <c r="S249" s="104">
        <f t="shared" si="93"/>
        <v>0</v>
      </c>
      <c r="T249" s="104">
        <f t="shared" si="93"/>
        <v>0</v>
      </c>
      <c r="U249" s="104">
        <f t="shared" si="93"/>
        <v>0</v>
      </c>
      <c r="V249" s="104">
        <f t="shared" si="93"/>
        <v>0</v>
      </c>
      <c r="W249" s="104">
        <f t="shared" si="93"/>
        <v>0</v>
      </c>
      <c r="X249" s="104">
        <f t="shared" si="93"/>
        <v>74</v>
      </c>
      <c r="Y249" s="104">
        <f t="shared" si="93"/>
        <v>0</v>
      </c>
      <c r="Z249" s="104">
        <f t="shared" si="93"/>
        <v>0</v>
      </c>
      <c r="AA249" s="104">
        <f t="shared" si="93"/>
        <v>0</v>
      </c>
      <c r="AB249" s="104">
        <f t="shared" si="93"/>
        <v>0</v>
      </c>
      <c r="AC249" s="104">
        <f t="shared" si="93"/>
        <v>0</v>
      </c>
      <c r="AD249" s="104">
        <f t="shared" si="93"/>
        <v>0</v>
      </c>
      <c r="AE249" s="104">
        <f t="shared" si="93"/>
        <v>0</v>
      </c>
      <c r="AF249" s="101"/>
      <c r="AG249" s="102">
        <f t="shared" si="86"/>
        <v>0</v>
      </c>
    </row>
    <row r="250" spans="1:33" x14ac:dyDescent="0.3">
      <c r="A250" s="106" t="s">
        <v>169</v>
      </c>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1"/>
      <c r="AG250" s="102">
        <f t="shared" si="86"/>
        <v>0</v>
      </c>
    </row>
    <row r="251" spans="1:33" x14ac:dyDescent="0.3">
      <c r="A251" s="106" t="s">
        <v>32</v>
      </c>
      <c r="B251" s="107">
        <f>B257</f>
        <v>74</v>
      </c>
      <c r="C251" s="107">
        <f>C257</f>
        <v>0</v>
      </c>
      <c r="D251" s="107">
        <f>D257</f>
        <v>0</v>
      </c>
      <c r="E251" s="107">
        <f>E257</f>
        <v>0</v>
      </c>
      <c r="F251" s="107">
        <f>IFERROR(E251/B251*100,0)</f>
        <v>0</v>
      </c>
      <c r="G251" s="107">
        <f>IFERROR(E251/C251*100,0)</f>
        <v>0</v>
      </c>
      <c r="H251" s="107">
        <f t="shared" ref="H251:AE251" si="94">H257</f>
        <v>0</v>
      </c>
      <c r="I251" s="107">
        <f t="shared" si="94"/>
        <v>0</v>
      </c>
      <c r="J251" s="107">
        <f t="shared" si="94"/>
        <v>0</v>
      </c>
      <c r="K251" s="107">
        <f t="shared" si="94"/>
        <v>0</v>
      </c>
      <c r="L251" s="107">
        <f t="shared" si="94"/>
        <v>0</v>
      </c>
      <c r="M251" s="107">
        <f t="shared" si="94"/>
        <v>0</v>
      </c>
      <c r="N251" s="107">
        <f t="shared" si="94"/>
        <v>0</v>
      </c>
      <c r="O251" s="107">
        <f t="shared" si="94"/>
        <v>0</v>
      </c>
      <c r="P251" s="107">
        <f t="shared" si="94"/>
        <v>0</v>
      </c>
      <c r="Q251" s="107">
        <f t="shared" si="94"/>
        <v>0</v>
      </c>
      <c r="R251" s="107">
        <f t="shared" si="94"/>
        <v>0</v>
      </c>
      <c r="S251" s="107">
        <f t="shared" si="94"/>
        <v>0</v>
      </c>
      <c r="T251" s="107">
        <f t="shared" si="94"/>
        <v>0</v>
      </c>
      <c r="U251" s="107">
        <f t="shared" si="94"/>
        <v>0</v>
      </c>
      <c r="V251" s="107">
        <f t="shared" si="94"/>
        <v>0</v>
      </c>
      <c r="W251" s="107">
        <f t="shared" si="94"/>
        <v>0</v>
      </c>
      <c r="X251" s="107">
        <f t="shared" si="94"/>
        <v>74</v>
      </c>
      <c r="Y251" s="107">
        <f t="shared" si="94"/>
        <v>0</v>
      </c>
      <c r="Z251" s="107">
        <f t="shared" si="94"/>
        <v>0</v>
      </c>
      <c r="AA251" s="107">
        <f t="shared" si="94"/>
        <v>0</v>
      </c>
      <c r="AB251" s="107">
        <f t="shared" si="94"/>
        <v>0</v>
      </c>
      <c r="AC251" s="107">
        <f t="shared" si="94"/>
        <v>0</v>
      </c>
      <c r="AD251" s="107">
        <f t="shared" si="94"/>
        <v>0</v>
      </c>
      <c r="AE251" s="107">
        <f t="shared" si="94"/>
        <v>0</v>
      </c>
      <c r="AF251" s="101"/>
      <c r="AG251" s="102">
        <f t="shared" si="86"/>
        <v>0</v>
      </c>
    </row>
    <row r="252" spans="1:33" x14ac:dyDescent="0.3">
      <c r="A252" s="106" t="s">
        <v>33</v>
      </c>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1"/>
      <c r="AG252" s="102">
        <f t="shared" si="86"/>
        <v>0</v>
      </c>
    </row>
    <row r="253" spans="1:33" x14ac:dyDescent="0.3">
      <c r="A253" s="106" t="s">
        <v>170</v>
      </c>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1"/>
      <c r="AG253" s="102">
        <f t="shared" si="86"/>
        <v>0</v>
      </c>
    </row>
    <row r="254" spans="1:33" ht="93.75" x14ac:dyDescent="0.3">
      <c r="A254" s="123" t="s">
        <v>211</v>
      </c>
      <c r="B254" s="116"/>
      <c r="C254" s="124"/>
      <c r="D254" s="124"/>
      <c r="E254" s="124"/>
      <c r="F254" s="124"/>
      <c r="G254" s="124"/>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29"/>
      <c r="AG254" s="102">
        <f t="shared" si="86"/>
        <v>0</v>
      </c>
    </row>
    <row r="255" spans="1:33" x14ac:dyDescent="0.3">
      <c r="A255" s="112" t="s">
        <v>31</v>
      </c>
      <c r="B255" s="872">
        <f>B257+B258+B256+B259</f>
        <v>74</v>
      </c>
      <c r="C255" s="872">
        <f>C257+C258+C256+C259</f>
        <v>0</v>
      </c>
      <c r="D255" s="872">
        <f>D257+D258+D256+D259</f>
        <v>0</v>
      </c>
      <c r="E255" s="113">
        <f>E257+E258+E256+E259</f>
        <v>0</v>
      </c>
      <c r="F255" s="113">
        <f>IFERROR(E255/B255*100,0)</f>
        <v>0</v>
      </c>
      <c r="G255" s="113">
        <f>IFERROR(E255/C255*100,0)</f>
        <v>0</v>
      </c>
      <c r="H255" s="113">
        <f t="shared" ref="H255:AE255" si="95">H257+H258+H256+H259</f>
        <v>0</v>
      </c>
      <c r="I255" s="113">
        <f t="shared" si="95"/>
        <v>0</v>
      </c>
      <c r="J255" s="113">
        <f t="shared" si="95"/>
        <v>0</v>
      </c>
      <c r="K255" s="113">
        <f t="shared" si="95"/>
        <v>0</v>
      </c>
      <c r="L255" s="113">
        <f t="shared" si="95"/>
        <v>0</v>
      </c>
      <c r="M255" s="113">
        <f t="shared" si="95"/>
        <v>0</v>
      </c>
      <c r="N255" s="113">
        <f t="shared" si="95"/>
        <v>0</v>
      </c>
      <c r="O255" s="113">
        <f t="shared" si="95"/>
        <v>0</v>
      </c>
      <c r="P255" s="113">
        <f t="shared" si="95"/>
        <v>0</v>
      </c>
      <c r="Q255" s="113">
        <f t="shared" si="95"/>
        <v>0</v>
      </c>
      <c r="R255" s="113">
        <f t="shared" si="95"/>
        <v>0</v>
      </c>
      <c r="S255" s="113">
        <f t="shared" si="95"/>
        <v>0</v>
      </c>
      <c r="T255" s="113">
        <f t="shared" si="95"/>
        <v>0</v>
      </c>
      <c r="U255" s="113">
        <f t="shared" si="95"/>
        <v>0</v>
      </c>
      <c r="V255" s="113">
        <f t="shared" si="95"/>
        <v>0</v>
      </c>
      <c r="W255" s="113">
        <f t="shared" si="95"/>
        <v>0</v>
      </c>
      <c r="X255" s="113">
        <f t="shared" si="95"/>
        <v>74</v>
      </c>
      <c r="Y255" s="113">
        <f t="shared" si="95"/>
        <v>0</v>
      </c>
      <c r="Z255" s="113">
        <f t="shared" si="95"/>
        <v>0</v>
      </c>
      <c r="AA255" s="113">
        <f t="shared" si="95"/>
        <v>0</v>
      </c>
      <c r="AB255" s="113">
        <f t="shared" si="95"/>
        <v>0</v>
      </c>
      <c r="AC255" s="113">
        <f t="shared" si="95"/>
        <v>0</v>
      </c>
      <c r="AD255" s="113">
        <f t="shared" si="95"/>
        <v>0</v>
      </c>
      <c r="AE255" s="113">
        <f t="shared" si="95"/>
        <v>0</v>
      </c>
      <c r="AF255" s="29"/>
      <c r="AG255" s="102">
        <f t="shared" si="86"/>
        <v>0</v>
      </c>
    </row>
    <row r="256" spans="1:33" x14ac:dyDescent="0.3">
      <c r="A256" s="115" t="s">
        <v>169</v>
      </c>
      <c r="B256" s="116"/>
      <c r="C256" s="117"/>
      <c r="D256" s="118"/>
      <c r="E256" s="117"/>
      <c r="F256" s="116"/>
      <c r="G256" s="116"/>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29"/>
      <c r="AG256" s="102">
        <f t="shared" si="86"/>
        <v>0</v>
      </c>
    </row>
    <row r="257" spans="1:33" x14ac:dyDescent="0.3">
      <c r="A257" s="128" t="s">
        <v>32</v>
      </c>
      <c r="B257" s="116">
        <f>J257+L257+N257+P257+R257+T257+V257+X257+Z257+AB257+AD257+H257</f>
        <v>74</v>
      </c>
      <c r="C257" s="117">
        <f>SUM(H257)</f>
        <v>0</v>
      </c>
      <c r="D257" s="118">
        <f>E257</f>
        <v>0</v>
      </c>
      <c r="E257" s="117">
        <f>SUM(I257,K257,M257,O257,Q257,S257,U257,W257,Y257,AA257,AC257,AE257)</f>
        <v>0</v>
      </c>
      <c r="F257" s="116">
        <f>IFERROR(E257/B257*100,0)</f>
        <v>0</v>
      </c>
      <c r="G257" s="116">
        <f>IFERROR(E257/C257*100,0)</f>
        <v>0</v>
      </c>
      <c r="H257" s="111">
        <v>0</v>
      </c>
      <c r="I257" s="111">
        <v>0</v>
      </c>
      <c r="J257" s="111">
        <v>0</v>
      </c>
      <c r="K257" s="111">
        <v>0</v>
      </c>
      <c r="L257" s="111">
        <v>0</v>
      </c>
      <c r="M257" s="111">
        <v>0</v>
      </c>
      <c r="N257" s="111">
        <v>0</v>
      </c>
      <c r="O257" s="111">
        <v>0</v>
      </c>
      <c r="P257" s="111"/>
      <c r="Q257" s="111"/>
      <c r="R257" s="111"/>
      <c r="S257" s="111"/>
      <c r="T257" s="111"/>
      <c r="U257" s="111"/>
      <c r="V257" s="111"/>
      <c r="W257" s="111"/>
      <c r="X257" s="111">
        <v>74</v>
      </c>
      <c r="Y257" s="111"/>
      <c r="Z257" s="111">
        <v>0</v>
      </c>
      <c r="AA257" s="111"/>
      <c r="AB257" s="111">
        <v>0</v>
      </c>
      <c r="AC257" s="111"/>
      <c r="AD257" s="111">
        <v>0</v>
      </c>
      <c r="AE257" s="111"/>
      <c r="AF257" s="29"/>
      <c r="AG257" s="102">
        <f t="shared" si="86"/>
        <v>0</v>
      </c>
    </row>
    <row r="258" spans="1:33" x14ac:dyDescent="0.3">
      <c r="A258" s="115" t="s">
        <v>33</v>
      </c>
      <c r="B258" s="116"/>
      <c r="C258" s="117"/>
      <c r="D258" s="118"/>
      <c r="E258" s="117"/>
      <c r="F258" s="116"/>
      <c r="G258" s="116"/>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29"/>
      <c r="AG258" s="102">
        <f t="shared" si="86"/>
        <v>0</v>
      </c>
    </row>
    <row r="259" spans="1:33" x14ac:dyDescent="0.3">
      <c r="A259" s="115" t="s">
        <v>170</v>
      </c>
      <c r="B259" s="116"/>
      <c r="C259" s="117"/>
      <c r="D259" s="118"/>
      <c r="E259" s="117"/>
      <c r="F259" s="116"/>
      <c r="G259" s="116"/>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29"/>
      <c r="AG259" s="102">
        <f t="shared" si="86"/>
        <v>0</v>
      </c>
    </row>
    <row r="260" spans="1:33" ht="61.5" customHeight="1" x14ac:dyDescent="0.3">
      <c r="A260" s="125" t="s">
        <v>212</v>
      </c>
      <c r="B260" s="107"/>
      <c r="C260" s="137"/>
      <c r="D260" s="137"/>
      <c r="E260" s="137"/>
      <c r="F260" s="137"/>
      <c r="G260" s="137"/>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793" t="s">
        <v>490</v>
      </c>
      <c r="AG260" s="102">
        <f t="shared" si="86"/>
        <v>0</v>
      </c>
    </row>
    <row r="261" spans="1:33" x14ac:dyDescent="0.3">
      <c r="A261" s="103" t="s">
        <v>31</v>
      </c>
      <c r="B261" s="880">
        <f>B263+B264+B262+B265</f>
        <v>54872.995999999999</v>
      </c>
      <c r="C261" s="104">
        <f>C263+C264+C262+C265</f>
        <v>12042.89</v>
      </c>
      <c r="D261" s="104">
        <f>D263+D264+D262+D265</f>
        <v>12181.33</v>
      </c>
      <c r="E261" s="104">
        <f>E263+E264+E262+E265</f>
        <v>12181.33</v>
      </c>
      <c r="F261" s="104">
        <f>IFERROR(E261/B261*100,0)</f>
        <v>22.199134160635225</v>
      </c>
      <c r="G261" s="104">
        <f>IFERROR(E261/C261*100,0)</f>
        <v>101.14955795494271</v>
      </c>
      <c r="H261" s="104">
        <f t="shared" ref="H261:AE261" si="96">H263+H264+H262+H265</f>
        <v>2814.28</v>
      </c>
      <c r="I261" s="104">
        <f t="shared" si="96"/>
        <v>1088.49</v>
      </c>
      <c r="J261" s="104">
        <f t="shared" si="96"/>
        <v>4509.2539999999999</v>
      </c>
      <c r="K261" s="104">
        <f t="shared" si="96"/>
        <v>4107.49</v>
      </c>
      <c r="L261" s="104">
        <f t="shared" si="96"/>
        <v>4719.3559999999998</v>
      </c>
      <c r="M261" s="104">
        <f t="shared" si="96"/>
        <v>3260.3560000000002</v>
      </c>
      <c r="N261" s="104">
        <f t="shared" si="96"/>
        <v>4703.576</v>
      </c>
      <c r="O261" s="104">
        <f t="shared" si="96"/>
        <v>3724.9940000000001</v>
      </c>
      <c r="P261" s="104">
        <f t="shared" si="96"/>
        <v>4769.7700000000004</v>
      </c>
      <c r="Q261" s="104">
        <f t="shared" si="96"/>
        <v>0</v>
      </c>
      <c r="R261" s="104">
        <f t="shared" si="96"/>
        <v>4789.62</v>
      </c>
      <c r="S261" s="104">
        <f t="shared" si="96"/>
        <v>0</v>
      </c>
      <c r="T261" s="104">
        <f t="shared" si="96"/>
        <v>4478.22</v>
      </c>
      <c r="U261" s="104">
        <f t="shared" si="96"/>
        <v>0</v>
      </c>
      <c r="V261" s="104">
        <f t="shared" si="96"/>
        <v>4478.24</v>
      </c>
      <c r="W261" s="104">
        <f t="shared" si="96"/>
        <v>0</v>
      </c>
      <c r="X261" s="104">
        <f t="shared" si="96"/>
        <v>4478.22</v>
      </c>
      <c r="Y261" s="104">
        <f t="shared" si="96"/>
        <v>0</v>
      </c>
      <c r="Z261" s="104">
        <f t="shared" si="96"/>
        <v>4507.76</v>
      </c>
      <c r="AA261" s="104">
        <f t="shared" si="96"/>
        <v>0</v>
      </c>
      <c r="AB261" s="104">
        <f t="shared" si="96"/>
        <v>4829.21</v>
      </c>
      <c r="AC261" s="104">
        <f t="shared" si="96"/>
        <v>0</v>
      </c>
      <c r="AD261" s="104">
        <f t="shared" si="96"/>
        <v>5795.49</v>
      </c>
      <c r="AE261" s="104">
        <f t="shared" si="96"/>
        <v>0</v>
      </c>
      <c r="AF261" s="143"/>
      <c r="AG261" s="102">
        <f t="shared" si="86"/>
        <v>-8.1854523159563541E-12</v>
      </c>
    </row>
    <row r="262" spans="1:33" x14ac:dyDescent="0.3">
      <c r="A262" s="106" t="s">
        <v>169</v>
      </c>
      <c r="B262" s="107"/>
      <c r="C262" s="107"/>
      <c r="D262" s="107"/>
      <c r="E262" s="107"/>
      <c r="F262" s="107"/>
      <c r="G262" s="107"/>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3"/>
      <c r="AG262" s="102">
        <f t="shared" si="86"/>
        <v>0</v>
      </c>
    </row>
    <row r="263" spans="1:33" x14ac:dyDescent="0.3">
      <c r="A263" s="106" t="s">
        <v>32</v>
      </c>
      <c r="B263" s="107"/>
      <c r="C263" s="107"/>
      <c r="D263" s="107"/>
      <c r="E263" s="107"/>
      <c r="F263" s="107"/>
      <c r="G263" s="107"/>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3"/>
      <c r="AG263" s="102">
        <f t="shared" si="86"/>
        <v>0</v>
      </c>
    </row>
    <row r="264" spans="1:33" x14ac:dyDescent="0.3">
      <c r="A264" s="106" t="s">
        <v>33</v>
      </c>
      <c r="B264" s="107">
        <f>J264+L264+N264+P264+R264+T264+V264+X264+Z264+AB264+AD264+H264</f>
        <v>54872.995999999999</v>
      </c>
      <c r="C264" s="107">
        <f>SUM(H264+J264+L264)</f>
        <v>12042.89</v>
      </c>
      <c r="D264" s="107">
        <f>E264</f>
        <v>12181.33</v>
      </c>
      <c r="E264" s="107">
        <f>SUM(I264,K264,M264,O264,Q264,S264,U264,W264,Y264,AA264,AC264,AE264)</f>
        <v>12181.33</v>
      </c>
      <c r="F264" s="107">
        <f>IFERROR(E264/B264*100,0)</f>
        <v>22.199134160635225</v>
      </c>
      <c r="G264" s="107">
        <f>IFERROR(E264/C264*100,0)</f>
        <v>101.14955795494271</v>
      </c>
      <c r="H264" s="142">
        <v>2814.28</v>
      </c>
      <c r="I264" s="142">
        <v>1088.49</v>
      </c>
      <c r="J264" s="142">
        <v>4509.2539999999999</v>
      </c>
      <c r="K264" s="142">
        <v>4107.49</v>
      </c>
      <c r="L264" s="142">
        <v>4719.3559999999998</v>
      </c>
      <c r="M264" s="142">
        <v>3260.3560000000002</v>
      </c>
      <c r="N264" s="142">
        <v>4703.576</v>
      </c>
      <c r="O264" s="142">
        <v>3724.9940000000001</v>
      </c>
      <c r="P264" s="142">
        <v>4769.7700000000004</v>
      </c>
      <c r="Q264" s="142"/>
      <c r="R264" s="142">
        <v>4789.62</v>
      </c>
      <c r="S264" s="142"/>
      <c r="T264" s="142">
        <v>4478.22</v>
      </c>
      <c r="U264" s="142"/>
      <c r="V264" s="142">
        <v>4478.24</v>
      </c>
      <c r="W264" s="142"/>
      <c r="X264" s="142">
        <v>4478.22</v>
      </c>
      <c r="Y264" s="142"/>
      <c r="Z264" s="142">
        <v>4507.76</v>
      </c>
      <c r="AA264" s="142"/>
      <c r="AB264" s="142">
        <v>4829.21</v>
      </c>
      <c r="AC264" s="142"/>
      <c r="AD264" s="142">
        <v>5795.49</v>
      </c>
      <c r="AE264" s="142"/>
      <c r="AF264" s="143"/>
      <c r="AG264" s="102">
        <f t="shared" si="86"/>
        <v>-8.1854523159563541E-12</v>
      </c>
    </row>
    <row r="265" spans="1:33" x14ac:dyDescent="0.3">
      <c r="A265" s="106" t="s">
        <v>170</v>
      </c>
      <c r="B265" s="107"/>
      <c r="C265" s="107"/>
      <c r="D265" s="107"/>
      <c r="E265" s="107"/>
      <c r="F265" s="107"/>
      <c r="G265" s="107"/>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3"/>
      <c r="AG265" s="102">
        <f t="shared" si="86"/>
        <v>0</v>
      </c>
    </row>
    <row r="266" spans="1:33" x14ac:dyDescent="0.3">
      <c r="A266" s="908" t="s">
        <v>213</v>
      </c>
      <c r="B266" s="909"/>
      <c r="C266" s="909"/>
      <c r="D266" s="909"/>
      <c r="E266" s="909"/>
      <c r="F266" s="909"/>
      <c r="G266" s="909"/>
      <c r="H266" s="909"/>
      <c r="I266" s="909"/>
      <c r="J266" s="909"/>
      <c r="K266" s="909"/>
      <c r="L266" s="909"/>
      <c r="M266" s="909"/>
      <c r="N266" s="909"/>
      <c r="O266" s="909"/>
      <c r="P266" s="909"/>
      <c r="Q266" s="909"/>
      <c r="R266" s="909"/>
      <c r="S266" s="909"/>
      <c r="T266" s="909"/>
      <c r="U266" s="909"/>
      <c r="V266" s="909"/>
      <c r="W266" s="909"/>
      <c r="X266" s="909"/>
      <c r="Y266" s="909"/>
      <c r="Z266" s="909"/>
      <c r="AA266" s="909"/>
      <c r="AB266" s="909"/>
      <c r="AC266" s="909"/>
      <c r="AD266" s="909"/>
      <c r="AE266" s="909"/>
      <c r="AF266" s="910"/>
      <c r="AG266" s="102">
        <f t="shared" si="86"/>
        <v>0</v>
      </c>
    </row>
    <row r="267" spans="1:33" x14ac:dyDescent="0.3">
      <c r="A267" s="908" t="s">
        <v>54</v>
      </c>
      <c r="B267" s="909"/>
      <c r="C267" s="909"/>
      <c r="D267" s="909"/>
      <c r="E267" s="909"/>
      <c r="F267" s="909"/>
      <c r="G267" s="909"/>
      <c r="H267" s="909"/>
      <c r="I267" s="909"/>
      <c r="J267" s="909"/>
      <c r="K267" s="909"/>
      <c r="L267" s="909"/>
      <c r="M267" s="909"/>
      <c r="N267" s="909"/>
      <c r="O267" s="909"/>
      <c r="P267" s="909"/>
      <c r="Q267" s="909"/>
      <c r="R267" s="909"/>
      <c r="S267" s="909"/>
      <c r="T267" s="909"/>
      <c r="U267" s="909"/>
      <c r="V267" s="909"/>
      <c r="W267" s="909"/>
      <c r="X267" s="909"/>
      <c r="Y267" s="909"/>
      <c r="Z267" s="909"/>
      <c r="AA267" s="909"/>
      <c r="AB267" s="909"/>
      <c r="AC267" s="909"/>
      <c r="AD267" s="909"/>
      <c r="AE267" s="909"/>
      <c r="AF267" s="910"/>
      <c r="AG267" s="102">
        <f t="shared" si="86"/>
        <v>0</v>
      </c>
    </row>
    <row r="268" spans="1:33" ht="37.5" x14ac:dyDescent="0.3">
      <c r="A268" s="98" t="s">
        <v>214</v>
      </c>
      <c r="B268" s="144"/>
      <c r="C268" s="145"/>
      <c r="D268" s="145"/>
      <c r="E268" s="145"/>
      <c r="F268" s="145"/>
      <c r="G268" s="145"/>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01"/>
      <c r="AG268" s="102">
        <f t="shared" si="86"/>
        <v>0</v>
      </c>
    </row>
    <row r="269" spans="1:33" x14ac:dyDescent="0.3">
      <c r="A269" s="146" t="s">
        <v>31</v>
      </c>
      <c r="B269" s="104">
        <f>B270+B271+B272+B273</f>
        <v>5915.4</v>
      </c>
      <c r="C269" s="104">
        <f>C270+C271+C272+C273</f>
        <v>3318.6400000000003</v>
      </c>
      <c r="D269" s="104">
        <f>D270+D271+D272+D273</f>
        <v>3112.6149999999998</v>
      </c>
      <c r="E269" s="104">
        <f>E270+E271+E272+E273</f>
        <v>3112.6149999999998</v>
      </c>
      <c r="F269" s="107">
        <f>IFERROR(E269/B269*100,0)</f>
        <v>52.618842343713027</v>
      </c>
      <c r="G269" s="107">
        <f>IFERROR(E269/C269*100,0)</f>
        <v>93.791884627437724</v>
      </c>
      <c r="H269" s="104">
        <f t="shared" ref="H269:AE269" si="97">H270+H271+H272+H273</f>
        <v>0</v>
      </c>
      <c r="I269" s="104">
        <f t="shared" si="97"/>
        <v>0</v>
      </c>
      <c r="J269" s="104">
        <f t="shared" si="97"/>
        <v>2608.4</v>
      </c>
      <c r="K269" s="104">
        <f t="shared" si="97"/>
        <v>2571.3150000000001</v>
      </c>
      <c r="L269" s="104">
        <f t="shared" si="97"/>
        <v>710.24</v>
      </c>
      <c r="M269" s="104">
        <f t="shared" si="97"/>
        <v>435.7</v>
      </c>
      <c r="N269" s="104">
        <f t="shared" si="97"/>
        <v>151.56</v>
      </c>
      <c r="O269" s="104">
        <f t="shared" si="97"/>
        <v>105.6</v>
      </c>
      <c r="P269" s="104">
        <f t="shared" si="97"/>
        <v>35.799999999999997</v>
      </c>
      <c r="Q269" s="104">
        <f t="shared" si="97"/>
        <v>0</v>
      </c>
      <c r="R269" s="104">
        <f t="shared" si="97"/>
        <v>55.4</v>
      </c>
      <c r="S269" s="104">
        <f t="shared" si="97"/>
        <v>0</v>
      </c>
      <c r="T269" s="104">
        <f t="shared" si="97"/>
        <v>0</v>
      </c>
      <c r="U269" s="104">
        <f t="shared" si="97"/>
        <v>0</v>
      </c>
      <c r="V269" s="104">
        <f t="shared" si="97"/>
        <v>0</v>
      </c>
      <c r="W269" s="104">
        <f t="shared" si="97"/>
        <v>0</v>
      </c>
      <c r="X269" s="104">
        <f t="shared" si="97"/>
        <v>55.4</v>
      </c>
      <c r="Y269" s="104">
        <f t="shared" si="97"/>
        <v>0</v>
      </c>
      <c r="Z269" s="104">
        <f t="shared" si="97"/>
        <v>2266.6999999999998</v>
      </c>
      <c r="AA269" s="104">
        <f t="shared" si="97"/>
        <v>0</v>
      </c>
      <c r="AB269" s="104">
        <f t="shared" si="97"/>
        <v>23.7</v>
      </c>
      <c r="AC269" s="104">
        <f t="shared" si="97"/>
        <v>0</v>
      </c>
      <c r="AD269" s="104">
        <f t="shared" si="97"/>
        <v>8.1999999999999993</v>
      </c>
      <c r="AE269" s="104">
        <f t="shared" si="97"/>
        <v>0</v>
      </c>
      <c r="AF269" s="101"/>
      <c r="AG269" s="102">
        <f t="shared" si="86"/>
        <v>-8.1712414612411521E-13</v>
      </c>
    </row>
    <row r="270" spans="1:33" x14ac:dyDescent="0.3">
      <c r="A270" s="147" t="s">
        <v>169</v>
      </c>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1"/>
      <c r="AG270" s="102">
        <f t="shared" si="86"/>
        <v>0</v>
      </c>
    </row>
    <row r="271" spans="1:33" x14ac:dyDescent="0.3">
      <c r="A271" s="147" t="s">
        <v>32</v>
      </c>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1"/>
      <c r="AG271" s="102">
        <f t="shared" si="86"/>
        <v>0</v>
      </c>
    </row>
    <row r="272" spans="1:33" x14ac:dyDescent="0.3">
      <c r="A272" s="147" t="s">
        <v>33</v>
      </c>
      <c r="B272" s="107">
        <f>B278+B284</f>
        <v>5915.4</v>
      </c>
      <c r="C272" s="107">
        <f t="shared" ref="C272:E272" si="98">C278+C284</f>
        <v>3318.6400000000003</v>
      </c>
      <c r="D272" s="107">
        <f t="shared" si="98"/>
        <v>3112.6149999999998</v>
      </c>
      <c r="E272" s="107">
        <f t="shared" si="98"/>
        <v>3112.6149999999998</v>
      </c>
      <c r="F272" s="107">
        <f>IFERROR(E272/B272*100,0)</f>
        <v>52.618842343713027</v>
      </c>
      <c r="G272" s="107">
        <f>IFERROR(E272/C272*100,0)</f>
        <v>93.791884627437724</v>
      </c>
      <c r="H272" s="107">
        <f t="shared" ref="H272:AE272" si="99">H278+H284</f>
        <v>0</v>
      </c>
      <c r="I272" s="107">
        <f t="shared" si="99"/>
        <v>0</v>
      </c>
      <c r="J272" s="107">
        <f t="shared" si="99"/>
        <v>2608.4</v>
      </c>
      <c r="K272" s="107">
        <f t="shared" si="99"/>
        <v>2571.3150000000001</v>
      </c>
      <c r="L272" s="107">
        <f t="shared" si="99"/>
        <v>710.24</v>
      </c>
      <c r="M272" s="107">
        <f t="shared" si="99"/>
        <v>435.7</v>
      </c>
      <c r="N272" s="107">
        <f t="shared" si="99"/>
        <v>151.56</v>
      </c>
      <c r="O272" s="107">
        <f t="shared" si="99"/>
        <v>105.6</v>
      </c>
      <c r="P272" s="107">
        <f t="shared" si="99"/>
        <v>35.799999999999997</v>
      </c>
      <c r="Q272" s="107">
        <f t="shared" si="99"/>
        <v>0</v>
      </c>
      <c r="R272" s="107">
        <f t="shared" si="99"/>
        <v>55.4</v>
      </c>
      <c r="S272" s="107">
        <f t="shared" si="99"/>
        <v>0</v>
      </c>
      <c r="T272" s="107">
        <f t="shared" si="99"/>
        <v>0</v>
      </c>
      <c r="U272" s="107">
        <f t="shared" si="99"/>
        <v>0</v>
      </c>
      <c r="V272" s="107">
        <f t="shared" si="99"/>
        <v>0</v>
      </c>
      <c r="W272" s="107">
        <f t="shared" si="99"/>
        <v>0</v>
      </c>
      <c r="X272" s="107">
        <f t="shared" si="99"/>
        <v>55.4</v>
      </c>
      <c r="Y272" s="107">
        <f t="shared" si="99"/>
        <v>0</v>
      </c>
      <c r="Z272" s="107">
        <f t="shared" si="99"/>
        <v>2266.6999999999998</v>
      </c>
      <c r="AA272" s="107">
        <f t="shared" si="99"/>
        <v>0</v>
      </c>
      <c r="AB272" s="107">
        <f t="shared" si="99"/>
        <v>23.7</v>
      </c>
      <c r="AC272" s="107">
        <f t="shared" si="99"/>
        <v>0</v>
      </c>
      <c r="AD272" s="107">
        <f t="shared" si="99"/>
        <v>8.1999999999999993</v>
      </c>
      <c r="AE272" s="107">
        <f t="shared" si="99"/>
        <v>0</v>
      </c>
      <c r="AF272" s="101"/>
      <c r="AG272" s="102">
        <f t="shared" si="86"/>
        <v>-8.1712414612411521E-13</v>
      </c>
    </row>
    <row r="273" spans="1:33" x14ac:dyDescent="0.3">
      <c r="A273" s="147" t="s">
        <v>170</v>
      </c>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1"/>
      <c r="AG273" s="102">
        <f t="shared" si="86"/>
        <v>0</v>
      </c>
    </row>
    <row r="274" spans="1:33" ht="30.75" customHeight="1" x14ac:dyDescent="0.3">
      <c r="A274" s="88" t="s">
        <v>215</v>
      </c>
      <c r="B274" s="874"/>
      <c r="C274" s="879"/>
      <c r="D274" s="124"/>
      <c r="E274" s="124"/>
      <c r="F274" s="124"/>
      <c r="G274" s="124"/>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792" t="s">
        <v>618</v>
      </c>
      <c r="AG274" s="102">
        <f t="shared" si="86"/>
        <v>0</v>
      </c>
    </row>
    <row r="275" spans="1:33" x14ac:dyDescent="0.3">
      <c r="A275" s="11" t="s">
        <v>31</v>
      </c>
      <c r="B275" s="872">
        <f>B277+B278+B276+B279</f>
        <v>3648.7000000000003</v>
      </c>
      <c r="C275" s="872">
        <f>C277+C278+C276+C279</f>
        <v>3318.6400000000003</v>
      </c>
      <c r="D275" s="113">
        <f>D277+D278+D276+D279</f>
        <v>3112.6149999999998</v>
      </c>
      <c r="E275" s="113">
        <f>E277+E278+E276+E279</f>
        <v>3112.6149999999998</v>
      </c>
      <c r="F275" s="113">
        <f>IFERROR(E275/B275*100,0)</f>
        <v>85.307506783237855</v>
      </c>
      <c r="G275" s="113">
        <f>IFERROR(E275/C275*100,0)</f>
        <v>93.791884627437724</v>
      </c>
      <c r="H275" s="113">
        <f t="shared" ref="H275:AE275" si="100">H277+H278+H276+H279</f>
        <v>0</v>
      </c>
      <c r="I275" s="113">
        <f t="shared" si="100"/>
        <v>0</v>
      </c>
      <c r="J275" s="113">
        <f t="shared" si="100"/>
        <v>2608.4</v>
      </c>
      <c r="K275" s="113">
        <f t="shared" si="100"/>
        <v>2571.3150000000001</v>
      </c>
      <c r="L275" s="113">
        <f t="shared" si="100"/>
        <v>710.24</v>
      </c>
      <c r="M275" s="113">
        <f t="shared" si="100"/>
        <v>435.7</v>
      </c>
      <c r="N275" s="113">
        <f t="shared" si="100"/>
        <v>151.56</v>
      </c>
      <c r="O275" s="113">
        <f t="shared" si="100"/>
        <v>105.6</v>
      </c>
      <c r="P275" s="113">
        <f t="shared" si="100"/>
        <v>35.799999999999997</v>
      </c>
      <c r="Q275" s="113">
        <f t="shared" si="100"/>
        <v>0</v>
      </c>
      <c r="R275" s="113">
        <f t="shared" si="100"/>
        <v>55.4</v>
      </c>
      <c r="S275" s="113">
        <f t="shared" si="100"/>
        <v>0</v>
      </c>
      <c r="T275" s="113">
        <f t="shared" si="100"/>
        <v>0</v>
      </c>
      <c r="U275" s="113">
        <f t="shared" si="100"/>
        <v>0</v>
      </c>
      <c r="V275" s="113">
        <f t="shared" si="100"/>
        <v>0</v>
      </c>
      <c r="W275" s="113">
        <f t="shared" si="100"/>
        <v>0</v>
      </c>
      <c r="X275" s="113">
        <f t="shared" si="100"/>
        <v>55.4</v>
      </c>
      <c r="Y275" s="113">
        <f t="shared" si="100"/>
        <v>0</v>
      </c>
      <c r="Z275" s="113">
        <f t="shared" si="100"/>
        <v>0</v>
      </c>
      <c r="AA275" s="113">
        <f t="shared" si="100"/>
        <v>0</v>
      </c>
      <c r="AB275" s="113">
        <f t="shared" si="100"/>
        <v>23.7</v>
      </c>
      <c r="AC275" s="113">
        <f t="shared" si="100"/>
        <v>0</v>
      </c>
      <c r="AD275" s="113">
        <f t="shared" si="100"/>
        <v>8.1999999999999993</v>
      </c>
      <c r="AE275" s="113">
        <f t="shared" si="100"/>
        <v>0</v>
      </c>
      <c r="AF275" s="29"/>
      <c r="AG275" s="102">
        <f t="shared" si="86"/>
        <v>1.5631940186722204E-13</v>
      </c>
    </row>
    <row r="276" spans="1:33" x14ac:dyDescent="0.3">
      <c r="A276" s="7" t="s">
        <v>169</v>
      </c>
      <c r="B276" s="874"/>
      <c r="C276" s="875"/>
      <c r="D276" s="118"/>
      <c r="E276" s="117"/>
      <c r="F276" s="116"/>
      <c r="G276" s="116"/>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29"/>
      <c r="AG276" s="102">
        <f t="shared" si="86"/>
        <v>0</v>
      </c>
    </row>
    <row r="277" spans="1:33" x14ac:dyDescent="0.3">
      <c r="A277" s="148" t="s">
        <v>32</v>
      </c>
      <c r="B277" s="874"/>
      <c r="C277" s="875"/>
      <c r="D277" s="118"/>
      <c r="E277" s="117"/>
      <c r="F277" s="116"/>
      <c r="G277" s="116"/>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29"/>
      <c r="AG277" s="102">
        <f t="shared" si="86"/>
        <v>0</v>
      </c>
    </row>
    <row r="278" spans="1:33" x14ac:dyDescent="0.3">
      <c r="A278" s="148" t="s">
        <v>33</v>
      </c>
      <c r="B278" s="874">
        <f>J278+L278+N278+P278+R278+T278+V278+X278+Z278+AB278+AD278+H278</f>
        <v>3648.7000000000003</v>
      </c>
      <c r="C278" s="875">
        <f>SUM(H278+J278+L278)</f>
        <v>3318.6400000000003</v>
      </c>
      <c r="D278" s="118">
        <f>E278</f>
        <v>3112.6149999999998</v>
      </c>
      <c r="E278" s="117">
        <f>SUM(I278,K278,M278,O278,Q278,S278,U278,W278,Y278,AA278,AC278,AE278)</f>
        <v>3112.6149999999998</v>
      </c>
      <c r="F278" s="116">
        <f>IFERROR(E278/B278*100,0)</f>
        <v>85.307506783237855</v>
      </c>
      <c r="G278" s="116">
        <f>IFERROR(E278/C278*100,0)</f>
        <v>93.791884627437724</v>
      </c>
      <c r="H278" s="111">
        <v>0</v>
      </c>
      <c r="I278" s="111">
        <v>0</v>
      </c>
      <c r="J278" s="111">
        <v>2608.4</v>
      </c>
      <c r="K278" s="111">
        <v>2571.3150000000001</v>
      </c>
      <c r="L278" s="111">
        <v>710.24</v>
      </c>
      <c r="M278" s="111">
        <v>435.7</v>
      </c>
      <c r="N278" s="111">
        <v>151.56</v>
      </c>
      <c r="O278" s="111">
        <v>105.6</v>
      </c>
      <c r="P278" s="111">
        <v>35.799999999999997</v>
      </c>
      <c r="Q278" s="111"/>
      <c r="R278" s="111">
        <v>55.4</v>
      </c>
      <c r="S278" s="111"/>
      <c r="T278" s="111"/>
      <c r="U278" s="111"/>
      <c r="V278" s="111"/>
      <c r="W278" s="111"/>
      <c r="X278" s="111">
        <v>55.4</v>
      </c>
      <c r="Y278" s="111"/>
      <c r="Z278" s="111"/>
      <c r="AA278" s="111"/>
      <c r="AB278" s="111">
        <v>23.7</v>
      </c>
      <c r="AC278" s="111"/>
      <c r="AD278" s="111">
        <v>8.1999999999999993</v>
      </c>
      <c r="AE278" s="111"/>
      <c r="AF278" s="29"/>
      <c r="AG278" s="102">
        <f t="shared" si="86"/>
        <v>1.5631940186722204E-13</v>
      </c>
    </row>
    <row r="279" spans="1:33" x14ac:dyDescent="0.3">
      <c r="A279" s="7" t="s">
        <v>170</v>
      </c>
      <c r="B279" s="874"/>
      <c r="C279" s="875"/>
      <c r="D279" s="118"/>
      <c r="E279" s="117"/>
      <c r="F279" s="116"/>
      <c r="G279" s="116"/>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29"/>
      <c r="AG279" s="102">
        <f t="shared" si="86"/>
        <v>0</v>
      </c>
    </row>
    <row r="280" spans="1:33" ht="41.25" customHeight="1" x14ac:dyDescent="0.3">
      <c r="A280" s="88" t="s">
        <v>216</v>
      </c>
      <c r="B280" s="874"/>
      <c r="C280" s="879"/>
      <c r="D280" s="124"/>
      <c r="E280" s="124"/>
      <c r="F280" s="124"/>
      <c r="G280" s="124"/>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29"/>
      <c r="AG280" s="102">
        <f t="shared" ref="AG280:AG307" si="101">B280-H280-J280-L280-N280-P280-R280-T280-V280-X280-Z280-AB280-AD280</f>
        <v>0</v>
      </c>
    </row>
    <row r="281" spans="1:33" x14ac:dyDescent="0.3">
      <c r="A281" s="11" t="s">
        <v>31</v>
      </c>
      <c r="B281" s="872">
        <f>B283+B284+B282+B285</f>
        <v>2266.6999999999998</v>
      </c>
      <c r="C281" s="872">
        <f>C283+C284+C282+C285</f>
        <v>0</v>
      </c>
      <c r="D281" s="113">
        <f>D283+D284+D282+D285</f>
        <v>0</v>
      </c>
      <c r="E281" s="113">
        <f>E283+E284+E282+E285</f>
        <v>0</v>
      </c>
      <c r="F281" s="113">
        <f>IFERROR(E281/B281*100,0)</f>
        <v>0</v>
      </c>
      <c r="G281" s="113">
        <f>IFERROR(E281/C281*100,0)</f>
        <v>0</v>
      </c>
      <c r="H281" s="113">
        <f t="shared" ref="H281:AE281" si="102">H283+H284+H282+H285</f>
        <v>0</v>
      </c>
      <c r="I281" s="113">
        <f t="shared" si="102"/>
        <v>0</v>
      </c>
      <c r="J281" s="113">
        <f t="shared" si="102"/>
        <v>0</v>
      </c>
      <c r="K281" s="113">
        <f t="shared" si="102"/>
        <v>0</v>
      </c>
      <c r="L281" s="113">
        <f t="shared" si="102"/>
        <v>0</v>
      </c>
      <c r="M281" s="113">
        <f t="shared" si="102"/>
        <v>0</v>
      </c>
      <c r="N281" s="113">
        <f t="shared" si="102"/>
        <v>0</v>
      </c>
      <c r="O281" s="113">
        <f t="shared" si="102"/>
        <v>0</v>
      </c>
      <c r="P281" s="113">
        <f t="shared" si="102"/>
        <v>0</v>
      </c>
      <c r="Q281" s="113">
        <f t="shared" si="102"/>
        <v>0</v>
      </c>
      <c r="R281" s="113">
        <f t="shared" si="102"/>
        <v>0</v>
      </c>
      <c r="S281" s="113">
        <f t="shared" si="102"/>
        <v>0</v>
      </c>
      <c r="T281" s="113">
        <f t="shared" si="102"/>
        <v>0</v>
      </c>
      <c r="U281" s="113">
        <f t="shared" si="102"/>
        <v>0</v>
      </c>
      <c r="V281" s="113">
        <f t="shared" si="102"/>
        <v>0</v>
      </c>
      <c r="W281" s="113">
        <f t="shared" si="102"/>
        <v>0</v>
      </c>
      <c r="X281" s="113">
        <f t="shared" si="102"/>
        <v>0</v>
      </c>
      <c r="Y281" s="113">
        <f t="shared" si="102"/>
        <v>0</v>
      </c>
      <c r="Z281" s="113">
        <f t="shared" si="102"/>
        <v>2266.6999999999998</v>
      </c>
      <c r="AA281" s="113">
        <f t="shared" si="102"/>
        <v>0</v>
      </c>
      <c r="AB281" s="113">
        <f t="shared" si="102"/>
        <v>0</v>
      </c>
      <c r="AC281" s="113">
        <f t="shared" si="102"/>
        <v>0</v>
      </c>
      <c r="AD281" s="113">
        <f t="shared" si="102"/>
        <v>0</v>
      </c>
      <c r="AE281" s="113">
        <f t="shared" si="102"/>
        <v>0</v>
      </c>
      <c r="AF281" s="29"/>
      <c r="AG281" s="102">
        <f t="shared" si="101"/>
        <v>0</v>
      </c>
    </row>
    <row r="282" spans="1:33" x14ac:dyDescent="0.3">
      <c r="A282" s="7" t="s">
        <v>169</v>
      </c>
      <c r="B282" s="874"/>
      <c r="C282" s="875"/>
      <c r="D282" s="118"/>
      <c r="E282" s="117"/>
      <c r="F282" s="116"/>
      <c r="G282" s="116"/>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29"/>
      <c r="AG282" s="102">
        <f t="shared" si="101"/>
        <v>0</v>
      </c>
    </row>
    <row r="283" spans="1:33" x14ac:dyDescent="0.3">
      <c r="A283" s="148" t="s">
        <v>32</v>
      </c>
      <c r="B283" s="116"/>
      <c r="C283" s="117"/>
      <c r="D283" s="118"/>
      <c r="E283" s="117"/>
      <c r="F283" s="116"/>
      <c r="G283" s="116"/>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29"/>
      <c r="AG283" s="102">
        <f t="shared" si="101"/>
        <v>0</v>
      </c>
    </row>
    <row r="284" spans="1:33" x14ac:dyDescent="0.3">
      <c r="A284" s="148" t="s">
        <v>33</v>
      </c>
      <c r="B284" s="116">
        <f>J284+L284+N284+P284+R284+T284+V284+X284+Z284+AB284+AD284+H284</f>
        <v>2266.6999999999998</v>
      </c>
      <c r="C284" s="117">
        <f>SUM(H284)</f>
        <v>0</v>
      </c>
      <c r="D284" s="118">
        <f>E284</f>
        <v>0</v>
      </c>
      <c r="E284" s="117">
        <f>SUM(I284,K284,M284,O284,Q284,S284,U284,W284,Y284,AA284,AC284,AE284)</f>
        <v>0</v>
      </c>
      <c r="F284" s="116">
        <f>IFERROR(E284/B284*100,0)</f>
        <v>0</v>
      </c>
      <c r="G284" s="116">
        <f>IFERROR(E284/C284*100,0)</f>
        <v>0</v>
      </c>
      <c r="H284" s="111">
        <v>0</v>
      </c>
      <c r="I284" s="111">
        <v>0</v>
      </c>
      <c r="J284" s="111">
        <v>0</v>
      </c>
      <c r="K284" s="111">
        <v>0</v>
      </c>
      <c r="L284" s="111">
        <v>0</v>
      </c>
      <c r="M284" s="111">
        <v>0</v>
      </c>
      <c r="N284" s="111">
        <v>0</v>
      </c>
      <c r="O284" s="111">
        <v>0</v>
      </c>
      <c r="P284" s="111"/>
      <c r="Q284" s="111"/>
      <c r="R284" s="111"/>
      <c r="S284" s="111"/>
      <c r="T284" s="111"/>
      <c r="U284" s="111"/>
      <c r="V284" s="111"/>
      <c r="W284" s="111"/>
      <c r="X284" s="111"/>
      <c r="Y284" s="111"/>
      <c r="Z284" s="111">
        <v>2266.6999999999998</v>
      </c>
      <c r="AA284" s="111"/>
      <c r="AB284" s="111"/>
      <c r="AC284" s="111"/>
      <c r="AD284" s="111"/>
      <c r="AE284" s="111"/>
      <c r="AF284" s="29"/>
      <c r="AG284" s="102">
        <f t="shared" si="101"/>
        <v>0</v>
      </c>
    </row>
    <row r="285" spans="1:33" x14ac:dyDescent="0.3">
      <c r="A285" s="7" t="s">
        <v>170</v>
      </c>
      <c r="B285" s="116"/>
      <c r="C285" s="117"/>
      <c r="D285" s="118"/>
      <c r="E285" s="117"/>
      <c r="F285" s="116"/>
      <c r="G285" s="116"/>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29"/>
      <c r="AG285" s="102">
        <f t="shared" si="101"/>
        <v>0</v>
      </c>
    </row>
    <row r="286" spans="1:33" x14ac:dyDescent="0.3">
      <c r="A286" s="149" t="s">
        <v>217</v>
      </c>
      <c r="B286" s="150">
        <f>B287+B288+B289+B290</f>
        <v>494514.19600000005</v>
      </c>
      <c r="C286" s="150">
        <f>C287+C288+C289</f>
        <v>103232.05</v>
      </c>
      <c r="D286" s="150">
        <f>D287+D288+D289</f>
        <v>119148.572</v>
      </c>
      <c r="E286" s="150">
        <f>E287+E288+E289</f>
        <v>119148.572</v>
      </c>
      <c r="F286" s="150">
        <f t="shared" ref="F286:F302" si="103">IFERROR(E286/B286*100,0)</f>
        <v>24.094065036709278</v>
      </c>
      <c r="G286" s="150">
        <f t="shared" ref="G286:G302" si="104">IFERROR(E286/C286*100,0)</f>
        <v>115.41819812742264</v>
      </c>
      <c r="H286" s="150">
        <f t="shared" ref="H286:AE286" si="105">H287+H288+H289+H290</f>
        <v>32995.699999999997</v>
      </c>
      <c r="I286" s="150">
        <f t="shared" si="105"/>
        <v>20436.099000000002</v>
      </c>
      <c r="J286" s="150">
        <f t="shared" si="105"/>
        <v>44891.183999999994</v>
      </c>
      <c r="K286" s="150">
        <f t="shared" si="105"/>
        <v>34681.274999999994</v>
      </c>
      <c r="L286" s="150">
        <f t="shared" si="105"/>
        <v>36327.866000000009</v>
      </c>
      <c r="M286" s="150">
        <f t="shared" si="105"/>
        <v>31492.256999999998</v>
      </c>
      <c r="N286" s="150">
        <f t="shared" si="105"/>
        <v>45619.455999999998</v>
      </c>
      <c r="O286" s="150">
        <f t="shared" si="105"/>
        <v>32538.940999999999</v>
      </c>
      <c r="P286" s="150">
        <f t="shared" si="105"/>
        <v>61088.710000000014</v>
      </c>
      <c r="Q286" s="150">
        <f t="shared" si="105"/>
        <v>0</v>
      </c>
      <c r="R286" s="150">
        <f t="shared" si="105"/>
        <v>45580.42</v>
      </c>
      <c r="S286" s="150">
        <f t="shared" si="105"/>
        <v>0</v>
      </c>
      <c r="T286" s="150">
        <f t="shared" si="105"/>
        <v>40663.332000000002</v>
      </c>
      <c r="U286" s="150">
        <f t="shared" si="105"/>
        <v>0</v>
      </c>
      <c r="V286" s="150">
        <f t="shared" si="105"/>
        <v>32945.532999999996</v>
      </c>
      <c r="W286" s="150">
        <f t="shared" si="105"/>
        <v>0</v>
      </c>
      <c r="X286" s="150">
        <f t="shared" si="105"/>
        <v>33447.15</v>
      </c>
      <c r="Y286" s="150">
        <f t="shared" si="105"/>
        <v>0</v>
      </c>
      <c r="Z286" s="150">
        <f t="shared" si="105"/>
        <v>41320.937000000005</v>
      </c>
      <c r="AA286" s="150">
        <f t="shared" si="105"/>
        <v>0</v>
      </c>
      <c r="AB286" s="150">
        <f t="shared" si="105"/>
        <v>32536.032999999999</v>
      </c>
      <c r="AC286" s="150">
        <f t="shared" si="105"/>
        <v>0</v>
      </c>
      <c r="AD286" s="150">
        <f t="shared" si="105"/>
        <v>47097.874999999993</v>
      </c>
      <c r="AE286" s="150">
        <f t="shared" si="105"/>
        <v>0</v>
      </c>
      <c r="AF286" s="150"/>
      <c r="AG286" s="102">
        <f t="shared" si="101"/>
        <v>0</v>
      </c>
    </row>
    <row r="287" spans="1:33" x14ac:dyDescent="0.3">
      <c r="A287" s="151" t="s">
        <v>169</v>
      </c>
      <c r="B287" s="152">
        <f t="shared" ref="B287:E290" si="106">B38+B76+B112+B157+B194+B232+B250+B262+B270+B150+B136+B19+B13</f>
        <v>105.2</v>
      </c>
      <c r="C287" s="152">
        <f t="shared" si="106"/>
        <v>0</v>
      </c>
      <c r="D287" s="152">
        <f t="shared" si="106"/>
        <v>0</v>
      </c>
      <c r="E287" s="152">
        <f t="shared" si="106"/>
        <v>0</v>
      </c>
      <c r="F287" s="152">
        <f t="shared" si="103"/>
        <v>0</v>
      </c>
      <c r="G287" s="152">
        <f t="shared" si="104"/>
        <v>0</v>
      </c>
      <c r="H287" s="152">
        <f t="shared" ref="H287:AE287" si="107">H38+H76+H112+H157+H194+H232+H250+H262+H270+H150+H136+H19+H13</f>
        <v>0</v>
      </c>
      <c r="I287" s="152">
        <f t="shared" si="107"/>
        <v>0</v>
      </c>
      <c r="J287" s="152">
        <f t="shared" si="107"/>
        <v>0</v>
      </c>
      <c r="K287" s="152">
        <f t="shared" si="107"/>
        <v>0</v>
      </c>
      <c r="L287" s="152">
        <f t="shared" si="107"/>
        <v>0</v>
      </c>
      <c r="M287" s="152">
        <f t="shared" si="107"/>
        <v>0</v>
      </c>
      <c r="N287" s="152">
        <f t="shared" si="107"/>
        <v>0</v>
      </c>
      <c r="O287" s="152">
        <f t="shared" si="107"/>
        <v>0</v>
      </c>
      <c r="P287" s="152">
        <f t="shared" si="107"/>
        <v>105.2</v>
      </c>
      <c r="Q287" s="152">
        <f t="shared" si="107"/>
        <v>0</v>
      </c>
      <c r="R287" s="152">
        <f t="shared" si="107"/>
        <v>0</v>
      </c>
      <c r="S287" s="152">
        <f t="shared" si="107"/>
        <v>0</v>
      </c>
      <c r="T287" s="152">
        <f t="shared" si="107"/>
        <v>0</v>
      </c>
      <c r="U287" s="152">
        <f t="shared" si="107"/>
        <v>0</v>
      </c>
      <c r="V287" s="152">
        <f t="shared" si="107"/>
        <v>0</v>
      </c>
      <c r="W287" s="152">
        <f t="shared" si="107"/>
        <v>0</v>
      </c>
      <c r="X287" s="152">
        <f t="shared" si="107"/>
        <v>0</v>
      </c>
      <c r="Y287" s="152">
        <f t="shared" si="107"/>
        <v>0</v>
      </c>
      <c r="Z287" s="152">
        <f t="shared" si="107"/>
        <v>0</v>
      </c>
      <c r="AA287" s="152">
        <f t="shared" si="107"/>
        <v>0</v>
      </c>
      <c r="AB287" s="152">
        <f t="shared" si="107"/>
        <v>0</v>
      </c>
      <c r="AC287" s="152">
        <f t="shared" si="107"/>
        <v>0</v>
      </c>
      <c r="AD287" s="152">
        <f t="shared" si="107"/>
        <v>0</v>
      </c>
      <c r="AE287" s="152">
        <f t="shared" si="107"/>
        <v>0</v>
      </c>
      <c r="AF287" s="152"/>
      <c r="AG287" s="102">
        <f t="shared" si="101"/>
        <v>0</v>
      </c>
    </row>
    <row r="288" spans="1:33" x14ac:dyDescent="0.3">
      <c r="A288" s="151" t="s">
        <v>32</v>
      </c>
      <c r="B288" s="152">
        <f t="shared" si="106"/>
        <v>593.70000000000005</v>
      </c>
      <c r="C288" s="152">
        <f t="shared" si="106"/>
        <v>10.8</v>
      </c>
      <c r="D288" s="152">
        <f t="shared" si="106"/>
        <v>30.700000000000003</v>
      </c>
      <c r="E288" s="152">
        <f t="shared" si="106"/>
        <v>30.700000000000003</v>
      </c>
      <c r="F288" s="152">
        <f t="shared" si="103"/>
        <v>5.1709617652012803</v>
      </c>
      <c r="G288" s="152">
        <f t="shared" si="104"/>
        <v>284.25925925925924</v>
      </c>
      <c r="H288" s="152">
        <f t="shared" ref="H288:AE288" si="108">H39+H77+H113+H158+H195+H233+H251+H263+H271+H151+H137+H20+H14</f>
        <v>0</v>
      </c>
      <c r="I288" s="152">
        <f t="shared" si="108"/>
        <v>0</v>
      </c>
      <c r="J288" s="152">
        <f t="shared" si="108"/>
        <v>0</v>
      </c>
      <c r="K288" s="152">
        <f t="shared" si="108"/>
        <v>0</v>
      </c>
      <c r="L288" s="152">
        <f t="shared" si="108"/>
        <v>10.8</v>
      </c>
      <c r="M288" s="152">
        <f t="shared" si="108"/>
        <v>10.8</v>
      </c>
      <c r="N288" s="152">
        <f t="shared" si="108"/>
        <v>19.899999999999999</v>
      </c>
      <c r="O288" s="152">
        <f t="shared" si="108"/>
        <v>19.899999999999999</v>
      </c>
      <c r="P288" s="152">
        <f t="shared" si="108"/>
        <v>247.17</v>
      </c>
      <c r="Q288" s="152">
        <f t="shared" si="108"/>
        <v>0</v>
      </c>
      <c r="R288" s="152">
        <f t="shared" si="108"/>
        <v>22.8</v>
      </c>
      <c r="S288" s="152">
        <f t="shared" si="108"/>
        <v>0</v>
      </c>
      <c r="T288" s="152">
        <f t="shared" si="108"/>
        <v>22.8</v>
      </c>
      <c r="U288" s="152">
        <f t="shared" si="108"/>
        <v>0</v>
      </c>
      <c r="V288" s="152">
        <f t="shared" si="108"/>
        <v>22.8</v>
      </c>
      <c r="W288" s="152">
        <f t="shared" si="108"/>
        <v>0</v>
      </c>
      <c r="X288" s="152">
        <f t="shared" si="108"/>
        <v>168.2</v>
      </c>
      <c r="Y288" s="152">
        <f t="shared" si="108"/>
        <v>0</v>
      </c>
      <c r="Z288" s="152">
        <f t="shared" si="108"/>
        <v>22.8</v>
      </c>
      <c r="AA288" s="152">
        <f t="shared" si="108"/>
        <v>0</v>
      </c>
      <c r="AB288" s="152">
        <f t="shared" si="108"/>
        <v>22.8</v>
      </c>
      <c r="AC288" s="152">
        <f t="shared" si="108"/>
        <v>0</v>
      </c>
      <c r="AD288" s="152">
        <f t="shared" si="108"/>
        <v>33.629999999999995</v>
      </c>
      <c r="AE288" s="152">
        <f t="shared" si="108"/>
        <v>0</v>
      </c>
      <c r="AF288" s="152"/>
      <c r="AG288" s="102">
        <f t="shared" si="101"/>
        <v>1.4210854715202004E-13</v>
      </c>
    </row>
    <row r="289" spans="1:33" x14ac:dyDescent="0.3">
      <c r="A289" s="151" t="s">
        <v>33</v>
      </c>
      <c r="B289" s="152">
        <f t="shared" si="106"/>
        <v>493815.29600000003</v>
      </c>
      <c r="C289" s="152">
        <f t="shared" si="106"/>
        <v>103221.25</v>
      </c>
      <c r="D289" s="152">
        <f t="shared" si="106"/>
        <v>119117.872</v>
      </c>
      <c r="E289" s="152">
        <f t="shared" si="106"/>
        <v>119117.872</v>
      </c>
      <c r="F289" s="152">
        <f t="shared" si="103"/>
        <v>24.121948624288866</v>
      </c>
      <c r="G289" s="152">
        <f t="shared" si="104"/>
        <v>115.40053235162333</v>
      </c>
      <c r="H289" s="152">
        <f t="shared" ref="H289:AE289" si="109">H40+H78+H114+H159+H196+H234+H252+H264+H272+H152+H138+H21+H15</f>
        <v>32995.699999999997</v>
      </c>
      <c r="I289" s="152">
        <f t="shared" si="109"/>
        <v>20436.099000000002</v>
      </c>
      <c r="J289" s="152">
        <f t="shared" si="109"/>
        <v>44891.183999999994</v>
      </c>
      <c r="K289" s="152">
        <f t="shared" si="109"/>
        <v>34681.274999999994</v>
      </c>
      <c r="L289" s="152">
        <f t="shared" si="109"/>
        <v>36317.066000000006</v>
      </c>
      <c r="M289" s="152">
        <f t="shared" si="109"/>
        <v>31481.456999999999</v>
      </c>
      <c r="N289" s="152">
        <f t="shared" si="109"/>
        <v>45599.555999999997</v>
      </c>
      <c r="O289" s="152">
        <f t="shared" si="109"/>
        <v>32519.040999999997</v>
      </c>
      <c r="P289" s="152">
        <f t="shared" si="109"/>
        <v>60736.340000000011</v>
      </c>
      <c r="Q289" s="152">
        <f t="shared" si="109"/>
        <v>0</v>
      </c>
      <c r="R289" s="152">
        <f t="shared" si="109"/>
        <v>45557.619999999995</v>
      </c>
      <c r="S289" s="152">
        <f t="shared" si="109"/>
        <v>0</v>
      </c>
      <c r="T289" s="152">
        <f t="shared" si="109"/>
        <v>40640.531999999999</v>
      </c>
      <c r="U289" s="152">
        <f t="shared" si="109"/>
        <v>0</v>
      </c>
      <c r="V289" s="152">
        <f t="shared" si="109"/>
        <v>32922.732999999993</v>
      </c>
      <c r="W289" s="152">
        <f t="shared" si="109"/>
        <v>0</v>
      </c>
      <c r="X289" s="152">
        <f t="shared" si="109"/>
        <v>33278.950000000004</v>
      </c>
      <c r="Y289" s="152">
        <f t="shared" si="109"/>
        <v>0</v>
      </c>
      <c r="Z289" s="152">
        <f t="shared" si="109"/>
        <v>41298.137000000002</v>
      </c>
      <c r="AA289" s="152">
        <f t="shared" si="109"/>
        <v>0</v>
      </c>
      <c r="AB289" s="152">
        <f t="shared" si="109"/>
        <v>32513.233</v>
      </c>
      <c r="AC289" s="152">
        <f t="shared" si="109"/>
        <v>0</v>
      </c>
      <c r="AD289" s="152">
        <f t="shared" si="109"/>
        <v>47064.244999999995</v>
      </c>
      <c r="AE289" s="152">
        <f t="shared" si="109"/>
        <v>0</v>
      </c>
      <c r="AF289" s="152"/>
      <c r="AG289" s="102">
        <f t="shared" si="101"/>
        <v>0</v>
      </c>
    </row>
    <row r="290" spans="1:33" x14ac:dyDescent="0.3">
      <c r="A290" s="153" t="s">
        <v>170</v>
      </c>
      <c r="B290" s="152">
        <f t="shared" si="106"/>
        <v>0</v>
      </c>
      <c r="C290" s="152">
        <f>C41+C79+C115+C160+C197+C235+C253+C265+C273+C153+C139+C22+C16</f>
        <v>0</v>
      </c>
      <c r="D290" s="152">
        <f t="shared" si="106"/>
        <v>0</v>
      </c>
      <c r="E290" s="152">
        <f t="shared" si="106"/>
        <v>0</v>
      </c>
      <c r="F290" s="152">
        <f t="shared" si="103"/>
        <v>0</v>
      </c>
      <c r="G290" s="152">
        <f t="shared" si="104"/>
        <v>0</v>
      </c>
      <c r="H290" s="152">
        <f t="shared" ref="H290:AE290" si="110">H41+H79+H115+H160+H197+H235+H253+H265+H273+H153+H139+H22+H16</f>
        <v>0</v>
      </c>
      <c r="I290" s="152">
        <f t="shared" si="110"/>
        <v>0</v>
      </c>
      <c r="J290" s="152">
        <f t="shared" si="110"/>
        <v>0</v>
      </c>
      <c r="K290" s="152">
        <f t="shared" si="110"/>
        <v>0</v>
      </c>
      <c r="L290" s="152">
        <f t="shared" si="110"/>
        <v>0</v>
      </c>
      <c r="M290" s="152">
        <f t="shared" si="110"/>
        <v>0</v>
      </c>
      <c r="N290" s="152">
        <f t="shared" si="110"/>
        <v>0</v>
      </c>
      <c r="O290" s="152">
        <f t="shared" si="110"/>
        <v>0</v>
      </c>
      <c r="P290" s="152">
        <f t="shared" si="110"/>
        <v>0</v>
      </c>
      <c r="Q290" s="152">
        <f t="shared" si="110"/>
        <v>0</v>
      </c>
      <c r="R290" s="152">
        <f t="shared" si="110"/>
        <v>0</v>
      </c>
      <c r="S290" s="152">
        <f t="shared" si="110"/>
        <v>0</v>
      </c>
      <c r="T290" s="152">
        <f t="shared" si="110"/>
        <v>0</v>
      </c>
      <c r="U290" s="152">
        <f t="shared" si="110"/>
        <v>0</v>
      </c>
      <c r="V290" s="152">
        <f t="shared" si="110"/>
        <v>0</v>
      </c>
      <c r="W290" s="152">
        <f t="shared" si="110"/>
        <v>0</v>
      </c>
      <c r="X290" s="152">
        <f t="shared" si="110"/>
        <v>0</v>
      </c>
      <c r="Y290" s="152">
        <f t="shared" si="110"/>
        <v>0</v>
      </c>
      <c r="Z290" s="152">
        <f t="shared" si="110"/>
        <v>0</v>
      </c>
      <c r="AA290" s="152">
        <f t="shared" si="110"/>
        <v>0</v>
      </c>
      <c r="AB290" s="152">
        <f t="shared" si="110"/>
        <v>0</v>
      </c>
      <c r="AC290" s="152">
        <f t="shared" si="110"/>
        <v>0</v>
      </c>
      <c r="AD290" s="152">
        <f t="shared" si="110"/>
        <v>0</v>
      </c>
      <c r="AE290" s="152">
        <f t="shared" si="110"/>
        <v>0</v>
      </c>
      <c r="AF290" s="152"/>
      <c r="AG290" s="102">
        <f t="shared" si="101"/>
        <v>0</v>
      </c>
    </row>
    <row r="291" spans="1:33" ht="37.5" x14ac:dyDescent="0.3">
      <c r="A291" s="154" t="s">
        <v>174</v>
      </c>
      <c r="B291" s="155">
        <f>B47+B66</f>
        <v>41.7</v>
      </c>
      <c r="C291" s="155">
        <f>C47+C66</f>
        <v>9.4</v>
      </c>
      <c r="D291" s="155">
        <f>D47+D66</f>
        <v>13</v>
      </c>
      <c r="E291" s="155">
        <f>E47+E66</f>
        <v>13</v>
      </c>
      <c r="F291" s="155">
        <f t="shared" si="103"/>
        <v>31.175059952038371</v>
      </c>
      <c r="G291" s="155">
        <f t="shared" si="104"/>
        <v>138.29787234042553</v>
      </c>
      <c r="H291" s="155">
        <f t="shared" ref="H291:AE291" si="111">H47+H66</f>
        <v>0</v>
      </c>
      <c r="I291" s="155">
        <f t="shared" si="111"/>
        <v>0</v>
      </c>
      <c r="J291" s="155">
        <f t="shared" si="111"/>
        <v>0</v>
      </c>
      <c r="K291" s="155">
        <f t="shared" si="111"/>
        <v>0</v>
      </c>
      <c r="L291" s="155">
        <f t="shared" si="111"/>
        <v>9.4</v>
      </c>
      <c r="M291" s="155">
        <f t="shared" si="111"/>
        <v>9.4</v>
      </c>
      <c r="N291" s="155">
        <f t="shared" si="111"/>
        <v>3.6</v>
      </c>
      <c r="O291" s="155">
        <f t="shared" si="111"/>
        <v>3.6</v>
      </c>
      <c r="P291" s="155">
        <f t="shared" si="111"/>
        <v>11.2</v>
      </c>
      <c r="Q291" s="155">
        <f t="shared" si="111"/>
        <v>0</v>
      </c>
      <c r="R291" s="155">
        <f t="shared" si="111"/>
        <v>0.7</v>
      </c>
      <c r="S291" s="155">
        <f t="shared" si="111"/>
        <v>0</v>
      </c>
      <c r="T291" s="155">
        <f t="shared" si="111"/>
        <v>0.7</v>
      </c>
      <c r="U291" s="155">
        <f t="shared" si="111"/>
        <v>0</v>
      </c>
      <c r="V291" s="155">
        <f t="shared" si="111"/>
        <v>0.7</v>
      </c>
      <c r="W291" s="155">
        <f t="shared" si="111"/>
        <v>0</v>
      </c>
      <c r="X291" s="155">
        <f t="shared" si="111"/>
        <v>13.3</v>
      </c>
      <c r="Y291" s="155">
        <f t="shared" si="111"/>
        <v>0</v>
      </c>
      <c r="Z291" s="155">
        <f t="shared" si="111"/>
        <v>0.7</v>
      </c>
      <c r="AA291" s="155">
        <f t="shared" si="111"/>
        <v>0</v>
      </c>
      <c r="AB291" s="155">
        <f t="shared" si="111"/>
        <v>0.7</v>
      </c>
      <c r="AC291" s="155">
        <f t="shared" si="111"/>
        <v>0</v>
      </c>
      <c r="AD291" s="155">
        <f t="shared" si="111"/>
        <v>0.7</v>
      </c>
      <c r="AE291" s="155">
        <f t="shared" si="111"/>
        <v>0</v>
      </c>
      <c r="AF291" s="155"/>
      <c r="AG291" s="102">
        <f t="shared" si="101"/>
        <v>5.1070259132757201E-15</v>
      </c>
    </row>
    <row r="292" spans="1:33" ht="37.5" x14ac:dyDescent="0.3">
      <c r="A292" s="149" t="s">
        <v>218</v>
      </c>
      <c r="B292" s="150">
        <f>B293+B294+B295+B296</f>
        <v>100</v>
      </c>
      <c r="C292" s="150">
        <f>C293+C294+C295</f>
        <v>100</v>
      </c>
      <c r="D292" s="150">
        <f>D293+D294+D295</f>
        <v>100</v>
      </c>
      <c r="E292" s="150">
        <f>E293+E294+E295</f>
        <v>100</v>
      </c>
      <c r="F292" s="150">
        <f t="shared" si="103"/>
        <v>100</v>
      </c>
      <c r="G292" s="150">
        <f t="shared" si="104"/>
        <v>100</v>
      </c>
      <c r="H292" s="150">
        <f t="shared" ref="H292:AE292" si="112">H293+H294+H295+H296</f>
        <v>0</v>
      </c>
      <c r="I292" s="150">
        <f t="shared" si="112"/>
        <v>0</v>
      </c>
      <c r="J292" s="150">
        <f t="shared" si="112"/>
        <v>0</v>
      </c>
      <c r="K292" s="150">
        <f t="shared" si="112"/>
        <v>0</v>
      </c>
      <c r="L292" s="150">
        <f t="shared" si="112"/>
        <v>100</v>
      </c>
      <c r="M292" s="150">
        <f t="shared" si="112"/>
        <v>100</v>
      </c>
      <c r="N292" s="150">
        <f t="shared" si="112"/>
        <v>0</v>
      </c>
      <c r="O292" s="150">
        <f t="shared" si="112"/>
        <v>0</v>
      </c>
      <c r="P292" s="150">
        <f t="shared" si="112"/>
        <v>0</v>
      </c>
      <c r="Q292" s="150">
        <f t="shared" si="112"/>
        <v>0</v>
      </c>
      <c r="R292" s="150">
        <f t="shared" si="112"/>
        <v>0</v>
      </c>
      <c r="S292" s="150">
        <f t="shared" si="112"/>
        <v>0</v>
      </c>
      <c r="T292" s="150">
        <f t="shared" si="112"/>
        <v>0</v>
      </c>
      <c r="U292" s="150">
        <f t="shared" si="112"/>
        <v>0</v>
      </c>
      <c r="V292" s="150">
        <f t="shared" si="112"/>
        <v>0</v>
      </c>
      <c r="W292" s="150">
        <f t="shared" si="112"/>
        <v>0</v>
      </c>
      <c r="X292" s="150">
        <f t="shared" si="112"/>
        <v>0</v>
      </c>
      <c r="Y292" s="150">
        <f t="shared" si="112"/>
        <v>0</v>
      </c>
      <c r="Z292" s="150">
        <f t="shared" si="112"/>
        <v>0</v>
      </c>
      <c r="AA292" s="150">
        <f t="shared" si="112"/>
        <v>0</v>
      </c>
      <c r="AB292" s="150">
        <f t="shared" si="112"/>
        <v>0</v>
      </c>
      <c r="AC292" s="150">
        <f t="shared" si="112"/>
        <v>0</v>
      </c>
      <c r="AD292" s="150">
        <f t="shared" si="112"/>
        <v>0</v>
      </c>
      <c r="AE292" s="150">
        <f t="shared" si="112"/>
        <v>0</v>
      </c>
      <c r="AF292" s="150"/>
      <c r="AG292" s="102">
        <f t="shared" si="101"/>
        <v>0</v>
      </c>
    </row>
    <row r="293" spans="1:33" x14ac:dyDescent="0.3">
      <c r="A293" s="151" t="s">
        <v>169</v>
      </c>
      <c r="B293" s="152">
        <f t="shared" ref="B293:E296" si="113">B13+B19+B150</f>
        <v>0</v>
      </c>
      <c r="C293" s="152">
        <f t="shared" si="113"/>
        <v>0</v>
      </c>
      <c r="D293" s="152">
        <f t="shared" si="113"/>
        <v>0</v>
      </c>
      <c r="E293" s="152">
        <f t="shared" si="113"/>
        <v>0</v>
      </c>
      <c r="F293" s="152">
        <f t="shared" si="103"/>
        <v>0</v>
      </c>
      <c r="G293" s="152">
        <f t="shared" si="104"/>
        <v>0</v>
      </c>
      <c r="H293" s="152">
        <f t="shared" ref="H293:AE293" si="114">H13+H19+H150</f>
        <v>0</v>
      </c>
      <c r="I293" s="152">
        <f t="shared" si="114"/>
        <v>0</v>
      </c>
      <c r="J293" s="152">
        <f t="shared" si="114"/>
        <v>0</v>
      </c>
      <c r="K293" s="152">
        <f t="shared" si="114"/>
        <v>0</v>
      </c>
      <c r="L293" s="152">
        <f t="shared" si="114"/>
        <v>0</v>
      </c>
      <c r="M293" s="152">
        <f t="shared" si="114"/>
        <v>0</v>
      </c>
      <c r="N293" s="152">
        <f t="shared" si="114"/>
        <v>0</v>
      </c>
      <c r="O293" s="152">
        <f t="shared" si="114"/>
        <v>0</v>
      </c>
      <c r="P293" s="152">
        <f t="shared" si="114"/>
        <v>0</v>
      </c>
      <c r="Q293" s="152">
        <f t="shared" si="114"/>
        <v>0</v>
      </c>
      <c r="R293" s="152">
        <f t="shared" si="114"/>
        <v>0</v>
      </c>
      <c r="S293" s="152">
        <f t="shared" si="114"/>
        <v>0</v>
      </c>
      <c r="T293" s="152">
        <f t="shared" si="114"/>
        <v>0</v>
      </c>
      <c r="U293" s="152">
        <f t="shared" si="114"/>
        <v>0</v>
      </c>
      <c r="V293" s="152">
        <f t="shared" si="114"/>
        <v>0</v>
      </c>
      <c r="W293" s="152">
        <f t="shared" si="114"/>
        <v>0</v>
      </c>
      <c r="X293" s="152">
        <f t="shared" si="114"/>
        <v>0</v>
      </c>
      <c r="Y293" s="152">
        <f t="shared" si="114"/>
        <v>0</v>
      </c>
      <c r="Z293" s="152">
        <f t="shared" si="114"/>
        <v>0</v>
      </c>
      <c r="AA293" s="152">
        <f t="shared" si="114"/>
        <v>0</v>
      </c>
      <c r="AB293" s="152">
        <f t="shared" si="114"/>
        <v>0</v>
      </c>
      <c r="AC293" s="152">
        <f t="shared" si="114"/>
        <v>0</v>
      </c>
      <c r="AD293" s="152">
        <f t="shared" si="114"/>
        <v>0</v>
      </c>
      <c r="AE293" s="152">
        <f t="shared" si="114"/>
        <v>0</v>
      </c>
      <c r="AF293" s="152"/>
      <c r="AG293" s="102">
        <f t="shared" si="101"/>
        <v>0</v>
      </c>
    </row>
    <row r="294" spans="1:33" x14ac:dyDescent="0.3">
      <c r="A294" s="151" t="s">
        <v>32</v>
      </c>
      <c r="B294" s="152">
        <f t="shared" si="113"/>
        <v>0</v>
      </c>
      <c r="C294" s="152">
        <f t="shared" si="113"/>
        <v>0</v>
      </c>
      <c r="D294" s="152">
        <f t="shared" si="113"/>
        <v>0</v>
      </c>
      <c r="E294" s="152">
        <f t="shared" si="113"/>
        <v>0</v>
      </c>
      <c r="F294" s="152">
        <f t="shared" si="103"/>
        <v>0</v>
      </c>
      <c r="G294" s="152">
        <f t="shared" si="104"/>
        <v>0</v>
      </c>
      <c r="H294" s="152">
        <f t="shared" ref="H294:AE294" si="115">H14+H20+H151</f>
        <v>0</v>
      </c>
      <c r="I294" s="152">
        <f t="shared" si="115"/>
        <v>0</v>
      </c>
      <c r="J294" s="152">
        <f t="shared" si="115"/>
        <v>0</v>
      </c>
      <c r="K294" s="152">
        <f t="shared" si="115"/>
        <v>0</v>
      </c>
      <c r="L294" s="152">
        <f t="shared" si="115"/>
        <v>0</v>
      </c>
      <c r="M294" s="152">
        <f t="shared" si="115"/>
        <v>0</v>
      </c>
      <c r="N294" s="152">
        <f t="shared" si="115"/>
        <v>0</v>
      </c>
      <c r="O294" s="152">
        <f t="shared" si="115"/>
        <v>0</v>
      </c>
      <c r="P294" s="152">
        <f t="shared" si="115"/>
        <v>0</v>
      </c>
      <c r="Q294" s="152">
        <f t="shared" si="115"/>
        <v>0</v>
      </c>
      <c r="R294" s="152">
        <f t="shared" si="115"/>
        <v>0</v>
      </c>
      <c r="S294" s="152">
        <f t="shared" si="115"/>
        <v>0</v>
      </c>
      <c r="T294" s="152">
        <f t="shared" si="115"/>
        <v>0</v>
      </c>
      <c r="U294" s="152">
        <f t="shared" si="115"/>
        <v>0</v>
      </c>
      <c r="V294" s="152">
        <f t="shared" si="115"/>
        <v>0</v>
      </c>
      <c r="W294" s="152">
        <f t="shared" si="115"/>
        <v>0</v>
      </c>
      <c r="X294" s="152">
        <f t="shared" si="115"/>
        <v>0</v>
      </c>
      <c r="Y294" s="152">
        <f t="shared" si="115"/>
        <v>0</v>
      </c>
      <c r="Z294" s="152">
        <f t="shared" si="115"/>
        <v>0</v>
      </c>
      <c r="AA294" s="152">
        <f t="shared" si="115"/>
        <v>0</v>
      </c>
      <c r="AB294" s="152">
        <f t="shared" si="115"/>
        <v>0</v>
      </c>
      <c r="AC294" s="152">
        <f t="shared" si="115"/>
        <v>0</v>
      </c>
      <c r="AD294" s="152">
        <f t="shared" si="115"/>
        <v>0</v>
      </c>
      <c r="AE294" s="152">
        <f t="shared" si="115"/>
        <v>0</v>
      </c>
      <c r="AF294" s="152"/>
      <c r="AG294" s="102">
        <f t="shared" si="101"/>
        <v>0</v>
      </c>
    </row>
    <row r="295" spans="1:33" x14ac:dyDescent="0.3">
      <c r="A295" s="151" t="s">
        <v>33</v>
      </c>
      <c r="B295" s="152">
        <f t="shared" si="113"/>
        <v>100</v>
      </c>
      <c r="C295" s="152">
        <f t="shared" si="113"/>
        <v>100</v>
      </c>
      <c r="D295" s="152">
        <f t="shared" si="113"/>
        <v>100</v>
      </c>
      <c r="E295" s="152">
        <f t="shared" si="113"/>
        <v>100</v>
      </c>
      <c r="F295" s="152">
        <f t="shared" si="103"/>
        <v>100</v>
      </c>
      <c r="G295" s="152">
        <f t="shared" si="104"/>
        <v>100</v>
      </c>
      <c r="H295" s="152">
        <f t="shared" ref="H295:AE295" si="116">H15+H21+H152</f>
        <v>0</v>
      </c>
      <c r="I295" s="152">
        <f t="shared" si="116"/>
        <v>0</v>
      </c>
      <c r="J295" s="152">
        <f t="shared" si="116"/>
        <v>0</v>
      </c>
      <c r="K295" s="152">
        <f t="shared" si="116"/>
        <v>0</v>
      </c>
      <c r="L295" s="152">
        <f t="shared" si="116"/>
        <v>100</v>
      </c>
      <c r="M295" s="152">
        <f t="shared" si="116"/>
        <v>100</v>
      </c>
      <c r="N295" s="152">
        <f t="shared" si="116"/>
        <v>0</v>
      </c>
      <c r="O295" s="152">
        <f t="shared" si="116"/>
        <v>0</v>
      </c>
      <c r="P295" s="152">
        <f t="shared" si="116"/>
        <v>0</v>
      </c>
      <c r="Q295" s="152">
        <f t="shared" si="116"/>
        <v>0</v>
      </c>
      <c r="R295" s="152">
        <f t="shared" si="116"/>
        <v>0</v>
      </c>
      <c r="S295" s="152">
        <f t="shared" si="116"/>
        <v>0</v>
      </c>
      <c r="T295" s="152">
        <f t="shared" si="116"/>
        <v>0</v>
      </c>
      <c r="U295" s="152">
        <f t="shared" si="116"/>
        <v>0</v>
      </c>
      <c r="V295" s="152">
        <f t="shared" si="116"/>
        <v>0</v>
      </c>
      <c r="W295" s="152">
        <f t="shared" si="116"/>
        <v>0</v>
      </c>
      <c r="X295" s="152">
        <f t="shared" si="116"/>
        <v>0</v>
      </c>
      <c r="Y295" s="152">
        <f t="shared" si="116"/>
        <v>0</v>
      </c>
      <c r="Z295" s="152">
        <f t="shared" si="116"/>
        <v>0</v>
      </c>
      <c r="AA295" s="152">
        <f t="shared" si="116"/>
        <v>0</v>
      </c>
      <c r="AB295" s="152">
        <f t="shared" si="116"/>
        <v>0</v>
      </c>
      <c r="AC295" s="152">
        <f t="shared" si="116"/>
        <v>0</v>
      </c>
      <c r="AD295" s="152">
        <f t="shared" si="116"/>
        <v>0</v>
      </c>
      <c r="AE295" s="152">
        <f t="shared" si="116"/>
        <v>0</v>
      </c>
      <c r="AF295" s="152"/>
      <c r="AG295" s="102">
        <f t="shared" si="101"/>
        <v>0</v>
      </c>
    </row>
    <row r="296" spans="1:33" x14ac:dyDescent="0.3">
      <c r="A296" s="153" t="s">
        <v>170</v>
      </c>
      <c r="B296" s="152">
        <f t="shared" si="113"/>
        <v>0</v>
      </c>
      <c r="C296" s="152">
        <f t="shared" si="113"/>
        <v>0</v>
      </c>
      <c r="D296" s="152">
        <f t="shared" si="113"/>
        <v>0</v>
      </c>
      <c r="E296" s="152">
        <f t="shared" si="113"/>
        <v>0</v>
      </c>
      <c r="F296" s="152">
        <f t="shared" si="103"/>
        <v>0</v>
      </c>
      <c r="G296" s="152">
        <f t="shared" si="104"/>
        <v>0</v>
      </c>
      <c r="H296" s="152">
        <f t="shared" ref="H296:AE296" si="117">H16+H22+H153</f>
        <v>0</v>
      </c>
      <c r="I296" s="152">
        <f t="shared" si="117"/>
        <v>0</v>
      </c>
      <c r="J296" s="152">
        <f t="shared" si="117"/>
        <v>0</v>
      </c>
      <c r="K296" s="152">
        <f t="shared" si="117"/>
        <v>0</v>
      </c>
      <c r="L296" s="152">
        <f t="shared" si="117"/>
        <v>0</v>
      </c>
      <c r="M296" s="152">
        <f t="shared" si="117"/>
        <v>0</v>
      </c>
      <c r="N296" s="152">
        <f t="shared" si="117"/>
        <v>0</v>
      </c>
      <c r="O296" s="152">
        <f t="shared" si="117"/>
        <v>0</v>
      </c>
      <c r="P296" s="152">
        <f t="shared" si="117"/>
        <v>0</v>
      </c>
      <c r="Q296" s="152">
        <f t="shared" si="117"/>
        <v>0</v>
      </c>
      <c r="R296" s="152">
        <f t="shared" si="117"/>
        <v>0</v>
      </c>
      <c r="S296" s="152">
        <f t="shared" si="117"/>
        <v>0</v>
      </c>
      <c r="T296" s="152">
        <f t="shared" si="117"/>
        <v>0</v>
      </c>
      <c r="U296" s="152">
        <f t="shared" si="117"/>
        <v>0</v>
      </c>
      <c r="V296" s="152">
        <f t="shared" si="117"/>
        <v>0</v>
      </c>
      <c r="W296" s="152">
        <f t="shared" si="117"/>
        <v>0</v>
      </c>
      <c r="X296" s="152">
        <f t="shared" si="117"/>
        <v>0</v>
      </c>
      <c r="Y296" s="152">
        <f t="shared" si="117"/>
        <v>0</v>
      </c>
      <c r="Z296" s="152">
        <f t="shared" si="117"/>
        <v>0</v>
      </c>
      <c r="AA296" s="152">
        <f t="shared" si="117"/>
        <v>0</v>
      </c>
      <c r="AB296" s="152">
        <f t="shared" si="117"/>
        <v>0</v>
      </c>
      <c r="AC296" s="152">
        <f t="shared" si="117"/>
        <v>0</v>
      </c>
      <c r="AD296" s="152">
        <f t="shared" si="117"/>
        <v>0</v>
      </c>
      <c r="AE296" s="152">
        <f t="shared" si="117"/>
        <v>0</v>
      </c>
      <c r="AF296" s="152"/>
      <c r="AG296" s="102">
        <f t="shared" si="101"/>
        <v>0</v>
      </c>
    </row>
    <row r="297" spans="1:33" ht="37.5" x14ac:dyDescent="0.3">
      <c r="A297" s="149" t="s">
        <v>219</v>
      </c>
      <c r="B297" s="150">
        <f>B298+B299+B300+B301</f>
        <v>494414.19600000005</v>
      </c>
      <c r="C297" s="150">
        <f>C298+C299+C300</f>
        <v>103132.04999999999</v>
      </c>
      <c r="D297" s="150">
        <f>D298+D299+D300</f>
        <v>119048.572</v>
      </c>
      <c r="E297" s="150">
        <f>E298+E299+E300</f>
        <v>119048.572</v>
      </c>
      <c r="F297" s="150">
        <f t="shared" si="103"/>
        <v>24.078712335355352</v>
      </c>
      <c r="G297" s="150">
        <f t="shared" si="104"/>
        <v>115.43314808539151</v>
      </c>
      <c r="H297" s="150">
        <f t="shared" ref="H297:AE297" si="118">H298+H299+H300+H301</f>
        <v>32995.699999999997</v>
      </c>
      <c r="I297" s="150">
        <f t="shared" si="118"/>
        <v>20436.099000000006</v>
      </c>
      <c r="J297" s="150">
        <f t="shared" si="118"/>
        <v>44891.184000000001</v>
      </c>
      <c r="K297" s="150">
        <f t="shared" si="118"/>
        <v>34681.275000000001</v>
      </c>
      <c r="L297" s="150">
        <f t="shared" si="118"/>
        <v>36227.866000000002</v>
      </c>
      <c r="M297" s="150">
        <f t="shared" si="118"/>
        <v>31392.256999999998</v>
      </c>
      <c r="N297" s="150">
        <f t="shared" si="118"/>
        <v>45619.455999999991</v>
      </c>
      <c r="O297" s="150">
        <f t="shared" si="118"/>
        <v>32538.940999999999</v>
      </c>
      <c r="P297" s="150">
        <f t="shared" si="118"/>
        <v>61088.710000000014</v>
      </c>
      <c r="Q297" s="150">
        <f t="shared" si="118"/>
        <v>0</v>
      </c>
      <c r="R297" s="150">
        <f t="shared" si="118"/>
        <v>45580.42</v>
      </c>
      <c r="S297" s="150">
        <f t="shared" si="118"/>
        <v>0</v>
      </c>
      <c r="T297" s="150">
        <f t="shared" si="118"/>
        <v>40663.332000000002</v>
      </c>
      <c r="U297" s="150">
        <f t="shared" si="118"/>
        <v>0</v>
      </c>
      <c r="V297" s="150">
        <f t="shared" si="118"/>
        <v>32945.532999999996</v>
      </c>
      <c r="W297" s="150">
        <f t="shared" si="118"/>
        <v>0</v>
      </c>
      <c r="X297" s="150">
        <f t="shared" si="118"/>
        <v>33447.149999999994</v>
      </c>
      <c r="Y297" s="150">
        <f t="shared" si="118"/>
        <v>0</v>
      </c>
      <c r="Z297" s="150">
        <f t="shared" si="118"/>
        <v>41320.936999999998</v>
      </c>
      <c r="AA297" s="150">
        <f t="shared" si="118"/>
        <v>0</v>
      </c>
      <c r="AB297" s="150">
        <f t="shared" si="118"/>
        <v>32536.032999999999</v>
      </c>
      <c r="AC297" s="150">
        <f t="shared" si="118"/>
        <v>0</v>
      </c>
      <c r="AD297" s="150">
        <f t="shared" si="118"/>
        <v>47097.874999999985</v>
      </c>
      <c r="AE297" s="150">
        <f t="shared" si="118"/>
        <v>0</v>
      </c>
      <c r="AF297" s="150"/>
      <c r="AG297" s="102">
        <f t="shared" si="101"/>
        <v>7.2759576141834259E-11</v>
      </c>
    </row>
    <row r="298" spans="1:33" x14ac:dyDescent="0.3">
      <c r="A298" s="151" t="s">
        <v>169</v>
      </c>
      <c r="B298" s="152">
        <f>B44+B51+B57+B63++B82+B88+B94+B100+B106+B118+B124+B130+B163+B188+B200+B206+B212+B218+B224+B238+B244+B256+B262+B276+B142+B282+B70</f>
        <v>105.2</v>
      </c>
      <c r="C298" s="152">
        <f t="shared" ref="C298:E298" si="119">C44+C51+C57+C63++C82+C88+C94+C100+C106+C118+C124+C130+C163+C188+C200+C206+C212+C218+C224+C238+C244+C256+C262+C276+C142+C282+C70</f>
        <v>0</v>
      </c>
      <c r="D298" s="152">
        <f t="shared" si="119"/>
        <v>0</v>
      </c>
      <c r="E298" s="152">
        <f t="shared" si="119"/>
        <v>0</v>
      </c>
      <c r="F298" s="152">
        <f t="shared" si="103"/>
        <v>0</v>
      </c>
      <c r="G298" s="152">
        <f t="shared" si="104"/>
        <v>0</v>
      </c>
      <c r="H298" s="152">
        <f t="shared" ref="H298:AE301" si="120">H44+H51+H57+H63++H82+H88+H94+H100+H106+H118+H124+H130+H163+H188+H200+H206+H212+H218+H224+H238+H244+H256+H262+H276+H142+H282+H70</f>
        <v>0</v>
      </c>
      <c r="I298" s="152">
        <f t="shared" si="120"/>
        <v>0</v>
      </c>
      <c r="J298" s="152">
        <f t="shared" si="120"/>
        <v>0</v>
      </c>
      <c r="K298" s="152">
        <f t="shared" si="120"/>
        <v>0</v>
      </c>
      <c r="L298" s="152">
        <f t="shared" si="120"/>
        <v>0</v>
      </c>
      <c r="M298" s="152">
        <f t="shared" si="120"/>
        <v>0</v>
      </c>
      <c r="N298" s="152">
        <f t="shared" si="120"/>
        <v>0</v>
      </c>
      <c r="O298" s="152">
        <f t="shared" si="120"/>
        <v>0</v>
      </c>
      <c r="P298" s="152">
        <f t="shared" si="120"/>
        <v>105.2</v>
      </c>
      <c r="Q298" s="152">
        <f t="shared" si="120"/>
        <v>0</v>
      </c>
      <c r="R298" s="152">
        <f t="shared" si="120"/>
        <v>0</v>
      </c>
      <c r="S298" s="152">
        <f t="shared" si="120"/>
        <v>0</v>
      </c>
      <c r="T298" s="152">
        <f t="shared" si="120"/>
        <v>0</v>
      </c>
      <c r="U298" s="152">
        <f t="shared" si="120"/>
        <v>0</v>
      </c>
      <c r="V298" s="152">
        <f t="shared" si="120"/>
        <v>0</v>
      </c>
      <c r="W298" s="152">
        <f t="shared" si="120"/>
        <v>0</v>
      </c>
      <c r="X298" s="152">
        <f t="shared" si="120"/>
        <v>0</v>
      </c>
      <c r="Y298" s="152">
        <f t="shared" si="120"/>
        <v>0</v>
      </c>
      <c r="Z298" s="152">
        <f t="shared" si="120"/>
        <v>0</v>
      </c>
      <c r="AA298" s="152">
        <f t="shared" si="120"/>
        <v>0</v>
      </c>
      <c r="AB298" s="152">
        <f t="shared" si="120"/>
        <v>0</v>
      </c>
      <c r="AC298" s="152">
        <f t="shared" si="120"/>
        <v>0</v>
      </c>
      <c r="AD298" s="152">
        <f t="shared" si="120"/>
        <v>0</v>
      </c>
      <c r="AE298" s="152">
        <f t="shared" si="120"/>
        <v>0</v>
      </c>
      <c r="AF298" s="152"/>
      <c r="AG298" s="102">
        <f t="shared" si="101"/>
        <v>0</v>
      </c>
    </row>
    <row r="299" spans="1:33" x14ac:dyDescent="0.3">
      <c r="A299" s="151" t="s">
        <v>32</v>
      </c>
      <c r="B299" s="152">
        <f t="shared" ref="B299:E301" si="121">B45+B52+B58+B64++B83+B89+B95+B101+B107+B119+B125+B131+B164+B189+B201+B207+B213+B219+B225+B239+B245+B257+B263+B277+B143+B283+B71</f>
        <v>593.70000000000005</v>
      </c>
      <c r="C299" s="152">
        <f t="shared" si="121"/>
        <v>10.8</v>
      </c>
      <c r="D299" s="152">
        <f t="shared" si="121"/>
        <v>30.700000000000003</v>
      </c>
      <c r="E299" s="152">
        <f t="shared" si="121"/>
        <v>30.700000000000003</v>
      </c>
      <c r="F299" s="152">
        <f t="shared" si="103"/>
        <v>5.1709617652012803</v>
      </c>
      <c r="G299" s="152">
        <f t="shared" si="104"/>
        <v>284.25925925925924</v>
      </c>
      <c r="H299" s="152">
        <f t="shared" si="120"/>
        <v>0</v>
      </c>
      <c r="I299" s="152">
        <f t="shared" si="120"/>
        <v>0</v>
      </c>
      <c r="J299" s="152">
        <f t="shared" si="120"/>
        <v>0</v>
      </c>
      <c r="K299" s="152">
        <f t="shared" si="120"/>
        <v>0</v>
      </c>
      <c r="L299" s="152">
        <f t="shared" si="120"/>
        <v>10.8</v>
      </c>
      <c r="M299" s="152">
        <f t="shared" si="120"/>
        <v>10.8</v>
      </c>
      <c r="N299" s="152">
        <f t="shared" si="120"/>
        <v>19.899999999999999</v>
      </c>
      <c r="O299" s="152">
        <f t="shared" si="120"/>
        <v>19.899999999999999</v>
      </c>
      <c r="P299" s="152">
        <f t="shared" si="120"/>
        <v>247.17</v>
      </c>
      <c r="Q299" s="152">
        <f t="shared" si="120"/>
        <v>0</v>
      </c>
      <c r="R299" s="152">
        <f t="shared" si="120"/>
        <v>22.8</v>
      </c>
      <c r="S299" s="152">
        <f t="shared" si="120"/>
        <v>0</v>
      </c>
      <c r="T299" s="152">
        <f t="shared" si="120"/>
        <v>22.8</v>
      </c>
      <c r="U299" s="152">
        <f t="shared" si="120"/>
        <v>0</v>
      </c>
      <c r="V299" s="152">
        <f t="shared" si="120"/>
        <v>22.8</v>
      </c>
      <c r="W299" s="152">
        <f t="shared" si="120"/>
        <v>0</v>
      </c>
      <c r="X299" s="152">
        <f t="shared" si="120"/>
        <v>168.20000000000002</v>
      </c>
      <c r="Y299" s="152">
        <f t="shared" si="120"/>
        <v>0</v>
      </c>
      <c r="Z299" s="152">
        <f t="shared" si="120"/>
        <v>22.8</v>
      </c>
      <c r="AA299" s="152">
        <f t="shared" si="120"/>
        <v>0</v>
      </c>
      <c r="AB299" s="152">
        <f t="shared" si="120"/>
        <v>22.8</v>
      </c>
      <c r="AC299" s="152">
        <f t="shared" si="120"/>
        <v>0</v>
      </c>
      <c r="AD299" s="152">
        <f t="shared" si="120"/>
        <v>33.629999999999995</v>
      </c>
      <c r="AE299" s="152">
        <f t="shared" si="120"/>
        <v>0</v>
      </c>
      <c r="AF299" s="152"/>
      <c r="AG299" s="102">
        <f t="shared" si="101"/>
        <v>1.1368683772161603E-13</v>
      </c>
    </row>
    <row r="300" spans="1:33" x14ac:dyDescent="0.3">
      <c r="A300" s="151" t="s">
        <v>33</v>
      </c>
      <c r="B300" s="152">
        <f t="shared" si="121"/>
        <v>493715.29600000003</v>
      </c>
      <c r="C300" s="152">
        <f t="shared" si="121"/>
        <v>103121.24999999999</v>
      </c>
      <c r="D300" s="152">
        <f t="shared" si="121"/>
        <v>119017.872</v>
      </c>
      <c r="E300" s="152">
        <f t="shared" si="121"/>
        <v>119017.872</v>
      </c>
      <c r="F300" s="152">
        <f t="shared" si="103"/>
        <v>24.106579837461627</v>
      </c>
      <c r="G300" s="152">
        <f t="shared" si="104"/>
        <v>115.41546674424525</v>
      </c>
      <c r="H300" s="152">
        <f t="shared" si="120"/>
        <v>32995.699999999997</v>
      </c>
      <c r="I300" s="152">
        <f t="shared" si="120"/>
        <v>20436.099000000006</v>
      </c>
      <c r="J300" s="152">
        <f t="shared" si="120"/>
        <v>44891.184000000001</v>
      </c>
      <c r="K300" s="152">
        <f t="shared" si="120"/>
        <v>34681.275000000001</v>
      </c>
      <c r="L300" s="152">
        <f t="shared" si="120"/>
        <v>36217.065999999999</v>
      </c>
      <c r="M300" s="152">
        <f t="shared" si="120"/>
        <v>31381.456999999999</v>
      </c>
      <c r="N300" s="152">
        <f t="shared" si="120"/>
        <v>45599.55599999999</v>
      </c>
      <c r="O300" s="152">
        <f t="shared" si="120"/>
        <v>32519.040999999997</v>
      </c>
      <c r="P300" s="152">
        <f t="shared" si="120"/>
        <v>60736.340000000011</v>
      </c>
      <c r="Q300" s="152">
        <f t="shared" si="120"/>
        <v>0</v>
      </c>
      <c r="R300" s="152">
        <f t="shared" si="120"/>
        <v>45557.619999999995</v>
      </c>
      <c r="S300" s="152">
        <f t="shared" si="120"/>
        <v>0</v>
      </c>
      <c r="T300" s="152">
        <f t="shared" si="120"/>
        <v>40640.531999999999</v>
      </c>
      <c r="U300" s="152">
        <f t="shared" si="120"/>
        <v>0</v>
      </c>
      <c r="V300" s="152">
        <f t="shared" si="120"/>
        <v>32922.732999999993</v>
      </c>
      <c r="W300" s="152">
        <f t="shared" si="120"/>
        <v>0</v>
      </c>
      <c r="X300" s="152">
        <f t="shared" si="120"/>
        <v>33278.949999999997</v>
      </c>
      <c r="Y300" s="152">
        <f t="shared" si="120"/>
        <v>0</v>
      </c>
      <c r="Z300" s="152">
        <f t="shared" si="120"/>
        <v>41298.136999999995</v>
      </c>
      <c r="AA300" s="152">
        <f t="shared" si="120"/>
        <v>0</v>
      </c>
      <c r="AB300" s="152">
        <f t="shared" si="120"/>
        <v>32513.233</v>
      </c>
      <c r="AC300" s="152">
        <f t="shared" si="120"/>
        <v>0</v>
      </c>
      <c r="AD300" s="152">
        <f t="shared" si="120"/>
        <v>47064.244999999988</v>
      </c>
      <c r="AE300" s="152">
        <f t="shared" si="120"/>
        <v>0</v>
      </c>
      <c r="AF300" s="152"/>
      <c r="AG300" s="102">
        <f t="shared" si="101"/>
        <v>0</v>
      </c>
    </row>
    <row r="301" spans="1:33" x14ac:dyDescent="0.3">
      <c r="A301" s="153" t="s">
        <v>170</v>
      </c>
      <c r="B301" s="152">
        <f>B47+B54+B60+B67++B85+B91+B97+B103+B109+B121+B127+B133+B166+B191+B203+B209+B215+B221+B227+B241+B247+B259+B265+B279+B145+B285+B73</f>
        <v>0</v>
      </c>
      <c r="C301" s="152">
        <f>C47+C54+C60+C67++C85+C91+C97+C103+C109+C121+C127+C133+C166+C191+C203+C209+C215+C221+C227+C241+C247+C259+C265+C279+C145+C285+C73</f>
        <v>0</v>
      </c>
      <c r="D301" s="152">
        <f>D47+D54+D60+D67++D85+D91+D97+D103+D109+D121+D127+D133+D166+D191+D203+D209+D215+D221+D227+D241+D247+D259+D265+D279+D145+D285+D73</f>
        <v>0</v>
      </c>
      <c r="E301" s="152">
        <f>E47+E54+E60+E67++E85+E91+E97+E103+E109+E121+E127+E133+E166+E191+E203+E209+E215+E221+E227+E241+E247+E259+E265+E279+E145+E285+E73</f>
        <v>0</v>
      </c>
      <c r="F301" s="152">
        <f t="shared" si="103"/>
        <v>0</v>
      </c>
      <c r="G301" s="152">
        <f t="shared" si="104"/>
        <v>0</v>
      </c>
      <c r="H301" s="152">
        <f t="shared" si="120"/>
        <v>0</v>
      </c>
      <c r="I301" s="152">
        <f t="shared" si="120"/>
        <v>0</v>
      </c>
      <c r="J301" s="152">
        <f t="shared" si="120"/>
        <v>0</v>
      </c>
      <c r="K301" s="152">
        <f t="shared" si="120"/>
        <v>0</v>
      </c>
      <c r="L301" s="152">
        <f>L47+L54+L60+L67++L85+L91+L97+L103+L109+L121+L127+L133+L166+L191+L203+L209+L215+L221+L227+L241+L247+L259+L265+L279+L145+L285+L73</f>
        <v>0</v>
      </c>
      <c r="M301" s="152">
        <f>M47+M54+M60+M67++M85+M91+M97+M103+M109+M121+M127+M133+M166+M191+M203+M209+M215+M221+M227+M241+M247+M259+M265+M279+M145+M285+M73</f>
        <v>0</v>
      </c>
      <c r="N301" s="152">
        <f>N47+N54+N60+N67++N85+N91+N97+N103+N109+N121+N127+N133+N166+N191+N203+N209+N215+N221+N227+N241+N247+N259+N265+N279+N145+N285+N73</f>
        <v>0</v>
      </c>
      <c r="O301" s="152">
        <f>O47+O54+O60+O67++O85+O91+O97+O103+O109+O121+O127+O133+O166+O191+O203+O209+O215+O221+O227+O241+O247+O259+O265+O279+O145+O285+O73</f>
        <v>0</v>
      </c>
      <c r="P301" s="152">
        <f>P47+P54+P60+P67++P85+P91+P97+P103+P109+P121+P127+P133+P166+P191+P203+P209+P215+P221+P227+P241+P247+P259+P265+P279+P145+P285+P73</f>
        <v>0</v>
      </c>
      <c r="Q301" s="152">
        <f>Q47+Q54+Q60+Q67++Q85+Q91+Q97+Q103+Q109+Q121+Q127+Q133+Q166+Q191+Q203+Q209+Q215+Q221+Q227+Q241+Q247+Q259+Q265+Q279+Q145+Q285+Q73</f>
        <v>0</v>
      </c>
      <c r="R301" s="152">
        <f>R47+R54+R60+R67++R85+R91+R97+R103+R109+R121+R127+R133+R166+R191+R203+R209+R215+R221+R227+R241+R247+R259+R265+R279+R145+R285+R73</f>
        <v>0</v>
      </c>
      <c r="S301" s="152">
        <f>S47+S54+S60+S67++S85+S91+S97+S103+S109+S121+S127+S133+S166+S191+S203+S209+S215+S221+S227+S241+S247+S259+S265+S279+S145+S285+S73</f>
        <v>0</v>
      </c>
      <c r="T301" s="152">
        <f>T47+T54+T60+T67++T85+T91+T97+T103+T109+T121+T127+T133+T166+T191+T203+T209+T215+T221+T227+T241+T247+T259+T265+T279+T145+T285+T73</f>
        <v>0</v>
      </c>
      <c r="U301" s="152">
        <f>U47+U54+U60+U67++U85+U91+U97+U103+U109+U121+U127+U133+U166+U191+U203+U209+U215+U221+U227+U241+U247+U259+U265+U279+U145+U285+U73</f>
        <v>0</v>
      </c>
      <c r="V301" s="152">
        <f>V47+V54+V60+V67++V85+V91+V97+V103+V109+V121+V127+V133+V166+V191+V203+V209+V215+V221+V227+V241+V247+V259+V265+V279+V145+V285+V73</f>
        <v>0</v>
      </c>
      <c r="W301" s="152">
        <f>W47+W54+W60+W67++W85+W91+W97+W103+W109+W121+W127+W133+W166+W191+W203+W209+W215+W221+W227+W241+W247+W259+W265+W279+W145+W285+W73</f>
        <v>0</v>
      </c>
      <c r="X301" s="152">
        <f>X47+X54+X60+X67++X85+X91+X97+X103+X109+X121+X127+X133+X166+X191+X203+X209+X215+X221+X227+X241+X247+X259+X265+X279+X145+X285+X73</f>
        <v>0</v>
      </c>
      <c r="Y301" s="152">
        <f>Y47+Y54+Y60+Y67++Y85+Y91+Y97+Y103+Y109+Y121+Y127+Y133+Y166+Y191+Y203+Y209+Y215+Y221+Y227+Y241+Y247+Y259+Y265+Y279+Y145+Y285+Y73</f>
        <v>0</v>
      </c>
      <c r="Z301" s="152">
        <f>Z47+Z54+Z60+Z67++Z85+Z91+Z97+Z103+Z109+Z121+Z127+Z133+Z166+Z191+Z203+Z209+Z215+Z221+Z227+Z241+Z247+Z259+Z265+Z279+Z145+Z285+Z73</f>
        <v>0</v>
      </c>
      <c r="AA301" s="152">
        <f>AA47+AA54+AA60+AA67++AA85+AA91+AA97+AA103+AA109+AA121+AA127+AA133+AA166+AA191+AA203+AA209+AA215+AA221+AA227+AA241+AA247+AA259+AA265+AA279+AA145+AA285+AA73</f>
        <v>0</v>
      </c>
      <c r="AB301" s="152">
        <f>AB47+AB54+AB60+AB67++AB85+AB91+AB97+AB103+AB109+AB121+AB127+AB133+AB166+AB191+AB203+AB209+AB215+AB221+AB227+AB241+AB247+AB259+AB265+AB279+AB145+AB285+AB73</f>
        <v>0</v>
      </c>
      <c r="AC301" s="152">
        <f>AC47+AC54+AC60+AC67++AC85+AC91+AC97+AC103+AC109+AC121+AC127+AC133+AC166+AC191+AC203+AC209+AC215+AC221+AC227+AC241+AC247+AC259+AC265+AC279+AC145+AC285+AC73</f>
        <v>0</v>
      </c>
      <c r="AD301" s="152">
        <f>AD47+AD54+AD60+AD67++AD85+AD91+AD97+AD103+AD109+AD121+AD127+AD133+AD166+AD191+AD203+AD209+AD215+AD221+AD227+AD241+AD247+AD259+AD265+AD279+AD145+AD285+AD73</f>
        <v>0</v>
      </c>
      <c r="AE301" s="152">
        <f>AE47+AE54+AE60+AE67++AE85+AE91+AE97+AE103+AE109+AE121+AE127+AE133+AE166+AE191+AE203+AE209+AE215+AE221+AE227+AE241+AE247+AE259+AE265+AE279+AE145+AE285+AE73</f>
        <v>0</v>
      </c>
      <c r="AF301" s="152"/>
      <c r="AG301" s="102">
        <f t="shared" si="101"/>
        <v>0</v>
      </c>
    </row>
    <row r="302" spans="1:33" ht="37.5" x14ac:dyDescent="0.3">
      <c r="A302" s="154" t="s">
        <v>174</v>
      </c>
      <c r="B302" s="155">
        <f>H302+J302+L302+N302+P302+R302+T302+V302+X302+Z302+AB302+AD302</f>
        <v>0</v>
      </c>
      <c r="C302" s="155">
        <f>I302+K302+M302+O302+Q302+S302+U302+W302+Y302+AA302+AC302+AE302</f>
        <v>0</v>
      </c>
      <c r="D302" s="155">
        <f>J302+L302+N302+P302+R302+T302+V302+X302+Z302+AB302+AD302+AF302</f>
        <v>0</v>
      </c>
      <c r="E302" s="155">
        <f>K302+M302+O302+Q302+S302+U302+W302+Y302+AA302+AC302+AE302+AG302</f>
        <v>0</v>
      </c>
      <c r="F302" s="155">
        <f t="shared" si="103"/>
        <v>0</v>
      </c>
      <c r="G302" s="155">
        <f t="shared" si="104"/>
        <v>0</v>
      </c>
      <c r="H302" s="155">
        <f t="shared" ref="H302:AE302" si="122">N302+P302+R302+T302+V302+X302+Z302+AB302+AD302+AF302+AH302+AJ302</f>
        <v>0</v>
      </c>
      <c r="I302" s="155">
        <f t="shared" si="122"/>
        <v>0</v>
      </c>
      <c r="J302" s="155">
        <f t="shared" si="122"/>
        <v>0</v>
      </c>
      <c r="K302" s="155">
        <f t="shared" si="122"/>
        <v>0</v>
      </c>
      <c r="L302" s="155">
        <f t="shared" si="122"/>
        <v>0</v>
      </c>
      <c r="M302" s="155">
        <f t="shared" si="122"/>
        <v>0</v>
      </c>
      <c r="N302" s="155">
        <f t="shared" si="122"/>
        <v>0</v>
      </c>
      <c r="O302" s="155">
        <f t="shared" si="122"/>
        <v>0</v>
      </c>
      <c r="P302" s="155">
        <f t="shared" si="122"/>
        <v>0</v>
      </c>
      <c r="Q302" s="155">
        <f t="shared" si="122"/>
        <v>0</v>
      </c>
      <c r="R302" s="155">
        <f t="shared" si="122"/>
        <v>0</v>
      </c>
      <c r="S302" s="155">
        <f t="shared" si="122"/>
        <v>0</v>
      </c>
      <c r="T302" s="155">
        <f t="shared" si="122"/>
        <v>0</v>
      </c>
      <c r="U302" s="155">
        <f t="shared" si="122"/>
        <v>0</v>
      </c>
      <c r="V302" s="155">
        <f t="shared" si="122"/>
        <v>0</v>
      </c>
      <c r="W302" s="155">
        <f t="shared" si="122"/>
        <v>0</v>
      </c>
      <c r="X302" s="155">
        <f t="shared" si="122"/>
        <v>0</v>
      </c>
      <c r="Y302" s="155">
        <f t="shared" si="122"/>
        <v>0</v>
      </c>
      <c r="Z302" s="155">
        <f t="shared" si="122"/>
        <v>0</v>
      </c>
      <c r="AA302" s="155">
        <f t="shared" si="122"/>
        <v>0</v>
      </c>
      <c r="AB302" s="155">
        <f t="shared" si="122"/>
        <v>0</v>
      </c>
      <c r="AC302" s="155">
        <f t="shared" si="122"/>
        <v>0</v>
      </c>
      <c r="AD302" s="155">
        <f t="shared" si="122"/>
        <v>0</v>
      </c>
      <c r="AE302" s="155">
        <f t="shared" si="122"/>
        <v>0</v>
      </c>
      <c r="AF302" s="155"/>
      <c r="AG302" s="102">
        <f t="shared" si="101"/>
        <v>0</v>
      </c>
    </row>
    <row r="303" spans="1:33" x14ac:dyDescent="0.3">
      <c r="B303" s="156">
        <f>B286-B292-B297</f>
        <v>0</v>
      </c>
      <c r="C303" s="156">
        <f t="shared" ref="C303:AE307" si="123">C286-C292-C297</f>
        <v>0</v>
      </c>
      <c r="D303" s="156">
        <f t="shared" si="123"/>
        <v>0</v>
      </c>
      <c r="E303" s="156">
        <f t="shared" si="123"/>
        <v>0</v>
      </c>
      <c r="F303" s="156"/>
      <c r="G303" s="156"/>
      <c r="H303" s="156">
        <f t="shared" si="123"/>
        <v>0</v>
      </c>
      <c r="I303" s="156">
        <f t="shared" si="123"/>
        <v>0</v>
      </c>
      <c r="J303" s="156">
        <f t="shared" si="123"/>
        <v>0</v>
      </c>
      <c r="K303" s="156">
        <f t="shared" si="123"/>
        <v>0</v>
      </c>
      <c r="L303" s="156">
        <f t="shared" si="123"/>
        <v>0</v>
      </c>
      <c r="M303" s="156">
        <f t="shared" si="123"/>
        <v>0</v>
      </c>
      <c r="N303" s="156">
        <f t="shared" si="123"/>
        <v>0</v>
      </c>
      <c r="O303" s="156">
        <f t="shared" si="123"/>
        <v>0</v>
      </c>
      <c r="P303" s="156">
        <f t="shared" si="123"/>
        <v>0</v>
      </c>
      <c r="Q303" s="156">
        <f t="shared" si="123"/>
        <v>0</v>
      </c>
      <c r="R303" s="156">
        <f t="shared" si="123"/>
        <v>0</v>
      </c>
      <c r="S303" s="156">
        <f t="shared" si="123"/>
        <v>0</v>
      </c>
      <c r="T303" s="156">
        <f t="shared" si="123"/>
        <v>0</v>
      </c>
      <c r="U303" s="156">
        <f t="shared" si="123"/>
        <v>0</v>
      </c>
      <c r="V303" s="156">
        <f t="shared" si="123"/>
        <v>0</v>
      </c>
      <c r="W303" s="156">
        <f t="shared" si="123"/>
        <v>0</v>
      </c>
      <c r="X303" s="156">
        <f t="shared" si="123"/>
        <v>0</v>
      </c>
      <c r="Y303" s="156">
        <f t="shared" si="123"/>
        <v>0</v>
      </c>
      <c r="Z303" s="156">
        <f t="shared" si="123"/>
        <v>0</v>
      </c>
      <c r="AA303" s="156">
        <f t="shared" si="123"/>
        <v>0</v>
      </c>
      <c r="AB303" s="156">
        <f t="shared" si="123"/>
        <v>0</v>
      </c>
      <c r="AC303" s="156">
        <f t="shared" si="123"/>
        <v>0</v>
      </c>
      <c r="AD303" s="156">
        <f t="shared" si="123"/>
        <v>0</v>
      </c>
      <c r="AE303" s="156">
        <f t="shared" si="123"/>
        <v>0</v>
      </c>
      <c r="AG303" s="102">
        <f t="shared" si="101"/>
        <v>0</v>
      </c>
    </row>
    <row r="304" spans="1:33" x14ac:dyDescent="0.3">
      <c r="A304" s="157" t="s">
        <v>169</v>
      </c>
      <c r="B304" s="156">
        <f t="shared" ref="B304:Q306" si="124">B287-B293-B298</f>
        <v>0</v>
      </c>
      <c r="C304" s="156">
        <f t="shared" si="124"/>
        <v>0</v>
      </c>
      <c r="D304" s="156">
        <f t="shared" si="124"/>
        <v>0</v>
      </c>
      <c r="E304" s="156">
        <f t="shared" si="124"/>
        <v>0</v>
      </c>
      <c r="F304" s="156"/>
      <c r="G304" s="156"/>
      <c r="H304" s="156">
        <f t="shared" si="124"/>
        <v>0</v>
      </c>
      <c r="I304" s="156">
        <f t="shared" si="124"/>
        <v>0</v>
      </c>
      <c r="J304" s="156">
        <f t="shared" si="124"/>
        <v>0</v>
      </c>
      <c r="K304" s="156">
        <f t="shared" si="124"/>
        <v>0</v>
      </c>
      <c r="L304" s="156">
        <f t="shared" si="124"/>
        <v>0</v>
      </c>
      <c r="M304" s="156">
        <f t="shared" si="124"/>
        <v>0</v>
      </c>
      <c r="N304" s="156">
        <f t="shared" si="124"/>
        <v>0</v>
      </c>
      <c r="O304" s="156">
        <f t="shared" si="124"/>
        <v>0</v>
      </c>
      <c r="P304" s="156">
        <f t="shared" si="124"/>
        <v>0</v>
      </c>
      <c r="Q304" s="156">
        <f t="shared" si="124"/>
        <v>0</v>
      </c>
      <c r="R304" s="156">
        <f t="shared" si="123"/>
        <v>0</v>
      </c>
      <c r="S304" s="156">
        <f t="shared" si="123"/>
        <v>0</v>
      </c>
      <c r="T304" s="156">
        <f t="shared" si="123"/>
        <v>0</v>
      </c>
      <c r="U304" s="156">
        <f t="shared" si="123"/>
        <v>0</v>
      </c>
      <c r="V304" s="156">
        <f t="shared" si="123"/>
        <v>0</v>
      </c>
      <c r="W304" s="156">
        <f t="shared" si="123"/>
        <v>0</v>
      </c>
      <c r="X304" s="156">
        <f t="shared" si="123"/>
        <v>0</v>
      </c>
      <c r="Y304" s="156">
        <f t="shared" si="123"/>
        <v>0</v>
      </c>
      <c r="Z304" s="156">
        <f t="shared" si="123"/>
        <v>0</v>
      </c>
      <c r="AA304" s="156">
        <f t="shared" si="123"/>
        <v>0</v>
      </c>
      <c r="AB304" s="156">
        <f t="shared" si="123"/>
        <v>0</v>
      </c>
      <c r="AC304" s="156">
        <f t="shared" si="123"/>
        <v>0</v>
      </c>
      <c r="AD304" s="156">
        <f t="shared" si="123"/>
        <v>0</v>
      </c>
      <c r="AE304" s="156">
        <f t="shared" si="123"/>
        <v>0</v>
      </c>
      <c r="AG304" s="102">
        <f t="shared" si="101"/>
        <v>0</v>
      </c>
    </row>
    <row r="305" spans="1:33" x14ac:dyDescent="0.3">
      <c r="A305" s="157" t="s">
        <v>32</v>
      </c>
      <c r="B305" s="156">
        <f t="shared" si="124"/>
        <v>0</v>
      </c>
      <c r="C305" s="156">
        <f t="shared" si="123"/>
        <v>0</v>
      </c>
      <c r="D305" s="156">
        <f t="shared" si="123"/>
        <v>0</v>
      </c>
      <c r="E305" s="156">
        <f t="shared" si="123"/>
        <v>0</v>
      </c>
      <c r="F305" s="156"/>
      <c r="G305" s="156"/>
      <c r="H305" s="156">
        <f t="shared" si="123"/>
        <v>0</v>
      </c>
      <c r="I305" s="156">
        <f t="shared" si="123"/>
        <v>0</v>
      </c>
      <c r="J305" s="156">
        <f t="shared" si="123"/>
        <v>0</v>
      </c>
      <c r="K305" s="156">
        <f t="shared" si="123"/>
        <v>0</v>
      </c>
      <c r="L305" s="156">
        <f t="shared" si="123"/>
        <v>0</v>
      </c>
      <c r="M305" s="156">
        <f t="shared" si="123"/>
        <v>0</v>
      </c>
      <c r="N305" s="156">
        <f t="shared" si="123"/>
        <v>0</v>
      </c>
      <c r="O305" s="156">
        <f t="shared" si="123"/>
        <v>0</v>
      </c>
      <c r="P305" s="156">
        <f t="shared" si="123"/>
        <v>0</v>
      </c>
      <c r="Q305" s="156">
        <f t="shared" si="123"/>
        <v>0</v>
      </c>
      <c r="R305" s="156">
        <f t="shared" si="123"/>
        <v>0</v>
      </c>
      <c r="S305" s="156">
        <f t="shared" si="123"/>
        <v>0</v>
      </c>
      <c r="T305" s="156">
        <f t="shared" si="123"/>
        <v>0</v>
      </c>
      <c r="U305" s="156">
        <f t="shared" si="123"/>
        <v>0</v>
      </c>
      <c r="V305" s="156">
        <f t="shared" si="123"/>
        <v>0</v>
      </c>
      <c r="W305" s="156">
        <f t="shared" si="123"/>
        <v>0</v>
      </c>
      <c r="X305" s="156">
        <f t="shared" si="123"/>
        <v>0</v>
      </c>
      <c r="Y305" s="156">
        <f t="shared" si="123"/>
        <v>0</v>
      </c>
      <c r="Z305" s="156">
        <f t="shared" si="123"/>
        <v>0</v>
      </c>
      <c r="AA305" s="156">
        <f t="shared" si="123"/>
        <v>0</v>
      </c>
      <c r="AB305" s="156">
        <f t="shared" si="123"/>
        <v>0</v>
      </c>
      <c r="AC305" s="156">
        <f t="shared" si="123"/>
        <v>0</v>
      </c>
      <c r="AD305" s="156">
        <f t="shared" si="123"/>
        <v>0</v>
      </c>
      <c r="AE305" s="156">
        <f t="shared" si="123"/>
        <v>0</v>
      </c>
      <c r="AG305" s="102">
        <f t="shared" si="101"/>
        <v>0</v>
      </c>
    </row>
    <row r="306" spans="1:33" x14ac:dyDescent="0.3">
      <c r="A306" s="157" t="s">
        <v>33</v>
      </c>
      <c r="B306" s="156">
        <f t="shared" si="124"/>
        <v>0</v>
      </c>
      <c r="C306" s="156">
        <f t="shared" si="123"/>
        <v>0</v>
      </c>
      <c r="D306" s="156">
        <f t="shared" si="123"/>
        <v>0</v>
      </c>
      <c r="E306" s="156">
        <f t="shared" si="123"/>
        <v>0</v>
      </c>
      <c r="F306" s="156"/>
      <c r="G306" s="156"/>
      <c r="H306" s="156">
        <f t="shared" si="123"/>
        <v>0</v>
      </c>
      <c r="I306" s="156">
        <f t="shared" si="123"/>
        <v>0</v>
      </c>
      <c r="J306" s="156">
        <f t="shared" si="123"/>
        <v>0</v>
      </c>
      <c r="K306" s="156">
        <f t="shared" si="123"/>
        <v>0</v>
      </c>
      <c r="L306" s="156">
        <f t="shared" si="123"/>
        <v>0</v>
      </c>
      <c r="M306" s="156">
        <f t="shared" si="123"/>
        <v>0</v>
      </c>
      <c r="N306" s="156">
        <f t="shared" si="123"/>
        <v>0</v>
      </c>
      <c r="O306" s="156">
        <f t="shared" si="123"/>
        <v>0</v>
      </c>
      <c r="P306" s="156">
        <f t="shared" si="123"/>
        <v>0</v>
      </c>
      <c r="Q306" s="156">
        <f t="shared" si="123"/>
        <v>0</v>
      </c>
      <c r="R306" s="156">
        <f t="shared" si="123"/>
        <v>0</v>
      </c>
      <c r="S306" s="156">
        <f t="shared" si="123"/>
        <v>0</v>
      </c>
      <c r="T306" s="156">
        <f t="shared" si="123"/>
        <v>0</v>
      </c>
      <c r="U306" s="156">
        <f t="shared" si="123"/>
        <v>0</v>
      </c>
      <c r="V306" s="156">
        <f t="shared" si="123"/>
        <v>0</v>
      </c>
      <c r="W306" s="156">
        <f t="shared" si="123"/>
        <v>0</v>
      </c>
      <c r="X306" s="156">
        <f t="shared" si="123"/>
        <v>0</v>
      </c>
      <c r="Y306" s="156">
        <f t="shared" si="123"/>
        <v>0</v>
      </c>
      <c r="Z306" s="156">
        <f t="shared" si="123"/>
        <v>0</v>
      </c>
      <c r="AA306" s="156">
        <f t="shared" si="123"/>
        <v>0</v>
      </c>
      <c r="AB306" s="156">
        <f t="shared" si="123"/>
        <v>0</v>
      </c>
      <c r="AC306" s="156">
        <f t="shared" si="123"/>
        <v>0</v>
      </c>
      <c r="AD306" s="156">
        <f t="shared" si="123"/>
        <v>0</v>
      </c>
      <c r="AE306" s="156">
        <f t="shared" si="123"/>
        <v>0</v>
      </c>
      <c r="AG306" s="102">
        <f t="shared" si="101"/>
        <v>0</v>
      </c>
    </row>
    <row r="307" spans="1:33" x14ac:dyDescent="0.3">
      <c r="A307" s="157" t="s">
        <v>170</v>
      </c>
      <c r="B307" s="156">
        <f>B290-B296-B301</f>
        <v>0</v>
      </c>
      <c r="C307" s="156">
        <f t="shared" si="123"/>
        <v>0</v>
      </c>
      <c r="D307" s="156">
        <f t="shared" si="123"/>
        <v>0</v>
      </c>
      <c r="E307" s="156">
        <f t="shared" si="123"/>
        <v>0</v>
      </c>
      <c r="F307" s="156"/>
      <c r="G307" s="156"/>
      <c r="H307" s="156">
        <f t="shared" si="123"/>
        <v>0</v>
      </c>
      <c r="I307" s="156">
        <f t="shared" si="123"/>
        <v>0</v>
      </c>
      <c r="J307" s="156">
        <f t="shared" si="123"/>
        <v>0</v>
      </c>
      <c r="K307" s="156">
        <f t="shared" si="123"/>
        <v>0</v>
      </c>
      <c r="L307" s="156">
        <f t="shared" si="123"/>
        <v>0</v>
      </c>
      <c r="M307" s="156">
        <f t="shared" si="123"/>
        <v>0</v>
      </c>
      <c r="N307" s="156">
        <f t="shared" si="123"/>
        <v>0</v>
      </c>
      <c r="O307" s="156">
        <f t="shared" si="123"/>
        <v>0</v>
      </c>
      <c r="P307" s="156">
        <f t="shared" si="123"/>
        <v>0</v>
      </c>
      <c r="Q307" s="156">
        <f t="shared" si="123"/>
        <v>0</v>
      </c>
      <c r="R307" s="156">
        <f t="shared" si="123"/>
        <v>0</v>
      </c>
      <c r="S307" s="156">
        <f t="shared" si="123"/>
        <v>0</v>
      </c>
      <c r="T307" s="156">
        <f t="shared" si="123"/>
        <v>0</v>
      </c>
      <c r="U307" s="156">
        <f t="shared" si="123"/>
        <v>0</v>
      </c>
      <c r="V307" s="156">
        <f t="shared" si="123"/>
        <v>0</v>
      </c>
      <c r="W307" s="156">
        <f t="shared" si="123"/>
        <v>0</v>
      </c>
      <c r="X307" s="156">
        <f t="shared" si="123"/>
        <v>0</v>
      </c>
      <c r="Y307" s="156">
        <f t="shared" si="123"/>
        <v>0</v>
      </c>
      <c r="Z307" s="156">
        <f t="shared" si="123"/>
        <v>0</v>
      </c>
      <c r="AA307" s="156">
        <f t="shared" si="123"/>
        <v>0</v>
      </c>
      <c r="AB307" s="156">
        <f t="shared" si="123"/>
        <v>0</v>
      </c>
      <c r="AC307" s="156">
        <f t="shared" si="123"/>
        <v>0</v>
      </c>
      <c r="AD307" s="156">
        <f t="shared" si="123"/>
        <v>0</v>
      </c>
      <c r="AE307" s="156">
        <f t="shared" si="123"/>
        <v>0</v>
      </c>
      <c r="AG307" s="102">
        <f t="shared" si="101"/>
        <v>0</v>
      </c>
    </row>
    <row r="310" spans="1:33" x14ac:dyDescent="0.3">
      <c r="B310" s="156">
        <f>B286-'[1]04 "Культурное простр."'!$C$8</f>
        <v>-3.9999999571591616E-3</v>
      </c>
    </row>
    <row r="312" spans="1:33" x14ac:dyDescent="0.3">
      <c r="B312" s="156">
        <f t="shared" ref="B312:AE312" si="125">B13+B19+B44+B51+B57+B63+B70+B82+B88+B94+B100+B106+B118+B124+B130+B142+B150+B163+B188+B200+B206+B212+B218+B224+B238+B244+B256+B262+B276+B282-B287</f>
        <v>0</v>
      </c>
      <c r="C312" s="156">
        <f t="shared" si="125"/>
        <v>0</v>
      </c>
      <c r="D312" s="156">
        <f t="shared" si="125"/>
        <v>0</v>
      </c>
      <c r="E312" s="156">
        <f t="shared" si="125"/>
        <v>0</v>
      </c>
      <c r="F312" s="156">
        <f t="shared" si="125"/>
        <v>0</v>
      </c>
      <c r="G312" s="156">
        <f t="shared" si="125"/>
        <v>0</v>
      </c>
      <c r="H312" s="156">
        <f t="shared" si="125"/>
        <v>0</v>
      </c>
      <c r="I312" s="156">
        <f t="shared" si="125"/>
        <v>0</v>
      </c>
      <c r="J312" s="156">
        <f t="shared" si="125"/>
        <v>0</v>
      </c>
      <c r="K312" s="156">
        <f t="shared" si="125"/>
        <v>0</v>
      </c>
      <c r="L312" s="156">
        <f t="shared" si="125"/>
        <v>0</v>
      </c>
      <c r="M312" s="156">
        <f t="shared" si="125"/>
        <v>0</v>
      </c>
      <c r="N312" s="156">
        <f t="shared" si="125"/>
        <v>0</v>
      </c>
      <c r="O312" s="156">
        <f t="shared" si="125"/>
        <v>0</v>
      </c>
      <c r="P312" s="156">
        <f t="shared" si="125"/>
        <v>0</v>
      </c>
      <c r="Q312" s="156">
        <f t="shared" si="125"/>
        <v>0</v>
      </c>
      <c r="R312" s="156">
        <f t="shared" si="125"/>
        <v>0</v>
      </c>
      <c r="S312" s="156">
        <f t="shared" si="125"/>
        <v>0</v>
      </c>
      <c r="T312" s="156">
        <f t="shared" si="125"/>
        <v>0</v>
      </c>
      <c r="U312" s="156">
        <f t="shared" si="125"/>
        <v>0</v>
      </c>
      <c r="V312" s="156">
        <f t="shared" si="125"/>
        <v>0</v>
      </c>
      <c r="W312" s="156">
        <f t="shared" si="125"/>
        <v>0</v>
      </c>
      <c r="X312" s="156">
        <f t="shared" si="125"/>
        <v>0</v>
      </c>
      <c r="Y312" s="156">
        <f t="shared" si="125"/>
        <v>0</v>
      </c>
      <c r="Z312" s="156">
        <f t="shared" si="125"/>
        <v>0</v>
      </c>
      <c r="AA312" s="156">
        <f t="shared" si="125"/>
        <v>0</v>
      </c>
      <c r="AB312" s="156">
        <f t="shared" si="125"/>
        <v>0</v>
      </c>
      <c r="AC312" s="156">
        <f t="shared" si="125"/>
        <v>0</v>
      </c>
      <c r="AD312" s="156">
        <f t="shared" si="125"/>
        <v>0</v>
      </c>
      <c r="AE312" s="156">
        <f t="shared" si="125"/>
        <v>0</v>
      </c>
    </row>
    <row r="313" spans="1:33" x14ac:dyDescent="0.3">
      <c r="B313" s="156">
        <f t="shared" ref="B313:AE313" si="126">B14+B20+B45+B52+B58+B64+B71+B83+B89+B95+B101+B107+B119+B125+B131+B143+B151+B164+B189+B201+B207+B213+B219+B225+B239+B245+B257+B263+B277+B283-B288</f>
        <v>0</v>
      </c>
      <c r="C313" s="156">
        <f t="shared" si="126"/>
        <v>0</v>
      </c>
      <c r="D313" s="156">
        <f t="shared" si="126"/>
        <v>0</v>
      </c>
      <c r="E313" s="156">
        <f t="shared" si="126"/>
        <v>0</v>
      </c>
      <c r="F313" s="156">
        <f t="shared" si="126"/>
        <v>-1.3150295618114503</v>
      </c>
      <c r="G313" s="156">
        <f t="shared" si="126"/>
        <v>-84.259259259259238</v>
      </c>
      <c r="H313" s="156">
        <f t="shared" si="126"/>
        <v>0</v>
      </c>
      <c r="I313" s="156">
        <f t="shared" si="126"/>
        <v>0</v>
      </c>
      <c r="J313" s="156">
        <f t="shared" si="126"/>
        <v>0</v>
      </c>
      <c r="K313" s="156">
        <f t="shared" si="126"/>
        <v>0</v>
      </c>
      <c r="L313" s="156">
        <f t="shared" si="126"/>
        <v>0</v>
      </c>
      <c r="M313" s="156">
        <f t="shared" si="126"/>
        <v>0</v>
      </c>
      <c r="N313" s="156">
        <f t="shared" si="126"/>
        <v>0</v>
      </c>
      <c r="O313" s="156">
        <f t="shared" si="126"/>
        <v>0</v>
      </c>
      <c r="P313" s="156">
        <f t="shared" si="126"/>
        <v>0</v>
      </c>
      <c r="Q313" s="156">
        <f t="shared" si="126"/>
        <v>0</v>
      </c>
      <c r="R313" s="156">
        <f t="shared" si="126"/>
        <v>0</v>
      </c>
      <c r="S313" s="156">
        <f t="shared" si="126"/>
        <v>0</v>
      </c>
      <c r="T313" s="156">
        <f t="shared" si="126"/>
        <v>0</v>
      </c>
      <c r="U313" s="156">
        <f t="shared" si="126"/>
        <v>0</v>
      </c>
      <c r="V313" s="156">
        <f t="shared" si="126"/>
        <v>0</v>
      </c>
      <c r="W313" s="156">
        <f t="shared" si="126"/>
        <v>0</v>
      </c>
      <c r="X313" s="156">
        <f t="shared" si="126"/>
        <v>0</v>
      </c>
      <c r="Y313" s="156">
        <f t="shared" si="126"/>
        <v>0</v>
      </c>
      <c r="Z313" s="156">
        <f t="shared" si="126"/>
        <v>0</v>
      </c>
      <c r="AA313" s="156">
        <f t="shared" si="126"/>
        <v>0</v>
      </c>
      <c r="AB313" s="156">
        <f t="shared" si="126"/>
        <v>0</v>
      </c>
      <c r="AC313" s="156">
        <f t="shared" si="126"/>
        <v>0</v>
      </c>
      <c r="AD313" s="156">
        <f t="shared" si="126"/>
        <v>0</v>
      </c>
      <c r="AE313" s="156">
        <f t="shared" si="126"/>
        <v>0</v>
      </c>
    </row>
    <row r="314" spans="1:33" x14ac:dyDescent="0.3">
      <c r="B314" s="156">
        <f t="shared" ref="B314:AE314" si="127">B15+B21+B46+B53+B59+B65+B72+B84+B90+B96+B102+B108+B120+B126+B132+B144+B152+B165+B190+B202+B208+B214+B220+B226+B240+B246+B258+B264+B278+B284-B289</f>
        <v>0</v>
      </c>
      <c r="C314" s="156">
        <f t="shared" si="127"/>
        <v>0</v>
      </c>
      <c r="D314" s="156">
        <f t="shared" si="127"/>
        <v>0</v>
      </c>
      <c r="E314" s="156">
        <f t="shared" si="127"/>
        <v>0</v>
      </c>
      <c r="F314" s="156">
        <f>F15+F21+F46+F53+F59+F65+F72+F84+F90+F96+F102+F108+F120+F126+F132+F144+F152+F165+F190+F202+F208+F214+F220+F226+F240+F246+F258+F264+F278+F284-F289</f>
        <v>953.88257596915855</v>
      </c>
      <c r="G314" s="156">
        <f t="shared" si="127"/>
        <v>2159.7279391641473</v>
      </c>
      <c r="H314" s="156">
        <f t="shared" si="127"/>
        <v>0</v>
      </c>
      <c r="I314" s="156">
        <f t="shared" si="127"/>
        <v>0</v>
      </c>
      <c r="J314" s="156">
        <f t="shared" si="127"/>
        <v>0</v>
      </c>
      <c r="K314" s="156">
        <f t="shared" si="127"/>
        <v>0</v>
      </c>
      <c r="L314" s="156">
        <f t="shared" si="127"/>
        <v>0</v>
      </c>
      <c r="M314" s="156">
        <f t="shared" si="127"/>
        <v>0</v>
      </c>
      <c r="N314" s="156">
        <f t="shared" si="127"/>
        <v>0</v>
      </c>
      <c r="O314" s="156">
        <f t="shared" si="127"/>
        <v>0</v>
      </c>
      <c r="P314" s="156">
        <f t="shared" si="127"/>
        <v>0</v>
      </c>
      <c r="Q314" s="156">
        <f t="shared" si="127"/>
        <v>0</v>
      </c>
      <c r="R314" s="156">
        <f t="shared" si="127"/>
        <v>0</v>
      </c>
      <c r="S314" s="156">
        <f t="shared" si="127"/>
        <v>0</v>
      </c>
      <c r="T314" s="156">
        <f t="shared" si="127"/>
        <v>0</v>
      </c>
      <c r="U314" s="156">
        <f t="shared" si="127"/>
        <v>0</v>
      </c>
      <c r="V314" s="156">
        <f t="shared" si="127"/>
        <v>0</v>
      </c>
      <c r="W314" s="156">
        <f t="shared" si="127"/>
        <v>0</v>
      </c>
      <c r="X314" s="156">
        <f t="shared" si="127"/>
        <v>0</v>
      </c>
      <c r="Y314" s="156">
        <f t="shared" si="127"/>
        <v>0</v>
      </c>
      <c r="Z314" s="156">
        <f t="shared" si="127"/>
        <v>0</v>
      </c>
      <c r="AA314" s="156">
        <f t="shared" si="127"/>
        <v>0</v>
      </c>
      <c r="AB314" s="156">
        <f t="shared" si="127"/>
        <v>0</v>
      </c>
      <c r="AC314" s="156">
        <f t="shared" si="127"/>
        <v>0</v>
      </c>
      <c r="AD314" s="156">
        <f t="shared" si="127"/>
        <v>0</v>
      </c>
      <c r="AE314" s="156">
        <f t="shared" si="127"/>
        <v>0</v>
      </c>
    </row>
    <row r="315" spans="1:33" x14ac:dyDescent="0.3">
      <c r="B315" s="156">
        <f>B16+B22+B47+B54+B60+B67+B73+B85+B91+B97+B103+B109+B121+B127+B133+B145+B153+B166+B191+B203+B209+B215+B221+B227+B241+B247+B259+B265+B279+B285-B290</f>
        <v>0</v>
      </c>
      <c r="C315" s="156">
        <f t="shared" ref="B315:AE315" si="128">C16+C22+C47+C54+C60+C66+C73+C85+C91+C97+C103+C109+C121+C127+C133+C145+C153+C166+C191+C203+C209+C215+C221+C227+C241+C247+C259+C265+C279+C285-C290</f>
        <v>9.4</v>
      </c>
      <c r="D315" s="156">
        <f t="shared" si="128"/>
        <v>13</v>
      </c>
      <c r="E315" s="156">
        <f t="shared" si="128"/>
        <v>13</v>
      </c>
      <c r="F315" s="156">
        <f t="shared" si="128"/>
        <v>31.175059952038371</v>
      </c>
      <c r="G315" s="156">
        <f t="shared" si="128"/>
        <v>138.29787234042553</v>
      </c>
      <c r="H315" s="156">
        <f t="shared" si="128"/>
        <v>0</v>
      </c>
      <c r="I315" s="156">
        <f t="shared" si="128"/>
        <v>0</v>
      </c>
      <c r="J315" s="156">
        <f t="shared" si="128"/>
        <v>0</v>
      </c>
      <c r="K315" s="156">
        <f t="shared" si="128"/>
        <v>0</v>
      </c>
      <c r="L315" s="156">
        <f t="shared" si="128"/>
        <v>9.4</v>
      </c>
      <c r="M315" s="156">
        <f t="shared" si="128"/>
        <v>9.4</v>
      </c>
      <c r="N315" s="156">
        <f t="shared" si="128"/>
        <v>3.6</v>
      </c>
      <c r="O315" s="156">
        <f t="shared" si="128"/>
        <v>3.6</v>
      </c>
      <c r="P315" s="156">
        <f t="shared" si="128"/>
        <v>11.2</v>
      </c>
      <c r="Q315" s="156">
        <f t="shared" si="128"/>
        <v>0</v>
      </c>
      <c r="R315" s="156">
        <f t="shared" si="128"/>
        <v>0.7</v>
      </c>
      <c r="S315" s="156">
        <f t="shared" si="128"/>
        <v>0</v>
      </c>
      <c r="T315" s="156">
        <f t="shared" si="128"/>
        <v>0.7</v>
      </c>
      <c r="U315" s="156">
        <f t="shared" si="128"/>
        <v>0</v>
      </c>
      <c r="V315" s="156">
        <f t="shared" si="128"/>
        <v>0.7</v>
      </c>
      <c r="W315" s="156">
        <f t="shared" si="128"/>
        <v>0</v>
      </c>
      <c r="X315" s="156">
        <f t="shared" si="128"/>
        <v>13.3</v>
      </c>
      <c r="Y315" s="156">
        <f t="shared" si="128"/>
        <v>0</v>
      </c>
      <c r="Z315" s="156">
        <f t="shared" si="128"/>
        <v>0.7</v>
      </c>
      <c r="AA315" s="156">
        <f t="shared" si="128"/>
        <v>0</v>
      </c>
      <c r="AB315" s="156">
        <f t="shared" si="128"/>
        <v>0.7</v>
      </c>
      <c r="AC315" s="156">
        <f t="shared" si="128"/>
        <v>0</v>
      </c>
      <c r="AD315" s="156">
        <f t="shared" si="128"/>
        <v>0.7</v>
      </c>
      <c r="AE315" s="156">
        <f t="shared" si="128"/>
        <v>0</v>
      </c>
    </row>
  </sheetData>
  <customSheetViews>
    <customSheetView guid="{533DC55B-6AD4-4674-9488-685EF2039F3E}" scale="70">
      <pane xSplit="2" ySplit="11" topLeftCell="S358" activePane="bottomRight" state="frozen"/>
      <selection pane="bottomRight" activeCell="AF56" sqref="AF56"/>
      <pageMargins left="0.7" right="0.7" top="0.75" bottom="0.75" header="0.3" footer="0.3"/>
    </customSheetView>
    <customSheetView guid="{85F4575B-DBC5-482A-9916-255D8F0BC94E}" scale="70">
      <pane xSplit="2" ySplit="11" topLeftCell="S235" activePane="bottomRight" state="frozen"/>
      <selection pane="bottomRight" activeCell="AF56" sqref="AF56"/>
      <pageMargins left="0.7" right="0.7" top="0.75" bottom="0.75" header="0.3" footer="0.3"/>
    </customSheetView>
    <customSheetView guid="{B1BF08D1-D416-4B47-ADD0-4F59132DC9E8}" scale="70">
      <pane xSplit="2" ySplit="11" topLeftCell="S235" activePane="bottomRight" state="frozen"/>
      <selection pane="bottomRight" activeCell="AF56" sqref="AF56"/>
      <pageMargins left="0.7" right="0.7" top="0.75" bottom="0.75" header="0.3" footer="0.3"/>
    </customSheetView>
    <customSheetView guid="{4F41B9CC-959D-442C-80B0-1F0DB2C76D27}" scale="70">
      <pane xSplit="2" ySplit="11" topLeftCell="C282" activePane="bottomRight" state="frozen"/>
      <selection pane="bottomRight" activeCell="E288" sqref="E288"/>
      <pageMargins left="0.7" right="0.7" top="0.75" bottom="0.75" header="0.3" footer="0.3"/>
    </customSheetView>
    <customSheetView guid="{602C8EDB-B9EF-4C85-B0D5-0558C3A0ABAB}" scale="70">
      <pane xSplit="2" ySplit="11" topLeftCell="C282" activePane="bottomRight" state="frozen"/>
      <selection pane="bottomRight" activeCell="E288" sqref="E288"/>
      <pageMargins left="0.7" right="0.7" top="0.75" bottom="0.75" header="0.3" footer="0.3"/>
    </customSheetView>
    <customSheetView guid="{D01FA037-9AEC-4167-ADB8-2F327C01ECE6}" scale="70">
      <pane xSplit="2" ySplit="11" topLeftCell="C282" activePane="bottomRight" state="frozen"/>
      <selection pane="bottomRight" activeCell="E288" sqref="E288"/>
      <pageMargins left="0.7" right="0.7" top="0.75" bottom="0.75" header="0.3" footer="0.3"/>
    </customSheetView>
    <customSheetView guid="{84867370-1F3E-4368-AF79-FBCE46FFFE92}" scale="70">
      <pane xSplit="2" ySplit="11" topLeftCell="C282" activePane="bottomRight" state="frozen"/>
      <selection pane="bottomRight" activeCell="E288" sqref="E288"/>
      <pageMargins left="0.7" right="0.7" top="0.75" bottom="0.75" header="0.3" footer="0.3"/>
    </customSheetView>
    <customSheetView guid="{0C2B9C2A-7B94-41EF-A2E6-F8AC9A67DE25}" scale="70">
      <pane xSplit="2" ySplit="11" topLeftCell="E57" activePane="bottomRight" state="frozen"/>
      <selection pane="bottomRight" activeCell="B13" sqref="B13"/>
      <pageMargins left="0.7" right="0.7" top="0.75" bottom="0.75" header="0.3" footer="0.3"/>
    </customSheetView>
    <customSheetView guid="{47B983AB-FE5F-4725-860C-A2F29420596D}" scale="70">
      <pane xSplit="2" ySplit="11" topLeftCell="E57" activePane="bottomRight" state="frozen"/>
      <selection pane="bottomRight" activeCell="B13" sqref="B13"/>
      <pageMargins left="0.7" right="0.7" top="0.75" bottom="0.75" header="0.3" footer="0.3"/>
    </customSheetView>
    <customSheetView guid="{DAA8A688-7558-4B5B-8DBD-E2629BD9E9A8}" scale="70">
      <pane xSplit="2" ySplit="11" topLeftCell="E12" activePane="bottomRight" state="frozen"/>
      <selection pane="bottomRight" activeCell="B13" sqref="B13"/>
      <pageMargins left="0.7" right="0.7" top="0.75" bottom="0.75" header="0.3" footer="0.3"/>
    </customSheetView>
    <customSheetView guid="{BCD82A82-B724-4763-8580-D765356E09BA}" scale="70">
      <pane xSplit="2" ySplit="11" topLeftCell="K12" activePane="bottomRight" state="frozen"/>
      <selection pane="bottomRight" activeCell="A4" sqref="A4:AF4"/>
      <pageMargins left="0.7" right="0.7" top="0.75" bottom="0.75" header="0.3" footer="0.3"/>
    </customSheetView>
    <customSheetView guid="{C236B307-BD63-48C4-A75F-B3F3717BF55C}" scale="70">
      <pane xSplit="2" ySplit="11" topLeftCell="C294" activePane="bottomRight" state="frozen"/>
      <selection pane="bottomRight" activeCell="J272" sqref="J272"/>
      <pageMargins left="0.7" right="0.7" top="0.75" bottom="0.75" header="0.3" footer="0.3"/>
    </customSheetView>
    <customSheetView guid="{87218168-6C8E-4D5B-A5E5-DCCC26803AA3}" scale="70">
      <pane xSplit="2" ySplit="11" topLeftCell="E12" activePane="bottomRight" state="frozen"/>
      <selection pane="bottomRight" activeCell="B13" sqref="B13"/>
      <pageMargins left="0.7" right="0.7" top="0.75" bottom="0.75" header="0.3" footer="0.3"/>
    </customSheetView>
    <customSheetView guid="{874882D1-E741-4CCA-BF0D-E72FA60B771D}" scale="70">
      <pane xSplit="2" ySplit="11" topLeftCell="E12" activePane="bottomRight" state="frozen"/>
      <selection pane="bottomRight" activeCell="N25" sqref="N25"/>
      <pageMargins left="0.7" right="0.7" top="0.75" bottom="0.75" header="0.3" footer="0.3"/>
    </customSheetView>
    <customSheetView guid="{B82BA08A-1A30-4F4D-A478-74A6BD09EA97}" scale="70">
      <pane xSplit="2" ySplit="11" topLeftCell="E12" activePane="bottomRight" state="frozen"/>
      <selection pane="bottomRight" activeCell="B13" sqref="B13"/>
      <pageMargins left="0.7" right="0.7" top="0.75" bottom="0.75" header="0.3" footer="0.3"/>
    </customSheetView>
    <customSheetView guid="{4D0DFB57-2CBA-42F2-9A97-C453A6851FBA}" scale="70">
      <pane xSplit="2" ySplit="11" topLeftCell="E12" activePane="bottomRight" state="frozen"/>
      <selection pane="bottomRight" activeCell="B13" sqref="B13"/>
      <pageMargins left="0.7" right="0.7" top="0.75" bottom="0.75" header="0.3" footer="0.3"/>
    </customSheetView>
    <customSheetView guid="{770624BF-07F3-44B6-94C3-4CC447CDD45C}" scale="70">
      <pane xSplit="2" ySplit="11" topLeftCell="E12" activePane="bottomRight" state="frozen"/>
      <selection pane="bottomRight" activeCell="B13" sqref="B13"/>
      <pageMargins left="0.7" right="0.7" top="0.75" bottom="0.75" header="0.3" footer="0.3"/>
    </customSheetView>
    <customSheetView guid="{E508E171-4ED9-4B07-84DF-DA28C60E1969}" scale="70">
      <pane xSplit="2" ySplit="11" topLeftCell="E57" activePane="bottomRight" state="frozen"/>
      <selection pane="bottomRight" activeCell="B13" sqref="B13"/>
      <pageMargins left="0.7" right="0.7" top="0.75" bottom="0.75" header="0.3" footer="0.3"/>
    </customSheetView>
    <customSheetView guid="{74870EE6-26B9-40F7-9DC9-260EF16D8959}" scale="70">
      <pane xSplit="2" ySplit="11" topLeftCell="F12" activePane="bottomRight" state="frozen"/>
      <selection pane="bottomRight" activeCell="A35" sqref="A35"/>
      <pageMargins left="0.7" right="0.7" top="0.75" bottom="0.75" header="0.3" footer="0.3"/>
    </customSheetView>
    <customSheetView guid="{009B3074-D8EC-4952-BF50-43CD64449612}" scale="70">
      <pane xSplit="2" ySplit="11" topLeftCell="F12" activePane="bottomRight" state="frozen"/>
      <selection pane="bottomRight" activeCell="A35" sqref="A35"/>
      <pageMargins left="0.7" right="0.7" top="0.75" bottom="0.75" header="0.3" footer="0.3"/>
    </customSheetView>
    <customSheetView guid="{F679EF4A-C5FD-4B86-B87B-D85968E0F2CA}" scale="70">
      <pane xSplit="2" ySplit="11" topLeftCell="C282" activePane="bottomRight" state="frozen"/>
      <selection pane="bottomRight" activeCell="E288" sqref="E288"/>
      <pageMargins left="0.7" right="0.7" top="0.75" bottom="0.75" header="0.3" footer="0.3"/>
    </customSheetView>
    <customSheetView guid="{959E901C-5DDE-42EE-AE94-AB8976B5E00B}" scale="70">
      <pane xSplit="2" ySplit="11" topLeftCell="S235" activePane="bottomRight" state="frozen"/>
      <selection pane="bottomRight" activeCell="AF56" sqref="AF56"/>
      <pageMargins left="0.7" right="0.7" top="0.75" bottom="0.75" header="0.3" footer="0.3"/>
    </customSheetView>
    <customSheetView guid="{69DABE6F-6182-4403-A4A2-969F10F1C13A}" scale="70">
      <pane xSplit="2" ySplit="11" topLeftCell="S235" activePane="bottomRight" state="frozen"/>
      <selection pane="bottomRight" activeCell="AF56" sqref="AF56"/>
      <pageMargins left="0.7" right="0.7" top="0.75" bottom="0.75" header="0.3" footer="0.3"/>
    </customSheetView>
    <customSheetView guid="{09C3E205-981E-4A4E-BE89-8B7044192060}" scale="85">
      <pane xSplit="2" ySplit="11" topLeftCell="C177" activePane="bottomRight" state="frozen"/>
      <selection pane="bottomRight" activeCell="B30" sqref="B30"/>
      <pageMargins left="0.7" right="0.7" top="0.75" bottom="0.75" header="0.3" footer="0.3"/>
      <pageSetup paperSize="9" orientation="portrait" r:id="rId1"/>
    </customSheetView>
    <customSheetView guid="{6A602CB8-B24C-4ED4-B378-B27354BE0A1A}" scale="70">
      <pane xSplit="2" ySplit="11" topLeftCell="G264" activePane="bottomRight" state="frozen"/>
      <selection pane="bottomRight" activeCell="B206" sqref="B206"/>
      <pageMargins left="0.7" right="0.7" top="0.75" bottom="0.75" header="0.3" footer="0.3"/>
      <pageSetup paperSize="9" orientation="portrait" r:id="rId2"/>
    </customSheetView>
    <customSheetView guid="{7C130984-112A-4861-AA43-E2940708E3DC}" scale="75" showPageBreaks="1" hiddenColumns="1">
      <pane xSplit="1" ySplit="11" topLeftCell="C276" activePane="bottomRight" state="frozen"/>
      <selection pane="bottomRight" activeCell="N295" sqref="N295"/>
      <pageMargins left="0.7" right="0.7" top="0.75" bottom="0.75" header="0.3" footer="0.3"/>
      <pageSetup paperSize="9" scale="60" orientation="landscape" r:id="rId3"/>
    </customSheetView>
  </customSheetViews>
  <mergeCells count="26">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228:AF228"/>
    <mergeCell ref="A229:AF229"/>
    <mergeCell ref="A266:AF266"/>
    <mergeCell ref="A267:AF267"/>
    <mergeCell ref="A9:AF9"/>
    <mergeCell ref="A10:AF10"/>
    <mergeCell ref="A35:AF35"/>
    <mergeCell ref="A146:AF146"/>
    <mergeCell ref="A147:AF147"/>
    <mergeCell ref="A154:AF154"/>
  </mergeCells>
  <hyperlinks>
    <hyperlink ref="A4:AF4" location="Оглавление!A1" display="Комплексный план (сетевой график) по реализации муниципальной программы  &quot;Культурное пространство города Когалыма&quot;"/>
  </hyperlinks>
  <pageMargins left="0.7" right="0.7" top="0.75" bottom="0.75" header="0.3" footer="0.3"/>
  <pageSetup paperSize="9" scale="60" orientation="landscape"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C130984-112A-4861-AA43-E2940708E3DC}"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24</vt:i4>
      </vt:variant>
    </vt:vector>
  </HeadingPairs>
  <TitlesOfParts>
    <vt:vector size="24" baseType="lpstr">
      <vt:lpstr>Оглавление</vt:lpstr>
      <vt:lpstr>1.СЗН</vt:lpstr>
      <vt:lpstr>2.АПК</vt:lpstr>
      <vt:lpstr>3.БЖД</vt:lpstr>
      <vt:lpstr>4.УМИ</vt:lpstr>
      <vt:lpstr>5.Проф. прав.</vt:lpstr>
      <vt:lpstr>6.Экстримизм</vt:lpstr>
      <vt:lpstr>7.МП КП</vt:lpstr>
      <vt:lpstr>Лист4</vt:lpstr>
      <vt:lpstr>8.МП РМС</vt:lpstr>
      <vt:lpstr>Лист3</vt:lpstr>
      <vt:lpstr>9.МП РИГО</vt:lpstr>
      <vt:lpstr>10.МП РФКиС</vt:lpstr>
      <vt:lpstr>Лист2</vt:lpstr>
      <vt:lpstr>11.МП РО</vt:lpstr>
      <vt:lpstr>12.МП УМФ</vt:lpstr>
      <vt:lpstr>Лист1</vt:lpstr>
      <vt:lpstr>13.МП РЖС</vt:lpstr>
      <vt:lpstr>14.МП СЭР</vt:lpstr>
      <vt:lpstr>15.МП ЭБ</vt:lpstr>
      <vt:lpstr>16.МП РЖКК</vt:lpstr>
      <vt:lpstr>17.МП РТС</vt:lpstr>
      <vt:lpstr>18.МП ФКГС</vt:lpstr>
      <vt:lpstr>19.МП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Тихонова Лариса Анатольевна</dc:creator>
  <cp:lastModifiedBy>Тихонова Лариса Анатольевна</cp:lastModifiedBy>
  <cp:lastPrinted>2024-05-13T09:30:20Z</cp:lastPrinted>
  <dcterms:created xsi:type="dcterms:W3CDTF">2006-09-16T00:00:00Z</dcterms:created>
  <dcterms:modified xsi:type="dcterms:W3CDTF">2024-05-16T10:30:12Z</dcterms:modified>
</cp:coreProperties>
</file>