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9720" windowHeight="4980" activeTab="1"/>
  </bookViews>
  <sheets>
    <sheet name="Титульный лист" sheetId="1" r:id="rId1"/>
    <sheet name="февраль" sheetId="2" r:id="rId2"/>
    <sheet name="Программа" sheetId="3" state="hidden" r:id="rId3"/>
    <sheet name="замена" sheetId="4" state="hidden" r:id="rId4"/>
    <sheet name="Лист2" sheetId="5" state="hidden" r:id="rId5"/>
  </sheets>
  <definedNames>
    <definedName name="_xlnm.Print_Titles" localSheetId="1">'февраль'!$A:$A,'февраль'!$4:$6</definedName>
    <definedName name="_xlnm.Print_Area" localSheetId="1">'февраль'!$A$1:$AF$84</definedName>
  </definedNames>
  <calcPr fullCalcOnLoad="1"/>
</workbook>
</file>

<file path=xl/sharedStrings.xml><?xml version="1.0" encoding="utf-8"?>
<sst xmlns="http://schemas.openxmlformats.org/spreadsheetml/2006/main" count="555" uniqueCount="197">
  <si>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</si>
  <si>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</si>
  <si>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</si>
  <si>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</si>
  <si>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</si>
  <si>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</si>
  <si>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</si>
  <si>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</si>
  <si>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</si>
  <si>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</si>
  <si>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</si>
  <si>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</si>
  <si>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</si>
  <si>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</si>
  <si>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</si>
  <si>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</si>
  <si>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</si>
  <si>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</si>
  <si>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</si>
  <si>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</si>
  <si>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</si>
  <si>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</si>
  <si>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</si>
  <si>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</si>
  <si>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</si>
  <si>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</si>
  <si>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</si>
  <si>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</si>
  <si>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</si>
  <si>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</si>
  <si>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</si>
  <si>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</si>
  <si>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</si>
  <si>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</si>
  <si>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 ЭКОНОМИКИ</t>
  </si>
  <si>
    <t>________________________Т.И.Черных</t>
  </si>
  <si>
    <t>Муниципальная программа "Содействие занятости населения города Когалыма на 2014-2016 годы"</t>
  </si>
  <si>
    <t>Приложение</t>
  </si>
  <si>
    <t>к постановлению Администрации города Когалыма</t>
  </si>
  <si>
    <t>от ____________ №_________</t>
  </si>
  <si>
    <t>Основные мероприятия муниципальной программы</t>
  </si>
  <si>
    <t>№ п/п</t>
  </si>
  <si>
    <t>Ответственный исполнитель /соисполнитель,учреждение, организация</t>
  </si>
  <si>
    <t>Срок выполнения</t>
  </si>
  <si>
    <t>Финансовые затраты на реализацию (тыс. рублей)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</si>
  <si>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</si>
  <si>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</si>
  <si>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</si>
  <si>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</si>
  <si>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</si>
  <si>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</si>
  <si>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I. Цель 1. Содействие занятости населения города Когалыма и повышение конкурентоспособности рабочей силы</t>
  </si>
  <si>
    <t>Подпрограмма 1. «Содействие трудоустройству граждан»</t>
  </si>
  <si>
    <t>Задача 1 Содействие временному трудоустройству несовершеннолетних граждан</t>
  </si>
  <si>
    <t>1.1.</t>
  </si>
  <si>
    <t>Организация временного трудоустройства несовершеннолетних граждан в возрасте от 14 до 18 лет в свободное от учёбы время</t>
  </si>
  <si>
    <t>Управление культуры, спорта и молодёжной политики Администрации города Когалыма</t>
  </si>
  <si>
    <t>2014-2016 годы</t>
  </si>
  <si>
    <t>Бюджет города Когалыма  (2016 год - за счёт условно утверждённых расходов)</t>
  </si>
  <si>
    <t>Бюджет автономного округа</t>
  </si>
  <si>
    <t>1.2.</t>
  </si>
  <si>
    <t>Организация временного трудоустройства несовершеннолетних граждан в возрасте от 14 до 18 лет в течение учебного года</t>
  </si>
  <si>
    <t>1.3.</t>
  </si>
  <si>
    <t xml:space="preserve">Организация временного трудоустройства несовершеннолетних безработных граждан в возрасте от 16 до 18 лет </t>
  </si>
  <si>
    <t>Бюджет Ханты-Мансийского автономного округа - Югры (далее - бюджет автономного округа)</t>
  </si>
  <si>
    <t>1.4.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</si>
  <si>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</si>
  <si>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1.5.</t>
  </si>
  <si>
    <t>Привлечение внештатных сотрудников</t>
  </si>
  <si>
    <t>1.6.</t>
  </si>
  <si>
    <t>Приобретение канцелярских товаров</t>
  </si>
  <si>
    <t>1.7.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</si>
  <si>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</si>
  <si>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</si>
  <si>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</si>
  <si>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</si>
  <si>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2.1.</t>
  </si>
  <si>
    <t>Организация проведения оплачиваемых общественных работ для не занятых трудовой деятельностью и безработных граждан</t>
  </si>
  <si>
    <t>Муниципальное казённое учреждение «Управление жилищно-коммунального хозяйства города Когалыма»</t>
  </si>
  <si>
    <t>Итого по задаче 2</t>
  </si>
  <si>
    <t>Итого по подпрограмме 1</t>
  </si>
  <si>
    <t>Подпрограмма 2. «Дополнительные мероприятия в области занятости населения»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</si>
  <si>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</si>
  <si>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3.1.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</si>
  <si>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</si>
  <si>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Управление образования Администрации города Когалыма</t>
  </si>
  <si>
    <t>Итого по задаче 3</t>
  </si>
  <si>
    <t>Итого по подпрограмме 2</t>
  </si>
  <si>
    <t>II. Цель 2. Улучшение условий и охраны труда в городе Когалыме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</si>
  <si>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</si>
  <si>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</si>
  <si>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4.1.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</si>
  <si>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</si>
  <si>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Управление экономики Администрации города Когалыма</t>
  </si>
  <si>
    <t>4.2.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</si>
  <si>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</si>
  <si>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4.3.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</si>
  <si>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</si>
  <si>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 xml:space="preserve">Бюджет города Когалыма  </t>
  </si>
  <si>
    <t>4.4.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</si>
  <si>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</si>
  <si>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 xml:space="preserve">Бюджет автономного округа 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</si>
  <si>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</si>
  <si>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</si>
  <si>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</si>
  <si>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Организация проведения заседаний Межведомственной комиссии по охране труда в городе Когалыме</t>
  </si>
  <si>
    <t>5.2.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</si>
  <si>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</si>
  <si>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3</t>
  </si>
  <si>
    <t>ВСЕГО  ПО  ПРОГРАММЕ</t>
  </si>
  <si>
    <t>в том числе:</t>
  </si>
  <si>
    <t>ответственный исполнитель – Управление экономики Администрации города Когалыма</t>
  </si>
  <si>
    <t>соисполнитель 1 – Управление культуры, спорта и молодёжной политики Администрации города Когалыма</t>
  </si>
  <si>
    <t>соисполнитель 2 – Муниципальное казённое учреждение «Управление жилищно-коммунального хозяйства города Когалыма»</t>
  </si>
  <si>
    <t>соисполнитель 3 – Управление образования Администрации города Когалыма</t>
  </si>
  <si>
    <t xml:space="preserve">Подпрограмма 1. "Содействие трудоустройству граждан" </t>
  </si>
  <si>
    <t>Задача  1 "Содействие временному трудоустройству несовершеннолетних граждан"</t>
  </si>
  <si>
    <t>1.1. "Организация временного трудоустройства несовершеннолетних граждан в возрасте от 14 до 18 лет в свободное от учёбы время"</t>
  </si>
  <si>
    <t>1.2. "Организация временного трудоустройства несовершеннолетних граждан в возрасте от 14 до 18 лет в течение учебного года"</t>
  </si>
  <si>
    <t>1.3. "Организация временного трудоустройства несовершеннолетних безработных граждан в возрасте от 16 до 18 лет "</t>
  </si>
  <si>
    <t>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</si>
  <si>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1.5. "Привлечение внештатных сотрудников"</t>
  </si>
  <si>
    <t>1.6. "Приобретение канцелярских товаров"</t>
  </si>
  <si>
    <t>1.7. "Оказание консультационных услуг по вопросам о занятости несовершеннолетних граждан"</t>
  </si>
  <si>
    <t>Задача  2 "Сдерживание роста безработицы и снижение напряжённости на рынке труда"</t>
  </si>
  <si>
    <t>2.1. "Организация проведения оплачиваемых общественных работ для не занятых трудовой деятельностью и безработных граждан"</t>
  </si>
  <si>
    <t xml:space="preserve">Подпрограмма 2. "Дополнительные мероприятия в области занятости населения" </t>
  </si>
  <si>
    <t>Задача  3 "Содействие трудоустройству незанятых одиноких родителей, родителей, воспитывающих детей-инвалидов, многодетных родителей"</t>
  </si>
  <si>
    <t>3.1.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</si>
  <si>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3. "Улучшение условий и охраны труда в городе Когалыме" </t>
  </si>
  <si>
    <t>Задача  4 "Совершенствование государственного управления охраной труда в городе Когалыме в рамках переданных полномочий"</t>
  </si>
  <si>
    <t>4.1. "Проведение семинара по вопросам методического руководства служб охраны труда в организациях, расположенных в городе Когалыме"</t>
  </si>
  <si>
    <t>4.2.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</si>
  <si>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4.3.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</si>
  <si>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4.4.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</si>
  <si>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5 "Снижение уровня производственного травматизма, улучшение условий труда"</t>
  </si>
  <si>
    <t>5.1. "Организация проведения заседаний Межведомственной комиссии по охране труда в городе Когалыме"</t>
  </si>
  <si>
    <t>5.2.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</si>
  <si>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Заместитель начальника управления экономики Администрации города Когалыма</t>
  </si>
  <si>
    <t>Ю.Л.Спиридонова</t>
  </si>
  <si>
    <t xml:space="preserve">Начальник управления культуры, спорта и молодёжной политики </t>
  </si>
  <si>
    <t>Администрации города Когалыма</t>
  </si>
  <si>
    <t>Е.В.Бережинская</t>
  </si>
  <si>
    <t xml:space="preserve">Начальник управления образования Администрации города Когалыма </t>
  </si>
  <si>
    <t>С.Г.Гришина</t>
  </si>
  <si>
    <t>Директор МКУ "Управление жилищно-коммунального хозяйства</t>
  </si>
  <si>
    <t>города Когалыма"</t>
  </si>
  <si>
    <t>А.А.Морозов</t>
  </si>
  <si>
    <t>Власова Елена Михайловна, тел. 93-785</t>
  </si>
  <si>
    <t xml:space="preserve">Ответственный за составление сетевого графика: </t>
  </si>
  <si>
    <t xml:space="preserve">федеральный бюджет </t>
  </si>
  <si>
    <t>ИТОГО (ФЕНИКС)</t>
  </si>
  <si>
    <t>Мартынова Снежана Владимировна , тел. 93-785</t>
  </si>
  <si>
    <t>за 2016 год</t>
  </si>
  <si>
    <t>"Содействие занятости населения города Когалыма"</t>
  </si>
  <si>
    <t>План на 2016 год</t>
  </si>
  <si>
    <t>1.1 "Содействие улучшению положения на рынке труда не занятых трудовой деятельностью и безработных граждан"  (1,2,3,4,5)</t>
  </si>
  <si>
    <t>1.1.2. "Организация временного трудоустройства несовершеннолетних граждан в возрасте от 14 до 18 лет в течение учебного года"</t>
  </si>
  <si>
    <t>1.1.3. "Организация временного трудоустройства несовершеннолетних безработных граждан в возрасте от 16 до 18 лет "</t>
  </si>
  <si>
    <t>1.1.4.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</si>
  <si>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1.1.5. "Привлечение внештатных сотрудников"</t>
  </si>
  <si>
    <t>1.1.6. "Приобретение канцелярских товаров"</t>
  </si>
  <si>
    <t>1.1.7. "Оказание консультационных услуг по вопросам о занятости несовершеннолетних граждан"</t>
  </si>
  <si>
    <t>1.1.8. "Организация проведения оплачиваемых общественных работ для не занятых трудовой деятельностью и безработных граждан"</t>
  </si>
  <si>
    <t>1.1.10.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</si>
  <si>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2. "Улучшение условий и охраны труда в городе Когалыме" </t>
  </si>
  <si>
    <t>2.1 "Совершенствование нормативно-правовой базы в городе Когалыме в области охраны труда" (6)</t>
  </si>
  <si>
    <t>2.2 "Информационное обеспечение и пропаганда охраны труда" (7)</t>
  </si>
  <si>
    <t>2.2.2. "Организация проведения заседаний Межведомственной комиссии по охране труда в городе Когалыме"</t>
  </si>
  <si>
    <t>2.2.3.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</si>
  <si>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2.2.4.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</si>
  <si>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 xml:space="preserve">Основные мероприятия, подмероприятия муниципальной программы </t>
  </si>
  <si>
    <t>1.1.1. "Организация временного трудоустройства несовершеннолетних граждан в возрасте от 14 до 18 лет в свободное от учёбы время"</t>
  </si>
  <si>
    <r>
      <t xml:space="preserve">1.1.9. 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Содействие трудоустройству незанятых инвалидов на оборудованные (оснащенные) для них рабочие места" </t>
    </r>
  </si>
  <si>
    <t>2.1.1. ""Исполнение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</si>
  <si>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2.2.1. ""Проведение семинаров по вопросам охраны труда""</t>
  </si>
  <si>
    <t>2.2.5. 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</si>
  <si>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 xml:space="preserve">Проведение мероприятия запланировано на май 2016 года. </t>
  </si>
  <si>
    <t>Мероприятие проводится один раз в два года (конкурс проводился в 2015г.).</t>
  </si>
  <si>
    <t>Заседание Межведомственной комиссии запланировано на май и декабрь 2016 года.</t>
  </si>
  <si>
    <t xml:space="preserve">Проведение мероприятия запланировано на октябрь 2016 года. </t>
  </si>
  <si>
    <t>Зам.начальника управления экономики Администрации города Когалыма</t>
  </si>
  <si>
    <t>Профинансировано на 01.03.2016</t>
  </si>
  <si>
    <t>Кассовый расход на  01.03.2016</t>
  </si>
  <si>
    <t xml:space="preserve">по состоянию на 01.03.2016 </t>
  </si>
  <si>
    <t>Отчет о ходе реализации муниципальной программы "Содействие занятости населения города Когалыма"по состоянию на 01.03.2016 года</t>
  </si>
  <si>
    <t>План на 01.03.2016</t>
  </si>
  <si>
    <t xml:space="preserve">Проводилились консультации, сбор и обработка отчетов по ОТ направляемых работодателями. Принято и обработано 128 отчетов по ОТ от работодателей г.Когалыма. </t>
  </si>
  <si>
    <t>Принято 341 заявление от несовершеннолетних граждан и их законных представителей для  формирования общей очереди для трудоустройства в летние трудовые бригады. Освоение денежных средств (согласно сетевого графика) запланировано в июне м-це.</t>
  </si>
  <si>
    <t>В МКУ "МКЦ"Феникс"поступило 10 заявок от учреждений и организаций  города Когалыма о необходимом количестве работников для участия в данном мероприятии. Заключено 10 договоров о совместной деятельности. Заключено 10 срочных трудовых договора с несовершеннолетними гражданами. Средства в размере 67,28 тыс.рублей выплачены на аванс за 1 пол. февраля 2016 года несовершеннолетним гражданам. З/плата за 2 пол. февраля 2016 года будет выплачена в марте 2016 года в сумме 41,56 тыс.руб.</t>
  </si>
  <si>
    <t>В МКУ "МКЦ"Феникс" поступило 6 заявок от учреждений и организаций  города Когалыма о необходимом количестве работников для участия в данном мероприятии. Заключено 6 договоров о совместной деятельности. Заключено 6 договоров о совместной деятельности. Заключено 6 срочных трудовых договора с несовершеннолетними безработными гражданами. Средства в размере 40,52 тыс.рублей выплачены на ананс за 1 пол.февраля 2016 года несовершеннолетним безработным гражданам.  З/плата за 2 пол. февраля 2016 года будет выплачена в марте 2016 года в сумме 90,13 тыс.руб.</t>
  </si>
  <si>
    <t xml:space="preserve">Не освоение денежных средств в сумме 7,29 тыс. рублей возникло по фактически предоставленными документам от несовершеннолетних граждан  за пройденный мед.осмотр. </t>
  </si>
  <si>
    <t>Принято 15 заявлений для заключение договоров с внештатными сотрудниками.</t>
  </si>
  <si>
    <t xml:space="preserve">По факту поставки товар будет оплачен согласно условий контракта  в марте 2016 года.  </t>
  </si>
  <si>
    <t>По факту обращения несовершеннолетних граждан в МКУ "МКЦ"Феникс"оказано 357 консультаций.</t>
  </si>
  <si>
    <t xml:space="preserve">По результатам проведенного конкурсного отбора МКУ "УЖКХ г.Когалыма"- опредены 7 учреждений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2016 году. В конце января 2016 года заключено 7 договоров "О совместной деятельности по организации временного трудоустройства граждан"с учреждениями (получателями субсидий) и КУ ХМАО-Югры "Когалымский центр занятости населения". С начала года в рамках мероприятий данной программы трудоустроено 45 человек. Освоение денежных средств  в сумме 47,95 тыс.руб. пройдет в марте 2016 года после выплаты з/платы за 2 пол.февраля 2016 г. </t>
  </si>
  <si>
    <t>На 01.03.2016 года не освоение денежных средств составляет 190,43 тыс.рублей в связи стем, что фактическая сумма выставленная поставщиками по услугам меньше планов (по услугам связи, расходов на содержание имущества). ДЗН профинансировал больше чем по плану по факту поданой заявки гл.распорядителя средств в 2015 году.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</si>
</sst>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#,##0.0000_ ;[Red]\-#,##0.0000\ 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0.000000%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30"/>
      <name val="Times New Roman"/>
      <family val="1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70C0"/>
      <name val="Times New Roman"/>
      <family val="1"/>
    </font>
    <font>
      <sz val="14"/>
      <color rgb="FF008000"/>
      <name val="Times New Roman"/>
      <family val="1"/>
    </font>
    <font>
      <b/>
      <sz val="14"/>
      <color rgb="FF008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173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horizontal="right" wrapText="1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wrapText="1"/>
      <protection/>
    </xf>
    <xf numFmtId="0" fontId="6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16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/>
    </xf>
    <xf numFmtId="4" fontId="70" fillId="0" borderId="0" xfId="0" applyNumberFormat="1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4" fontId="71" fillId="0" borderId="0" xfId="0" applyNumberFormat="1" applyFont="1" applyAlignment="1">
      <alignment/>
    </xf>
    <xf numFmtId="0" fontId="72" fillId="0" borderId="10" xfId="0" applyFont="1" applyBorder="1" applyAlignment="1">
      <alignment horizontal="center" vertical="center" wrapText="1"/>
    </xf>
    <xf numFmtId="4" fontId="72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3" fontId="6" fillId="0" borderId="10" xfId="0" applyNumberFormat="1" applyFont="1" applyFill="1" applyBorder="1" applyAlignment="1">
      <alignment horizontal="justify" wrapText="1"/>
    </xf>
    <xf numFmtId="173" fontId="5" fillId="0" borderId="10" xfId="0" applyNumberFormat="1" applyFont="1" applyFill="1" applyBorder="1" applyAlignment="1">
      <alignment horizontal="justify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 horizontal="justify" wrapText="1"/>
    </xf>
    <xf numFmtId="173" fontId="6" fillId="0" borderId="0" xfId="0" applyNumberFormat="1" applyFont="1" applyFill="1" applyBorder="1" applyAlignment="1" applyProtection="1">
      <alignment vertical="center" wrapText="1"/>
      <protection/>
    </xf>
    <xf numFmtId="173" fontId="5" fillId="0" borderId="0" xfId="0" applyNumberFormat="1" applyFont="1" applyFill="1" applyBorder="1" applyAlignment="1" applyProtection="1">
      <alignment vertical="center" wrapText="1"/>
      <protection/>
    </xf>
    <xf numFmtId="173" fontId="6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173" fontId="3" fillId="0" borderId="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31" borderId="10" xfId="0" applyFont="1" applyFill="1" applyBorder="1" applyAlignment="1">
      <alignment horizontal="left" wrapText="1"/>
    </xf>
    <xf numFmtId="0" fontId="6" fillId="31" borderId="10" xfId="0" applyFont="1" applyFill="1" applyBorder="1" applyAlignment="1">
      <alignment horizontal="justify" wrapText="1"/>
    </xf>
    <xf numFmtId="173" fontId="6" fillId="31" borderId="10" xfId="0" applyNumberFormat="1" applyFont="1" applyFill="1" applyBorder="1" applyAlignment="1" applyProtection="1">
      <alignment vertical="center" wrapText="1"/>
      <protection/>
    </xf>
    <xf numFmtId="173" fontId="5" fillId="31" borderId="10" xfId="0" applyNumberFormat="1" applyFont="1" applyFill="1" applyBorder="1" applyAlignment="1" applyProtection="1">
      <alignment vertical="center" wrapText="1"/>
      <protection/>
    </xf>
    <xf numFmtId="0" fontId="5" fillId="31" borderId="10" xfId="0" applyFont="1" applyFill="1" applyBorder="1" applyAlignment="1">
      <alignment horizontal="justify" vertical="center" wrapText="1"/>
    </xf>
    <xf numFmtId="0" fontId="2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justify" wrapText="1"/>
    </xf>
    <xf numFmtId="0" fontId="74" fillId="0" borderId="0" xfId="0" applyFont="1" applyFill="1" applyAlignment="1">
      <alignment vertical="center" wrapText="1"/>
    </xf>
    <xf numFmtId="0" fontId="75" fillId="0" borderId="0" xfId="0" applyFont="1" applyFill="1" applyAlignment="1">
      <alignment horizontal="center" vertical="center" wrapText="1"/>
    </xf>
    <xf numFmtId="174" fontId="74" fillId="0" borderId="0" xfId="0" applyNumberFormat="1" applyFont="1" applyFill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173" fontId="75" fillId="0" borderId="0" xfId="0" applyNumberFormat="1" applyFont="1" applyFill="1" applyBorder="1" applyAlignment="1">
      <alignment vertical="center" wrapText="1"/>
    </xf>
    <xf numFmtId="188" fontId="75" fillId="0" borderId="0" xfId="0" applyNumberFormat="1" applyFont="1" applyFill="1" applyBorder="1" applyAlignment="1">
      <alignment vertical="center" wrapText="1"/>
    </xf>
    <xf numFmtId="173" fontId="75" fillId="31" borderId="0" xfId="0" applyNumberFormat="1" applyFont="1" applyFill="1" applyBorder="1" applyAlignment="1">
      <alignment vertical="center" wrapText="1"/>
    </xf>
    <xf numFmtId="188" fontId="75" fillId="31" borderId="0" xfId="0" applyNumberFormat="1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 vertical="center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188" fontId="5" fillId="31" borderId="10" xfId="0" applyNumberFormat="1" applyFont="1" applyFill="1" applyBorder="1" applyAlignment="1" applyProtection="1">
      <alignment vertical="center" wrapText="1"/>
      <protection/>
    </xf>
    <xf numFmtId="188" fontId="6" fillId="0" borderId="10" xfId="0" applyNumberFormat="1" applyFont="1" applyFill="1" applyBorder="1" applyAlignment="1" applyProtection="1">
      <alignment vertical="center" wrapText="1"/>
      <protection/>
    </xf>
    <xf numFmtId="188" fontId="5" fillId="0" borderId="10" xfId="0" applyNumberFormat="1" applyFont="1" applyFill="1" applyBorder="1" applyAlignment="1" applyProtection="1">
      <alignment wrapText="1"/>
      <protection/>
    </xf>
    <xf numFmtId="188" fontId="5" fillId="0" borderId="10" xfId="0" applyNumberFormat="1" applyFont="1" applyFill="1" applyBorder="1" applyAlignment="1">
      <alignment horizontal="justify" wrapText="1"/>
    </xf>
    <xf numFmtId="188" fontId="6" fillId="0" borderId="10" xfId="0" applyNumberFormat="1" applyFont="1" applyFill="1" applyBorder="1" applyAlignment="1">
      <alignment horizontal="justify" wrapText="1"/>
    </xf>
    <xf numFmtId="188" fontId="75" fillId="33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77" fillId="0" borderId="0" xfId="0" applyFont="1" applyFill="1" applyAlignment="1">
      <alignment vertical="center" wrapText="1"/>
    </xf>
    <xf numFmtId="0" fontId="78" fillId="0" borderId="0" xfId="0" applyFont="1" applyFill="1" applyAlignment="1">
      <alignment horizontal="center" vertical="center" wrapText="1"/>
    </xf>
    <xf numFmtId="174" fontId="77" fillId="0" borderId="0" xfId="0" applyNumberFormat="1" applyFont="1" applyFill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188" fontId="78" fillId="0" borderId="0" xfId="0" applyNumberFormat="1" applyFont="1" applyFill="1" applyBorder="1" applyAlignment="1">
      <alignment vertical="center" wrapText="1"/>
    </xf>
    <xf numFmtId="173" fontId="77" fillId="0" borderId="0" xfId="0" applyNumberFormat="1" applyFont="1" applyFill="1" applyAlignment="1">
      <alignment vertical="center" wrapText="1"/>
    </xf>
    <xf numFmtId="173" fontId="6" fillId="0" borderId="0" xfId="0" applyNumberFormat="1" applyFont="1" applyFill="1" applyAlignment="1">
      <alignment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73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justify" wrapText="1"/>
    </xf>
    <xf numFmtId="2" fontId="5" fillId="7" borderId="10" xfId="0" applyNumberFormat="1" applyFont="1" applyFill="1" applyBorder="1" applyAlignment="1">
      <alignment horizontal="right" vertical="center" wrapText="1"/>
    </xf>
    <xf numFmtId="2" fontId="5" fillId="7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13" xfId="0" applyFont="1" applyFill="1" applyBorder="1" applyAlignment="1">
      <alignment horizontal="left" vertical="top" wrapText="1"/>
    </xf>
    <xf numFmtId="0" fontId="5" fillId="12" borderId="10" xfId="0" applyFont="1" applyFill="1" applyBorder="1" applyAlignment="1">
      <alignment horizontal="justify" wrapText="1"/>
    </xf>
    <xf numFmtId="0" fontId="20" fillId="12" borderId="14" xfId="0" applyFont="1" applyFill="1" applyBorder="1" applyAlignment="1">
      <alignment horizontal="left" vertical="top" wrapText="1"/>
    </xf>
    <xf numFmtId="0" fontId="6" fillId="12" borderId="10" xfId="0" applyFont="1" applyFill="1" applyBorder="1" applyAlignment="1">
      <alignment horizontal="justify" wrapText="1"/>
    </xf>
    <xf numFmtId="172" fontId="5" fillId="7" borderId="10" xfId="60" applyFont="1" applyFill="1" applyBorder="1" applyAlignment="1">
      <alignment horizontal="right" vertical="center" wrapText="1"/>
    </xf>
    <xf numFmtId="172" fontId="5" fillId="7" borderId="10" xfId="60" applyFont="1" applyFill="1" applyBorder="1" applyAlignment="1" applyProtection="1">
      <alignment horizontal="right" vertical="center" wrapText="1"/>
      <protection/>
    </xf>
    <xf numFmtId="172" fontId="6" fillId="0" borderId="10" xfId="60" applyFont="1" applyFill="1" applyBorder="1" applyAlignment="1">
      <alignment horizontal="right" vertical="center" wrapText="1"/>
    </xf>
    <xf numFmtId="172" fontId="6" fillId="0" borderId="10" xfId="60" applyFont="1" applyFill="1" applyBorder="1" applyAlignment="1" applyProtection="1">
      <alignment horizontal="right" vertical="center" wrapText="1"/>
      <protection/>
    </xf>
    <xf numFmtId="172" fontId="5" fillId="0" borderId="10" xfId="60" applyFont="1" applyFill="1" applyBorder="1" applyAlignment="1" applyProtection="1">
      <alignment horizontal="right" vertical="center" wrapText="1"/>
      <protection/>
    </xf>
    <xf numFmtId="172" fontId="5" fillId="12" borderId="10" xfId="60" applyFont="1" applyFill="1" applyBorder="1" applyAlignment="1">
      <alignment horizontal="right" vertical="center" wrapText="1"/>
    </xf>
    <xf numFmtId="172" fontId="6" fillId="12" borderId="10" xfId="60" applyFont="1" applyFill="1" applyBorder="1" applyAlignment="1">
      <alignment horizontal="right" vertical="center" wrapText="1"/>
    </xf>
    <xf numFmtId="9" fontId="5" fillId="7" borderId="10" xfId="57" applyFont="1" applyFill="1" applyBorder="1" applyAlignment="1">
      <alignment horizontal="right" vertical="center" wrapText="1"/>
    </xf>
    <xf numFmtId="9" fontId="6" fillId="0" borderId="10" xfId="57" applyFont="1" applyFill="1" applyBorder="1" applyAlignment="1" applyProtection="1">
      <alignment horizontal="right" vertical="center" wrapText="1"/>
      <protection/>
    </xf>
    <xf numFmtId="9" fontId="5" fillId="0" borderId="10" xfId="57" applyFont="1" applyFill="1" applyBorder="1" applyAlignment="1" applyProtection="1">
      <alignment horizontal="right" vertical="center" wrapText="1"/>
      <protection/>
    </xf>
    <xf numFmtId="9" fontId="5" fillId="12" borderId="10" xfId="57" applyFont="1" applyFill="1" applyBorder="1" applyAlignment="1">
      <alignment horizontal="right" vertical="center" wrapText="1"/>
    </xf>
    <xf numFmtId="9" fontId="6" fillId="12" borderId="10" xfId="57" applyFont="1" applyFill="1" applyBorder="1" applyAlignment="1">
      <alignment horizontal="right" vertical="center" wrapText="1"/>
    </xf>
    <xf numFmtId="9" fontId="5" fillId="7" borderId="10" xfId="57" applyFont="1" applyFill="1" applyBorder="1" applyAlignment="1" applyProtection="1">
      <alignment horizontal="right" vertical="center" wrapText="1"/>
      <protection/>
    </xf>
    <xf numFmtId="0" fontId="6" fillId="4" borderId="10" xfId="0" applyFont="1" applyFill="1" applyBorder="1" applyAlignment="1">
      <alignment horizontal="justify" wrapText="1"/>
    </xf>
    <xf numFmtId="172" fontId="6" fillId="4" borderId="10" xfId="6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wrapText="1"/>
    </xf>
    <xf numFmtId="172" fontId="6" fillId="34" borderId="10" xfId="60" applyFont="1" applyFill="1" applyBorder="1" applyAlignment="1">
      <alignment horizontal="right" vertical="center" wrapText="1"/>
    </xf>
    <xf numFmtId="172" fontId="6" fillId="34" borderId="10" xfId="60" applyFont="1" applyFill="1" applyBorder="1" applyAlignment="1" applyProtection="1">
      <alignment horizontal="right" vertical="center" wrapText="1"/>
      <protection/>
    </xf>
    <xf numFmtId="9" fontId="6" fillId="34" borderId="10" xfId="57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vertical="center" wrapText="1"/>
    </xf>
    <xf numFmtId="188" fontId="2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188" fontId="78" fillId="34" borderId="0" xfId="0" applyNumberFormat="1" applyFont="1" applyFill="1" applyBorder="1" applyAlignment="1">
      <alignment vertical="center" wrapText="1"/>
    </xf>
    <xf numFmtId="172" fontId="5" fillId="34" borderId="10" xfId="60" applyFont="1" applyFill="1" applyBorder="1" applyAlignment="1" applyProtection="1">
      <alignment horizontal="right" vertical="center" wrapText="1"/>
      <protection/>
    </xf>
    <xf numFmtId="0" fontId="10" fillId="34" borderId="14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center" wrapText="1"/>
    </xf>
    <xf numFmtId="0" fontId="77" fillId="34" borderId="0" xfId="0" applyFont="1" applyFill="1" applyBorder="1" applyAlignment="1">
      <alignment vertical="center" wrapText="1"/>
    </xf>
    <xf numFmtId="0" fontId="20" fillId="34" borderId="14" xfId="0" applyFont="1" applyFill="1" applyBorder="1" applyAlignment="1">
      <alignment horizontal="left" vertical="top" wrapText="1"/>
    </xf>
    <xf numFmtId="0" fontId="20" fillId="34" borderId="14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2" fontId="5" fillId="35" borderId="10" xfId="0" applyNumberFormat="1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wrapText="1"/>
      <protection/>
    </xf>
    <xf numFmtId="0" fontId="2" fillId="36" borderId="0" xfId="0" applyFont="1" applyFill="1" applyBorder="1" applyAlignment="1">
      <alignment vertical="center" wrapText="1"/>
    </xf>
    <xf numFmtId="0" fontId="78" fillId="36" borderId="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justify" wrapText="1"/>
    </xf>
    <xf numFmtId="0" fontId="20" fillId="35" borderId="10" xfId="0" applyFont="1" applyFill="1" applyBorder="1" applyAlignment="1" applyProtection="1">
      <alignment wrapText="1"/>
      <protection/>
    </xf>
    <xf numFmtId="0" fontId="6" fillId="36" borderId="10" xfId="0" applyFont="1" applyFill="1" applyBorder="1" applyAlignment="1">
      <alignment horizontal="justify" wrapText="1"/>
    </xf>
    <xf numFmtId="0" fontId="5" fillId="36" borderId="10" xfId="0" applyFont="1" applyFill="1" applyBorder="1" applyAlignment="1">
      <alignment horizontal="left" wrapText="1"/>
    </xf>
    <xf numFmtId="172" fontId="5" fillId="36" borderId="10" xfId="60" applyFont="1" applyFill="1" applyBorder="1" applyAlignment="1">
      <alignment horizontal="right" vertical="center" wrapText="1"/>
    </xf>
    <xf numFmtId="0" fontId="20" fillId="36" borderId="13" xfId="0" applyFont="1" applyFill="1" applyBorder="1" applyAlignment="1">
      <alignment horizontal="left" vertical="top" wrapText="1"/>
    </xf>
    <xf numFmtId="172" fontId="5" fillId="4" borderId="10" xfId="60" applyFont="1" applyFill="1" applyBorder="1" applyAlignment="1" applyProtection="1">
      <alignment horizontal="right" vertical="center" wrapText="1"/>
      <protection/>
    </xf>
    <xf numFmtId="9" fontId="5" fillId="4" borderId="10" xfId="57" applyFont="1" applyFill="1" applyBorder="1" applyAlignment="1" applyProtection="1">
      <alignment horizontal="right" vertical="center" wrapText="1"/>
      <protection/>
    </xf>
    <xf numFmtId="2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wrapText="1"/>
      <protection/>
    </xf>
    <xf numFmtId="172" fontId="6" fillId="36" borderId="10" xfId="60" applyFont="1" applyFill="1" applyBorder="1" applyAlignment="1">
      <alignment horizontal="right" vertical="center" wrapText="1"/>
    </xf>
    <xf numFmtId="0" fontId="20" fillId="36" borderId="15" xfId="0" applyFont="1" applyFill="1" applyBorder="1" applyAlignment="1">
      <alignment vertical="top" wrapText="1"/>
    </xf>
    <xf numFmtId="173" fontId="13" fillId="0" borderId="0" xfId="0" applyNumberFormat="1" applyFont="1" applyFill="1" applyBorder="1" applyAlignment="1">
      <alignment horizontal="justify" wrapText="1"/>
    </xf>
    <xf numFmtId="173" fontId="6" fillId="0" borderId="11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 applyProtection="1">
      <alignment wrapText="1"/>
      <protection/>
    </xf>
    <xf numFmtId="0" fontId="20" fillId="4" borderId="10" xfId="0" applyFont="1" applyFill="1" applyBorder="1" applyAlignment="1" applyProtection="1">
      <alignment wrapText="1"/>
      <protection/>
    </xf>
    <xf numFmtId="0" fontId="20" fillId="4" borderId="10" xfId="0" applyFont="1" applyFill="1" applyBorder="1" applyAlignment="1" applyProtection="1">
      <alignment horizontal="left" vertical="top" wrapText="1"/>
      <protection/>
    </xf>
    <xf numFmtId="9" fontId="5" fillId="36" borderId="10" xfId="57" applyFont="1" applyFill="1" applyBorder="1" applyAlignment="1">
      <alignment horizontal="right" vertical="center" wrapText="1"/>
    </xf>
    <xf numFmtId="9" fontId="6" fillId="36" borderId="10" xfId="57" applyFont="1" applyFill="1" applyBorder="1" applyAlignment="1">
      <alignment horizontal="right" vertical="center" wrapText="1"/>
    </xf>
    <xf numFmtId="9" fontId="6" fillId="4" borderId="10" xfId="57" applyFont="1" applyFill="1" applyBorder="1" applyAlignment="1">
      <alignment horizontal="right" vertical="center" wrapText="1"/>
    </xf>
    <xf numFmtId="43" fontId="78" fillId="0" borderId="0" xfId="0" applyNumberFormat="1" applyFont="1" applyFill="1" applyAlignment="1">
      <alignment vertical="center" wrapText="1"/>
    </xf>
    <xf numFmtId="9" fontId="6" fillId="4" borderId="10" xfId="57" applyFont="1" applyFill="1" applyBorder="1" applyAlignment="1" applyProtection="1">
      <alignment horizontal="right" vertical="center" wrapText="1"/>
      <protection/>
    </xf>
    <xf numFmtId="9" fontId="6" fillId="35" borderId="10" xfId="57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9" fillId="33" borderId="0" xfId="0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16" fontId="10" fillId="0" borderId="13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zoomScalePageLayoutView="0" workbookViewId="0" topLeftCell="A16">
      <selection activeCell="K10" sqref="K10"/>
    </sheetView>
  </sheetViews>
  <sheetFormatPr defaultColWidth="9.140625" defaultRowHeight="12.75"/>
  <cols>
    <col min="1" max="16384" width="9.140625" style="25" customWidth="1"/>
  </cols>
  <sheetData>
    <row r="1" spans="1:2" ht="18.75">
      <c r="A1" s="178"/>
      <c r="B1" s="178"/>
    </row>
    <row r="10" spans="1:9" ht="23.25">
      <c r="A10" s="179" t="s">
        <v>34</v>
      </c>
      <c r="B10" s="179"/>
      <c r="C10" s="179"/>
      <c r="D10" s="179"/>
      <c r="E10" s="179"/>
      <c r="F10" s="179"/>
      <c r="G10" s="179"/>
      <c r="H10" s="179"/>
      <c r="I10" s="179"/>
    </row>
    <row r="11" spans="1:9" ht="23.25">
      <c r="A11" s="179" t="s">
        <v>28</v>
      </c>
      <c r="B11" s="179"/>
      <c r="C11" s="179"/>
      <c r="D11" s="179"/>
      <c r="E11" s="179"/>
      <c r="F11" s="179"/>
      <c r="G11" s="179"/>
      <c r="H11" s="179"/>
      <c r="I11" s="179"/>
    </row>
    <row r="13" spans="1:9" ht="27" customHeight="1">
      <c r="A13" s="180" t="s">
        <v>29</v>
      </c>
      <c r="B13" s="180"/>
      <c r="C13" s="180"/>
      <c r="D13" s="180"/>
      <c r="E13" s="180"/>
      <c r="F13" s="180"/>
      <c r="G13" s="180"/>
      <c r="H13" s="180"/>
      <c r="I13" s="180"/>
    </row>
    <row r="14" spans="1:9" ht="27" customHeight="1">
      <c r="A14" s="180" t="s">
        <v>30</v>
      </c>
      <c r="B14" s="180"/>
      <c r="C14" s="180"/>
      <c r="D14" s="180"/>
      <c r="E14" s="180"/>
      <c r="F14" s="180"/>
      <c r="G14" s="180"/>
      <c r="H14" s="180"/>
      <c r="I14" s="180"/>
    </row>
    <row r="15" spans="1:9" ht="51.75" customHeight="1">
      <c r="A15" s="181" t="s">
        <v>154</v>
      </c>
      <c r="B15" s="181"/>
      <c r="C15" s="181"/>
      <c r="D15" s="181"/>
      <c r="E15" s="181"/>
      <c r="F15" s="181"/>
      <c r="G15" s="181"/>
      <c r="H15" s="181"/>
      <c r="I15" s="181"/>
    </row>
    <row r="17" spans="1:9" ht="19.5">
      <c r="A17" s="180" t="s">
        <v>153</v>
      </c>
      <c r="B17" s="180"/>
      <c r="C17" s="180"/>
      <c r="D17" s="180"/>
      <c r="E17" s="180"/>
      <c r="F17" s="180"/>
      <c r="G17" s="180"/>
      <c r="H17" s="180"/>
      <c r="I17" s="180"/>
    </row>
    <row r="19" spans="1:9" ht="12.75">
      <c r="A19" s="176" t="s">
        <v>184</v>
      </c>
      <c r="B19" s="176"/>
      <c r="C19" s="176"/>
      <c r="D19" s="176"/>
      <c r="E19" s="176"/>
      <c r="F19" s="176"/>
      <c r="G19" s="176"/>
      <c r="H19" s="176"/>
      <c r="I19" s="176"/>
    </row>
    <row r="46" spans="1:9" ht="16.5">
      <c r="A46" s="177" t="s">
        <v>31</v>
      </c>
      <c r="B46" s="177"/>
      <c r="C46" s="177"/>
      <c r="D46" s="177"/>
      <c r="E46" s="177"/>
      <c r="F46" s="177"/>
      <c r="G46" s="177"/>
      <c r="H46" s="177"/>
      <c r="I46" s="177"/>
    </row>
    <row r="47" spans="1:9" ht="16.5">
      <c r="A47" s="177" t="s">
        <v>50</v>
      </c>
      <c r="B47" s="177"/>
      <c r="C47" s="177"/>
      <c r="D47" s="177"/>
      <c r="E47" s="177"/>
      <c r="F47" s="177"/>
      <c r="G47" s="177"/>
      <c r="H47" s="177"/>
      <c r="I47" s="177"/>
    </row>
  </sheetData>
  <sheetProtection/>
  <mergeCells count="10">
    <mergeCell ref="A19:I19"/>
    <mergeCell ref="A47:I47"/>
    <mergeCell ref="A1:B1"/>
    <mergeCell ref="A10:I10"/>
    <mergeCell ref="A11:I11"/>
    <mergeCell ref="A13:I13"/>
    <mergeCell ref="A14:I14"/>
    <mergeCell ref="A15:I15"/>
    <mergeCell ref="A46:I46"/>
    <mergeCell ref="A17:I1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Q90"/>
  <sheetViews>
    <sheetView showGridLines="0" tabSelected="1" view="pageBreakPreview" zoomScale="62" zoomScaleNormal="70" zoomScaleSheetLayoutView="62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79" sqref="F79"/>
    </sheetView>
  </sheetViews>
  <sheetFormatPr defaultColWidth="9.140625" defaultRowHeight="12.75"/>
  <cols>
    <col min="1" max="1" width="51.421875" style="6" customWidth="1"/>
    <col min="2" max="2" width="15.28125" style="6" customWidth="1"/>
    <col min="3" max="3" width="17.140625" style="7" customWidth="1"/>
    <col min="4" max="4" width="13.8515625" style="7" customWidth="1"/>
    <col min="5" max="5" width="15.421875" style="7" customWidth="1"/>
    <col min="6" max="7" width="13.421875" style="7" customWidth="1"/>
    <col min="8" max="8" width="17.421875" style="1" customWidth="1"/>
    <col min="9" max="9" width="14.7109375" style="1" customWidth="1"/>
    <col min="10" max="10" width="13.57421875" style="1" customWidth="1"/>
    <col min="11" max="11" width="15.140625" style="1" customWidth="1"/>
    <col min="12" max="12" width="14.7109375" style="1" customWidth="1"/>
    <col min="13" max="13" width="15.140625" style="1" customWidth="1"/>
    <col min="14" max="14" width="14.140625" style="1" customWidth="1"/>
    <col min="15" max="15" width="14.7109375" style="1" customWidth="1"/>
    <col min="16" max="16" width="14.421875" style="1" customWidth="1"/>
    <col min="17" max="17" width="15.00390625" style="1" customWidth="1"/>
    <col min="18" max="18" width="14.57421875" style="1" customWidth="1"/>
    <col min="19" max="19" width="14.8515625" style="1" customWidth="1"/>
    <col min="20" max="20" width="15.00390625" style="7" customWidth="1"/>
    <col min="21" max="31" width="16.140625" style="7" customWidth="1"/>
    <col min="32" max="32" width="64.140625" style="6" customWidth="1"/>
    <col min="33" max="33" width="3.7109375" style="1" customWidth="1"/>
    <col min="34" max="34" width="18.8515625" style="94" customWidth="1"/>
    <col min="35" max="16384" width="9.140625" style="1" customWidth="1"/>
  </cols>
  <sheetData>
    <row r="1" spans="1:19" ht="26.25" customHeight="1">
      <c r="A1" s="26"/>
      <c r="G1" s="100"/>
      <c r="H1" s="100"/>
      <c r="I1" s="24"/>
      <c r="J1" s="24"/>
      <c r="K1" s="24"/>
      <c r="O1" s="24"/>
      <c r="P1" s="24"/>
      <c r="Q1" s="24"/>
      <c r="R1" s="24"/>
      <c r="S1" s="24"/>
    </row>
    <row r="2" spans="1:32" ht="51" customHeight="1">
      <c r="A2" s="182" t="s">
        <v>185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</row>
    <row r="3" spans="1:32" ht="26.25" customHeight="1">
      <c r="A3" s="23"/>
      <c r="O3" s="186"/>
      <c r="P3" s="186"/>
      <c r="Q3" s="186"/>
      <c r="R3" s="186"/>
      <c r="S3" s="186"/>
      <c r="AF3" s="8"/>
    </row>
    <row r="4" spans="1:34" s="11" customFormat="1" ht="18.75" customHeight="1">
      <c r="A4" s="185" t="s">
        <v>171</v>
      </c>
      <c r="B4" s="187" t="s">
        <v>155</v>
      </c>
      <c r="C4" s="187" t="s">
        <v>186</v>
      </c>
      <c r="D4" s="187" t="s">
        <v>182</v>
      </c>
      <c r="E4" s="187" t="s">
        <v>183</v>
      </c>
      <c r="F4" s="184" t="s">
        <v>15</v>
      </c>
      <c r="G4" s="184"/>
      <c r="H4" s="184" t="s">
        <v>0</v>
      </c>
      <c r="I4" s="184"/>
      <c r="J4" s="184" t="s">
        <v>1</v>
      </c>
      <c r="K4" s="184"/>
      <c r="L4" s="184" t="s">
        <v>2</v>
      </c>
      <c r="M4" s="184"/>
      <c r="N4" s="184" t="s">
        <v>3</v>
      </c>
      <c r="O4" s="184"/>
      <c r="P4" s="184" t="s">
        <v>4</v>
      </c>
      <c r="Q4" s="184"/>
      <c r="R4" s="184" t="s">
        <v>6</v>
      </c>
      <c r="S4" s="184"/>
      <c r="T4" s="103" t="s">
        <v>7</v>
      </c>
      <c r="U4" s="103" t="s">
        <v>7</v>
      </c>
      <c r="V4" s="184" t="s">
        <v>8</v>
      </c>
      <c r="W4" s="184"/>
      <c r="X4" s="184" t="s">
        <v>9</v>
      </c>
      <c r="Y4" s="184"/>
      <c r="Z4" s="184" t="s">
        <v>10</v>
      </c>
      <c r="AA4" s="184"/>
      <c r="AB4" s="184" t="s">
        <v>11</v>
      </c>
      <c r="AC4" s="184"/>
      <c r="AD4" s="184" t="s">
        <v>12</v>
      </c>
      <c r="AE4" s="184"/>
      <c r="AF4" s="185" t="s">
        <v>21</v>
      </c>
      <c r="AH4" s="95"/>
    </row>
    <row r="5" spans="1:34" s="13" customFormat="1" ht="72.75" customHeight="1">
      <c r="A5" s="185"/>
      <c r="B5" s="188"/>
      <c r="C5" s="188"/>
      <c r="D5" s="189"/>
      <c r="E5" s="188"/>
      <c r="F5" s="10" t="s">
        <v>17</v>
      </c>
      <c r="G5" s="10" t="s">
        <v>16</v>
      </c>
      <c r="H5" s="12" t="s">
        <v>13</v>
      </c>
      <c r="I5" s="12" t="s">
        <v>18</v>
      </c>
      <c r="J5" s="12" t="s">
        <v>13</v>
      </c>
      <c r="K5" s="12" t="s">
        <v>18</v>
      </c>
      <c r="L5" s="12" t="s">
        <v>13</v>
      </c>
      <c r="M5" s="12" t="s">
        <v>18</v>
      </c>
      <c r="N5" s="12" t="s">
        <v>13</v>
      </c>
      <c r="O5" s="12" t="s">
        <v>18</v>
      </c>
      <c r="P5" s="12" t="s">
        <v>13</v>
      </c>
      <c r="Q5" s="12" t="s">
        <v>18</v>
      </c>
      <c r="R5" s="12" t="s">
        <v>13</v>
      </c>
      <c r="S5" s="12" t="s">
        <v>18</v>
      </c>
      <c r="T5" s="12" t="s">
        <v>13</v>
      </c>
      <c r="U5" s="12" t="s">
        <v>18</v>
      </c>
      <c r="V5" s="12" t="s">
        <v>13</v>
      </c>
      <c r="W5" s="12" t="s">
        <v>18</v>
      </c>
      <c r="X5" s="12" t="s">
        <v>13</v>
      </c>
      <c r="Y5" s="12" t="s">
        <v>18</v>
      </c>
      <c r="Z5" s="12" t="s">
        <v>13</v>
      </c>
      <c r="AA5" s="12" t="s">
        <v>18</v>
      </c>
      <c r="AB5" s="12" t="s">
        <v>13</v>
      </c>
      <c r="AC5" s="12" t="s">
        <v>18</v>
      </c>
      <c r="AD5" s="12" t="s">
        <v>13</v>
      </c>
      <c r="AE5" s="12" t="s">
        <v>18</v>
      </c>
      <c r="AF5" s="185"/>
      <c r="AH5" s="95"/>
    </row>
    <row r="6" spans="1:34" s="15" customFormat="1" ht="20.25" customHeight="1">
      <c r="A6" s="14">
        <v>1</v>
      </c>
      <c r="B6" s="14">
        <v>2</v>
      </c>
      <c r="C6" s="14">
        <v>3</v>
      </c>
      <c r="D6" s="14"/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4">
        <v>31</v>
      </c>
      <c r="AH6" s="96"/>
    </row>
    <row r="7" spans="1:34" s="18" customFormat="1" ht="36.75" customHeight="1">
      <c r="A7" s="167" t="s">
        <v>115</v>
      </c>
      <c r="B7" s="160">
        <f>B8</f>
        <v>18743</v>
      </c>
      <c r="C7" s="160">
        <f>C8</f>
        <v>527.2992</v>
      </c>
      <c r="D7" s="160">
        <f>D8</f>
        <v>8848.353</v>
      </c>
      <c r="E7" s="160">
        <f>E8</f>
        <v>265.16861</v>
      </c>
      <c r="F7" s="174">
        <f>E7/B7</f>
        <v>0.01414760764018567</v>
      </c>
      <c r="G7" s="174">
        <f>E7/C7</f>
        <v>0.5028807364016482</v>
      </c>
      <c r="H7" s="160">
        <f aca="true" t="shared" si="0" ref="H7:AE7">H8</f>
        <v>0</v>
      </c>
      <c r="I7" s="160">
        <f t="shared" si="0"/>
        <v>0</v>
      </c>
      <c r="J7" s="160">
        <f t="shared" si="0"/>
        <v>527.2992</v>
      </c>
      <c r="K7" s="160">
        <f t="shared" si="0"/>
        <v>265.16861</v>
      </c>
      <c r="L7" s="160">
        <f t="shared" si="0"/>
        <v>1039.493</v>
      </c>
      <c r="M7" s="160">
        <f t="shared" si="0"/>
        <v>0</v>
      </c>
      <c r="N7" s="160">
        <f t="shared" si="0"/>
        <v>1401.954</v>
      </c>
      <c r="O7" s="160">
        <f t="shared" si="0"/>
        <v>0</v>
      </c>
      <c r="P7" s="160">
        <f t="shared" si="0"/>
        <v>1226.5919999999999</v>
      </c>
      <c r="Q7" s="160">
        <f t="shared" si="0"/>
        <v>0</v>
      </c>
      <c r="R7" s="160">
        <f t="shared" si="0"/>
        <v>3650.64</v>
      </c>
      <c r="S7" s="160">
        <f t="shared" si="0"/>
        <v>0</v>
      </c>
      <c r="T7" s="160">
        <f t="shared" si="0"/>
        <v>3441.27</v>
      </c>
      <c r="U7" s="160">
        <f t="shared" si="0"/>
        <v>0</v>
      </c>
      <c r="V7" s="160">
        <f t="shared" si="0"/>
        <v>3537.66</v>
      </c>
      <c r="W7" s="160">
        <f t="shared" si="0"/>
        <v>0</v>
      </c>
      <c r="X7" s="160">
        <f t="shared" si="0"/>
        <v>895.8919999999999</v>
      </c>
      <c r="Y7" s="160">
        <f t="shared" si="0"/>
        <v>0</v>
      </c>
      <c r="Z7" s="160">
        <f t="shared" si="0"/>
        <v>1105.2530000000002</v>
      </c>
      <c r="AA7" s="160">
        <f t="shared" si="0"/>
        <v>0</v>
      </c>
      <c r="AB7" s="160">
        <f t="shared" si="0"/>
        <v>1095.893</v>
      </c>
      <c r="AC7" s="160">
        <f t="shared" si="0"/>
        <v>0</v>
      </c>
      <c r="AD7" s="160">
        <f t="shared" si="0"/>
        <v>821.0538</v>
      </c>
      <c r="AE7" s="160">
        <f t="shared" si="0"/>
        <v>0</v>
      </c>
      <c r="AF7" s="168"/>
      <c r="AH7" s="97"/>
    </row>
    <row r="8" spans="1:34" s="150" customFormat="1" ht="77.25" customHeight="1">
      <c r="A8" s="161" t="s">
        <v>156</v>
      </c>
      <c r="B8" s="148">
        <f>B9</f>
        <v>18743</v>
      </c>
      <c r="C8" s="148">
        <f aca="true" t="shared" si="1" ref="C8:AE8">C9</f>
        <v>527.2992</v>
      </c>
      <c r="D8" s="148">
        <f t="shared" si="1"/>
        <v>8848.353</v>
      </c>
      <c r="E8" s="148">
        <f t="shared" si="1"/>
        <v>265.16861</v>
      </c>
      <c r="F8" s="175">
        <f>E8/B8</f>
        <v>0.01414760764018567</v>
      </c>
      <c r="G8" s="175">
        <f>E8/C8</f>
        <v>0.5028807364016482</v>
      </c>
      <c r="H8" s="148">
        <f t="shared" si="1"/>
        <v>0</v>
      </c>
      <c r="I8" s="148">
        <f t="shared" si="1"/>
        <v>0</v>
      </c>
      <c r="J8" s="148">
        <f t="shared" si="1"/>
        <v>527.2992</v>
      </c>
      <c r="K8" s="148">
        <f t="shared" si="1"/>
        <v>265.16861</v>
      </c>
      <c r="L8" s="148">
        <f t="shared" si="1"/>
        <v>1039.493</v>
      </c>
      <c r="M8" s="148">
        <f t="shared" si="1"/>
        <v>0</v>
      </c>
      <c r="N8" s="148">
        <f t="shared" si="1"/>
        <v>1401.954</v>
      </c>
      <c r="O8" s="148">
        <f t="shared" si="1"/>
        <v>0</v>
      </c>
      <c r="P8" s="148">
        <f t="shared" si="1"/>
        <v>1226.5919999999999</v>
      </c>
      <c r="Q8" s="148">
        <f t="shared" si="1"/>
        <v>0</v>
      </c>
      <c r="R8" s="148">
        <f t="shared" si="1"/>
        <v>3650.64</v>
      </c>
      <c r="S8" s="148">
        <f t="shared" si="1"/>
        <v>0</v>
      </c>
      <c r="T8" s="148">
        <f t="shared" si="1"/>
        <v>3441.27</v>
      </c>
      <c r="U8" s="148">
        <f t="shared" si="1"/>
        <v>0</v>
      </c>
      <c r="V8" s="148">
        <f t="shared" si="1"/>
        <v>3537.66</v>
      </c>
      <c r="W8" s="148">
        <f t="shared" si="1"/>
        <v>0</v>
      </c>
      <c r="X8" s="148">
        <f t="shared" si="1"/>
        <v>895.8919999999999</v>
      </c>
      <c r="Y8" s="148">
        <f t="shared" si="1"/>
        <v>0</v>
      </c>
      <c r="Z8" s="148">
        <f t="shared" si="1"/>
        <v>1105.2530000000002</v>
      </c>
      <c r="AA8" s="148">
        <f t="shared" si="1"/>
        <v>0</v>
      </c>
      <c r="AB8" s="148">
        <f t="shared" si="1"/>
        <v>1095.893</v>
      </c>
      <c r="AC8" s="148">
        <f t="shared" si="1"/>
        <v>0</v>
      </c>
      <c r="AD8" s="148">
        <f t="shared" si="1"/>
        <v>821.0538</v>
      </c>
      <c r="AE8" s="148">
        <f t="shared" si="1"/>
        <v>0</v>
      </c>
      <c r="AF8" s="153"/>
      <c r="AH8" s="151"/>
    </row>
    <row r="9" spans="1:34" s="18" customFormat="1" ht="24" customHeight="1">
      <c r="A9" s="152" t="s">
        <v>32</v>
      </c>
      <c r="B9" s="148">
        <f>B10+B11+B12</f>
        <v>18743</v>
      </c>
      <c r="C9" s="148">
        <f aca="true" t="shared" si="2" ref="C9:AE9">C10+C11+C12</f>
        <v>527.2992</v>
      </c>
      <c r="D9" s="148">
        <f t="shared" si="2"/>
        <v>8848.353</v>
      </c>
      <c r="E9" s="148">
        <f t="shared" si="2"/>
        <v>265.16861</v>
      </c>
      <c r="F9" s="175">
        <f>E9/B9</f>
        <v>0.01414760764018567</v>
      </c>
      <c r="G9" s="175">
        <f>E9/C9</f>
        <v>0.5028807364016482</v>
      </c>
      <c r="H9" s="148">
        <f t="shared" si="2"/>
        <v>0</v>
      </c>
      <c r="I9" s="148">
        <f t="shared" si="2"/>
        <v>0</v>
      </c>
      <c r="J9" s="148">
        <f t="shared" si="2"/>
        <v>527.2992</v>
      </c>
      <c r="K9" s="148">
        <f t="shared" si="2"/>
        <v>265.16861</v>
      </c>
      <c r="L9" s="148">
        <f t="shared" si="2"/>
        <v>1039.493</v>
      </c>
      <c r="M9" s="148">
        <f t="shared" si="2"/>
        <v>0</v>
      </c>
      <c r="N9" s="148">
        <f t="shared" si="2"/>
        <v>1401.954</v>
      </c>
      <c r="O9" s="148">
        <f t="shared" si="2"/>
        <v>0</v>
      </c>
      <c r="P9" s="148">
        <f t="shared" si="2"/>
        <v>1226.5919999999999</v>
      </c>
      <c r="Q9" s="148">
        <f t="shared" si="2"/>
        <v>0</v>
      </c>
      <c r="R9" s="148">
        <f t="shared" si="2"/>
        <v>3650.64</v>
      </c>
      <c r="S9" s="148">
        <f t="shared" si="2"/>
        <v>0</v>
      </c>
      <c r="T9" s="148">
        <f t="shared" si="2"/>
        <v>3441.27</v>
      </c>
      <c r="U9" s="148">
        <f t="shared" si="2"/>
        <v>0</v>
      </c>
      <c r="V9" s="148">
        <f t="shared" si="2"/>
        <v>3537.66</v>
      </c>
      <c r="W9" s="148">
        <f t="shared" si="2"/>
        <v>0</v>
      </c>
      <c r="X9" s="148">
        <f t="shared" si="2"/>
        <v>895.8919999999999</v>
      </c>
      <c r="Y9" s="148">
        <f t="shared" si="2"/>
        <v>0</v>
      </c>
      <c r="Z9" s="148">
        <f t="shared" si="2"/>
        <v>1105.2530000000002</v>
      </c>
      <c r="AA9" s="148">
        <f t="shared" si="2"/>
        <v>0</v>
      </c>
      <c r="AB9" s="148">
        <f t="shared" si="2"/>
        <v>1095.893</v>
      </c>
      <c r="AC9" s="148">
        <f t="shared" si="2"/>
        <v>0</v>
      </c>
      <c r="AD9" s="148">
        <f t="shared" si="2"/>
        <v>821.0538</v>
      </c>
      <c r="AE9" s="148">
        <f t="shared" si="2"/>
        <v>0</v>
      </c>
      <c r="AF9" s="153"/>
      <c r="AH9" s="97"/>
    </row>
    <row r="10" spans="1:34" s="18" customFormat="1" ht="24" customHeight="1">
      <c r="A10" s="152" t="s">
        <v>150</v>
      </c>
      <c r="B10" s="148">
        <f>B45</f>
        <v>0</v>
      </c>
      <c r="C10" s="148">
        <f aca="true" t="shared" si="3" ref="C10:AE10">C45</f>
        <v>0</v>
      </c>
      <c r="D10" s="148">
        <f t="shared" si="3"/>
        <v>0</v>
      </c>
      <c r="E10" s="148">
        <f t="shared" si="3"/>
        <v>0</v>
      </c>
      <c r="F10" s="175">
        <v>0</v>
      </c>
      <c r="G10" s="175">
        <v>0</v>
      </c>
      <c r="H10" s="148">
        <f t="shared" si="3"/>
        <v>0</v>
      </c>
      <c r="I10" s="148">
        <f t="shared" si="3"/>
        <v>0</v>
      </c>
      <c r="J10" s="148">
        <f t="shared" si="3"/>
        <v>0</v>
      </c>
      <c r="K10" s="148">
        <f t="shared" si="3"/>
        <v>0</v>
      </c>
      <c r="L10" s="148">
        <f t="shared" si="3"/>
        <v>0</v>
      </c>
      <c r="M10" s="148">
        <f t="shared" si="3"/>
        <v>0</v>
      </c>
      <c r="N10" s="148">
        <f t="shared" si="3"/>
        <v>0</v>
      </c>
      <c r="O10" s="148">
        <f t="shared" si="3"/>
        <v>0</v>
      </c>
      <c r="P10" s="148">
        <f t="shared" si="3"/>
        <v>0</v>
      </c>
      <c r="Q10" s="148">
        <f t="shared" si="3"/>
        <v>0</v>
      </c>
      <c r="R10" s="148">
        <f t="shared" si="3"/>
        <v>0</v>
      </c>
      <c r="S10" s="148">
        <f t="shared" si="3"/>
        <v>0</v>
      </c>
      <c r="T10" s="148">
        <f t="shared" si="3"/>
        <v>0</v>
      </c>
      <c r="U10" s="148">
        <f t="shared" si="3"/>
        <v>0</v>
      </c>
      <c r="V10" s="148">
        <f t="shared" si="3"/>
        <v>0</v>
      </c>
      <c r="W10" s="148">
        <f t="shared" si="3"/>
        <v>0</v>
      </c>
      <c r="X10" s="148">
        <f t="shared" si="3"/>
        <v>0</v>
      </c>
      <c r="Y10" s="148">
        <f t="shared" si="3"/>
        <v>0</v>
      </c>
      <c r="Z10" s="148">
        <f t="shared" si="3"/>
        <v>0</v>
      </c>
      <c r="AA10" s="148">
        <f t="shared" si="3"/>
        <v>0</v>
      </c>
      <c r="AB10" s="148">
        <f t="shared" si="3"/>
        <v>0</v>
      </c>
      <c r="AC10" s="148">
        <f t="shared" si="3"/>
        <v>0</v>
      </c>
      <c r="AD10" s="148">
        <f t="shared" si="3"/>
        <v>0</v>
      </c>
      <c r="AE10" s="148">
        <f t="shared" si="3"/>
        <v>0</v>
      </c>
      <c r="AF10" s="153"/>
      <c r="AH10" s="97"/>
    </row>
    <row r="11" spans="1:34" s="18" customFormat="1" ht="24" customHeight="1">
      <c r="A11" s="152" t="s">
        <v>24</v>
      </c>
      <c r="B11" s="148">
        <f>B15+B19+B23</f>
        <v>1574.4</v>
      </c>
      <c r="C11" s="148">
        <f aca="true" t="shared" si="4" ref="C11:AE11">C15+C19+C23</f>
        <v>109.47</v>
      </c>
      <c r="D11" s="148">
        <f t="shared" si="4"/>
        <v>109.47</v>
      </c>
      <c r="E11" s="148">
        <f t="shared" si="4"/>
        <v>51.27406</v>
      </c>
      <c r="F11" s="175">
        <f>E11/B11</f>
        <v>0.032567365345528454</v>
      </c>
      <c r="G11" s="175">
        <f>E11/C11</f>
        <v>0.4683845802502969</v>
      </c>
      <c r="H11" s="148">
        <f t="shared" si="4"/>
        <v>0</v>
      </c>
      <c r="I11" s="148">
        <f t="shared" si="4"/>
        <v>0</v>
      </c>
      <c r="J11" s="148">
        <f t="shared" si="4"/>
        <v>109.47</v>
      </c>
      <c r="K11" s="148">
        <f t="shared" si="4"/>
        <v>51.27406</v>
      </c>
      <c r="L11" s="148">
        <f t="shared" si="4"/>
        <v>109.47</v>
      </c>
      <c r="M11" s="148">
        <f t="shared" si="4"/>
        <v>0</v>
      </c>
      <c r="N11" s="148">
        <f t="shared" si="4"/>
        <v>109.47</v>
      </c>
      <c r="O11" s="148">
        <f t="shared" si="4"/>
        <v>0</v>
      </c>
      <c r="P11" s="148">
        <f t="shared" si="4"/>
        <v>109.47</v>
      </c>
      <c r="Q11" s="148">
        <f t="shared" si="4"/>
        <v>0</v>
      </c>
      <c r="R11" s="148">
        <f t="shared" si="4"/>
        <v>280</v>
      </c>
      <c r="S11" s="148">
        <f t="shared" si="4"/>
        <v>0</v>
      </c>
      <c r="T11" s="148">
        <f t="shared" si="4"/>
        <v>280</v>
      </c>
      <c r="U11" s="148">
        <f t="shared" si="4"/>
        <v>0</v>
      </c>
      <c r="V11" s="148">
        <f t="shared" si="4"/>
        <v>343.63</v>
      </c>
      <c r="W11" s="148">
        <f t="shared" si="4"/>
        <v>0</v>
      </c>
      <c r="X11" s="148">
        <f t="shared" si="4"/>
        <v>77.63</v>
      </c>
      <c r="Y11" s="148">
        <f t="shared" si="4"/>
        <v>0</v>
      </c>
      <c r="Z11" s="148">
        <f t="shared" si="4"/>
        <v>77.63</v>
      </c>
      <c r="AA11" s="148">
        <f t="shared" si="4"/>
        <v>0</v>
      </c>
      <c r="AB11" s="148">
        <f t="shared" si="4"/>
        <v>77.63</v>
      </c>
      <c r="AC11" s="148">
        <f t="shared" si="4"/>
        <v>0</v>
      </c>
      <c r="AD11" s="148">
        <f t="shared" si="4"/>
        <v>0</v>
      </c>
      <c r="AE11" s="148">
        <f t="shared" si="4"/>
        <v>0</v>
      </c>
      <c r="AF11" s="153"/>
      <c r="AH11" s="97"/>
    </row>
    <row r="12" spans="1:34" s="18" customFormat="1" ht="24" customHeight="1">
      <c r="A12" s="152" t="s">
        <v>25</v>
      </c>
      <c r="B12" s="148">
        <f>B16+B20+B24+B27+B30+B33+B36+B42</f>
        <v>17168.6</v>
      </c>
      <c r="C12" s="148">
        <f aca="true" t="shared" si="5" ref="C12:AE12">C16+C20+C24+C27+C30+C33+C36+C42</f>
        <v>417.8292</v>
      </c>
      <c r="D12" s="148">
        <f t="shared" si="5"/>
        <v>8738.883</v>
      </c>
      <c r="E12" s="148">
        <f t="shared" si="5"/>
        <v>213.89455</v>
      </c>
      <c r="F12" s="175">
        <f>E12/B12</f>
        <v>0.012458473608797458</v>
      </c>
      <c r="G12" s="175">
        <f>E12/C12</f>
        <v>0.5119186260797475</v>
      </c>
      <c r="H12" s="148">
        <f t="shared" si="5"/>
        <v>0</v>
      </c>
      <c r="I12" s="148">
        <f t="shared" si="5"/>
        <v>0</v>
      </c>
      <c r="J12" s="148">
        <f t="shared" si="5"/>
        <v>417.8292</v>
      </c>
      <c r="K12" s="148">
        <f t="shared" si="5"/>
        <v>213.89455</v>
      </c>
      <c r="L12" s="148">
        <f t="shared" si="5"/>
        <v>930.023</v>
      </c>
      <c r="M12" s="148">
        <f t="shared" si="5"/>
        <v>0</v>
      </c>
      <c r="N12" s="148">
        <f t="shared" si="5"/>
        <v>1292.484</v>
      </c>
      <c r="O12" s="148">
        <f t="shared" si="5"/>
        <v>0</v>
      </c>
      <c r="P12" s="148">
        <f t="shared" si="5"/>
        <v>1117.1219999999998</v>
      </c>
      <c r="Q12" s="148">
        <f t="shared" si="5"/>
        <v>0</v>
      </c>
      <c r="R12" s="148">
        <f t="shared" si="5"/>
        <v>3370.64</v>
      </c>
      <c r="S12" s="148">
        <f t="shared" si="5"/>
        <v>0</v>
      </c>
      <c r="T12" s="148">
        <f t="shared" si="5"/>
        <v>3161.27</v>
      </c>
      <c r="U12" s="148">
        <f t="shared" si="5"/>
        <v>0</v>
      </c>
      <c r="V12" s="148">
        <f t="shared" si="5"/>
        <v>3194.0299999999997</v>
      </c>
      <c r="W12" s="148">
        <f t="shared" si="5"/>
        <v>0</v>
      </c>
      <c r="X12" s="148">
        <f t="shared" si="5"/>
        <v>818.262</v>
      </c>
      <c r="Y12" s="148">
        <f t="shared" si="5"/>
        <v>0</v>
      </c>
      <c r="Z12" s="148">
        <f t="shared" si="5"/>
        <v>1027.623</v>
      </c>
      <c r="AA12" s="148">
        <f t="shared" si="5"/>
        <v>0</v>
      </c>
      <c r="AB12" s="148">
        <f t="shared" si="5"/>
        <v>1018.263</v>
      </c>
      <c r="AC12" s="148">
        <f t="shared" si="5"/>
        <v>0</v>
      </c>
      <c r="AD12" s="148">
        <f t="shared" si="5"/>
        <v>821.0538</v>
      </c>
      <c r="AE12" s="148">
        <f t="shared" si="5"/>
        <v>0</v>
      </c>
      <c r="AF12" s="153"/>
      <c r="AH12" s="97"/>
    </row>
    <row r="13" spans="1:34" s="18" customFormat="1" ht="77.25" customHeight="1">
      <c r="A13" s="45" t="s">
        <v>172</v>
      </c>
      <c r="B13" s="107"/>
      <c r="C13" s="106"/>
      <c r="D13" s="106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212" t="s">
        <v>188</v>
      </c>
      <c r="AH13" s="97"/>
    </row>
    <row r="14" spans="1:34" s="18" customFormat="1" ht="18.75">
      <c r="A14" s="108" t="s">
        <v>32</v>
      </c>
      <c r="B14" s="115">
        <f>B15+B16</f>
        <v>6530.5</v>
      </c>
      <c r="C14" s="115">
        <f>C15+C16</f>
        <v>0</v>
      </c>
      <c r="D14" s="115">
        <f>D15+D16</f>
        <v>0</v>
      </c>
      <c r="E14" s="115">
        <f>E15+E16</f>
        <v>0</v>
      </c>
      <c r="F14" s="122">
        <v>0</v>
      </c>
      <c r="G14" s="122">
        <v>0</v>
      </c>
      <c r="H14" s="116">
        <f>H15+H16</f>
        <v>0</v>
      </c>
      <c r="I14" s="116">
        <f aca="true" t="shared" si="6" ref="I14:AE14">I15+I16</f>
        <v>0</v>
      </c>
      <c r="J14" s="116">
        <f t="shared" si="6"/>
        <v>0</v>
      </c>
      <c r="K14" s="116">
        <f t="shared" si="6"/>
        <v>0</v>
      </c>
      <c r="L14" s="116">
        <f t="shared" si="6"/>
        <v>0</v>
      </c>
      <c r="M14" s="116">
        <f t="shared" si="6"/>
        <v>0</v>
      </c>
      <c r="N14" s="116">
        <f t="shared" si="6"/>
        <v>0</v>
      </c>
      <c r="O14" s="116">
        <f t="shared" si="6"/>
        <v>0</v>
      </c>
      <c r="P14" s="116">
        <f t="shared" si="6"/>
        <v>0</v>
      </c>
      <c r="Q14" s="116">
        <f t="shared" si="6"/>
        <v>0</v>
      </c>
      <c r="R14" s="116">
        <f t="shared" si="6"/>
        <v>2176.84</v>
      </c>
      <c r="S14" s="116">
        <f t="shared" si="6"/>
        <v>0</v>
      </c>
      <c r="T14" s="116">
        <f t="shared" si="6"/>
        <v>2176.83</v>
      </c>
      <c r="U14" s="116">
        <f t="shared" si="6"/>
        <v>0</v>
      </c>
      <c r="V14" s="116">
        <f t="shared" si="6"/>
        <v>2176.83</v>
      </c>
      <c r="W14" s="116">
        <f t="shared" si="6"/>
        <v>0</v>
      </c>
      <c r="X14" s="116">
        <f t="shared" si="6"/>
        <v>0</v>
      </c>
      <c r="Y14" s="116">
        <f t="shared" si="6"/>
        <v>0</v>
      </c>
      <c r="Z14" s="116">
        <f t="shared" si="6"/>
        <v>0</v>
      </c>
      <c r="AA14" s="116">
        <f t="shared" si="6"/>
        <v>0</v>
      </c>
      <c r="AB14" s="116">
        <f t="shared" si="6"/>
        <v>0</v>
      </c>
      <c r="AC14" s="116">
        <f t="shared" si="6"/>
        <v>0</v>
      </c>
      <c r="AD14" s="116">
        <f t="shared" si="6"/>
        <v>0</v>
      </c>
      <c r="AE14" s="116">
        <f t="shared" si="6"/>
        <v>0</v>
      </c>
      <c r="AF14" s="213"/>
      <c r="AH14" s="97"/>
    </row>
    <row r="15" spans="1:34" s="135" customFormat="1" ht="18.75">
      <c r="A15" s="131" t="s">
        <v>24</v>
      </c>
      <c r="B15" s="132">
        <f>H15+J15+L15+N15+P15+R15+T15+V15+X15+Z15+AB15+AD15</f>
        <v>840</v>
      </c>
      <c r="C15" s="133">
        <f>H15</f>
        <v>0</v>
      </c>
      <c r="D15" s="132"/>
      <c r="E15" s="133">
        <f>I15+K15+M15+O15+Q15+S15+U15+W15+Y15+AA15+AC15+AE15</f>
        <v>0</v>
      </c>
      <c r="F15" s="134">
        <v>0</v>
      </c>
      <c r="G15" s="134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f>280000/1000</f>
        <v>280</v>
      </c>
      <c r="S15" s="133">
        <v>0</v>
      </c>
      <c r="T15" s="133">
        <f>280000/1000</f>
        <v>280</v>
      </c>
      <c r="U15" s="133">
        <v>0</v>
      </c>
      <c r="V15" s="133">
        <f>280000/1000</f>
        <v>280</v>
      </c>
      <c r="W15" s="133">
        <v>0</v>
      </c>
      <c r="X15" s="133">
        <v>0</v>
      </c>
      <c r="Y15" s="133"/>
      <c r="Z15" s="133">
        <v>0</v>
      </c>
      <c r="AA15" s="133">
        <v>0</v>
      </c>
      <c r="AB15" s="133">
        <v>0</v>
      </c>
      <c r="AC15" s="133">
        <v>0</v>
      </c>
      <c r="AD15" s="133">
        <v>0</v>
      </c>
      <c r="AE15" s="133">
        <v>0</v>
      </c>
      <c r="AF15" s="213"/>
      <c r="AH15" s="136"/>
    </row>
    <row r="16" spans="1:34" s="135" customFormat="1" ht="30.75" customHeight="1">
      <c r="A16" s="131" t="s">
        <v>25</v>
      </c>
      <c r="B16" s="132">
        <f>H16+J16+L16+N16+P16+R16+T16+V16+X16+Z16+AB16+AD16</f>
        <v>5690.5</v>
      </c>
      <c r="C16" s="133">
        <f>H16</f>
        <v>0</v>
      </c>
      <c r="D16" s="132"/>
      <c r="E16" s="133">
        <f>I16+K16+M16+O16+Q16+S16+U16+W16+Y16+AA16+AC16+AE16</f>
        <v>0</v>
      </c>
      <c r="F16" s="134">
        <v>0</v>
      </c>
      <c r="G16" s="134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f>1896840/1000</f>
        <v>1896.84</v>
      </c>
      <c r="S16" s="133">
        <v>0</v>
      </c>
      <c r="T16" s="133">
        <f>1896830/1000</f>
        <v>1896.83</v>
      </c>
      <c r="U16" s="133">
        <v>0</v>
      </c>
      <c r="V16" s="133">
        <f>1896830/1000</f>
        <v>1896.83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33">
        <v>0</v>
      </c>
      <c r="AD16" s="133">
        <v>0</v>
      </c>
      <c r="AE16" s="133">
        <v>0</v>
      </c>
      <c r="AF16" s="214"/>
      <c r="AH16" s="136"/>
    </row>
    <row r="17" spans="1:34" s="18" customFormat="1" ht="76.5" customHeight="1">
      <c r="A17" s="46" t="s">
        <v>157</v>
      </c>
      <c r="B17" s="118"/>
      <c r="C17" s="119"/>
      <c r="D17" s="119"/>
      <c r="E17" s="119"/>
      <c r="F17" s="124"/>
      <c r="G17" s="124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212" t="s">
        <v>189</v>
      </c>
      <c r="AH17" s="97"/>
    </row>
    <row r="18" spans="1:34" s="18" customFormat="1" ht="18.75" customHeight="1">
      <c r="A18" s="108" t="s">
        <v>32</v>
      </c>
      <c r="B18" s="115">
        <f>B20+B19</f>
        <v>761.9</v>
      </c>
      <c r="C18" s="115">
        <f>C20+C19</f>
        <v>108.844</v>
      </c>
      <c r="D18" s="115">
        <f>D20+D19</f>
        <v>108.844</v>
      </c>
      <c r="E18" s="115">
        <f>E20+E19</f>
        <v>67.27755</v>
      </c>
      <c r="F18" s="122">
        <f>E18/B18</f>
        <v>0.08830233626460167</v>
      </c>
      <c r="G18" s="122">
        <f>E18/C18</f>
        <v>0.6181098636580795</v>
      </c>
      <c r="H18" s="115">
        <f>H20+H19</f>
        <v>0</v>
      </c>
      <c r="I18" s="115">
        <f aca="true" t="shared" si="7" ref="I18:AE18">I20+I19</f>
        <v>0</v>
      </c>
      <c r="J18" s="115">
        <f t="shared" si="7"/>
        <v>108.844</v>
      </c>
      <c r="K18" s="115">
        <f t="shared" si="7"/>
        <v>67.27755</v>
      </c>
      <c r="L18" s="115">
        <f t="shared" si="7"/>
        <v>108.844</v>
      </c>
      <c r="M18" s="115">
        <f t="shared" si="7"/>
        <v>0</v>
      </c>
      <c r="N18" s="115">
        <f t="shared" si="7"/>
        <v>108.844</v>
      </c>
      <c r="O18" s="115">
        <f t="shared" si="7"/>
        <v>0</v>
      </c>
      <c r="P18" s="115">
        <f t="shared" si="7"/>
        <v>108.842</v>
      </c>
      <c r="Q18" s="115">
        <f t="shared" si="7"/>
        <v>0</v>
      </c>
      <c r="R18" s="115">
        <f t="shared" si="7"/>
        <v>0</v>
      </c>
      <c r="S18" s="115">
        <f t="shared" si="7"/>
        <v>0</v>
      </c>
      <c r="T18" s="115">
        <f t="shared" si="7"/>
        <v>0</v>
      </c>
      <c r="U18" s="115">
        <f t="shared" si="7"/>
        <v>0</v>
      </c>
      <c r="V18" s="115">
        <f t="shared" si="7"/>
        <v>0</v>
      </c>
      <c r="W18" s="115">
        <f t="shared" si="7"/>
        <v>0</v>
      </c>
      <c r="X18" s="115">
        <f t="shared" si="7"/>
        <v>108.842</v>
      </c>
      <c r="Y18" s="115">
        <f t="shared" si="7"/>
        <v>0</v>
      </c>
      <c r="Z18" s="115">
        <f t="shared" si="7"/>
        <v>108.842</v>
      </c>
      <c r="AA18" s="115">
        <f t="shared" si="7"/>
        <v>0</v>
      </c>
      <c r="AB18" s="115">
        <f t="shared" si="7"/>
        <v>108.842</v>
      </c>
      <c r="AC18" s="115">
        <f t="shared" si="7"/>
        <v>0</v>
      </c>
      <c r="AD18" s="115">
        <f t="shared" si="7"/>
        <v>0</v>
      </c>
      <c r="AE18" s="115">
        <f t="shared" si="7"/>
        <v>0</v>
      </c>
      <c r="AF18" s="213"/>
      <c r="AH18" s="97"/>
    </row>
    <row r="19" spans="1:34" s="135" customFormat="1" ht="27" customHeight="1">
      <c r="A19" s="131" t="s">
        <v>24</v>
      </c>
      <c r="B19" s="132">
        <f>H19+J19+L19+N19+P19+R19+T19+V19+X19+Z19+AB19+AD19</f>
        <v>98</v>
      </c>
      <c r="C19" s="133">
        <f>H19+J19</f>
        <v>14</v>
      </c>
      <c r="D19" s="132">
        <f>14000/1000</f>
        <v>14</v>
      </c>
      <c r="E19" s="133">
        <f>I19+K19+M19+O19+Q19+S19+U19+W19+Y19+AA19+AC19+AE19</f>
        <v>10.753</v>
      </c>
      <c r="F19" s="134">
        <f>E19/B19</f>
        <v>0.10972448979591837</v>
      </c>
      <c r="G19" s="134">
        <f>E19/C19</f>
        <v>0.7680714285714286</v>
      </c>
      <c r="H19" s="133">
        <v>0</v>
      </c>
      <c r="I19" s="133">
        <v>0</v>
      </c>
      <c r="J19" s="133">
        <f>14000/1000</f>
        <v>14</v>
      </c>
      <c r="K19" s="133">
        <f>10753/1000</f>
        <v>10.753</v>
      </c>
      <c r="L19" s="133">
        <f>14000/1000</f>
        <v>14</v>
      </c>
      <c r="M19" s="133"/>
      <c r="N19" s="133">
        <f>14000/1000</f>
        <v>14</v>
      </c>
      <c r="O19" s="133"/>
      <c r="P19" s="133">
        <f>14000/1000</f>
        <v>14</v>
      </c>
      <c r="Q19" s="133">
        <v>0</v>
      </c>
      <c r="R19" s="133">
        <v>0</v>
      </c>
      <c r="S19" s="133">
        <v>0</v>
      </c>
      <c r="T19" s="133">
        <v>0</v>
      </c>
      <c r="U19" s="133"/>
      <c r="V19" s="133">
        <v>0</v>
      </c>
      <c r="W19" s="133">
        <v>0</v>
      </c>
      <c r="X19" s="133">
        <f>14000/1000</f>
        <v>14</v>
      </c>
      <c r="Y19" s="133">
        <v>0</v>
      </c>
      <c r="Z19" s="133">
        <f>14000/1000</f>
        <v>14</v>
      </c>
      <c r="AA19" s="133">
        <v>0</v>
      </c>
      <c r="AB19" s="133">
        <f>14000/1000</f>
        <v>14</v>
      </c>
      <c r="AC19" s="133"/>
      <c r="AD19" s="133">
        <v>0</v>
      </c>
      <c r="AE19" s="133">
        <v>0</v>
      </c>
      <c r="AF19" s="213"/>
      <c r="AG19" s="137"/>
      <c r="AH19" s="136"/>
    </row>
    <row r="20" spans="1:34" s="135" customFormat="1" ht="29.25" customHeight="1">
      <c r="A20" s="131" t="s">
        <v>25</v>
      </c>
      <c r="B20" s="132">
        <f>H20+J20+L20+N20+P20+R20+T20+V20+X20+Z20+AB20+AD20</f>
        <v>663.9</v>
      </c>
      <c r="C20" s="133">
        <f>H20+J20</f>
        <v>94.844</v>
      </c>
      <c r="D20" s="132">
        <f>94844/1000</f>
        <v>94.844</v>
      </c>
      <c r="E20" s="133">
        <f>I20+K20+M20+O20+Q20+S20+U20+W20+Y20+AA20+AC20+AE20</f>
        <v>56.524550000000005</v>
      </c>
      <c r="F20" s="134">
        <f>E20/B20</f>
        <v>0.08514015665009791</v>
      </c>
      <c r="G20" s="134">
        <f>E20/C20</f>
        <v>0.5959739150605206</v>
      </c>
      <c r="H20" s="133">
        <v>0</v>
      </c>
      <c r="I20" s="133">
        <v>0</v>
      </c>
      <c r="J20" s="133">
        <f>94844/1000</f>
        <v>94.844</v>
      </c>
      <c r="K20" s="133">
        <f>56524.55/1000</f>
        <v>56.524550000000005</v>
      </c>
      <c r="L20" s="133">
        <f>94844/1000</f>
        <v>94.844</v>
      </c>
      <c r="M20" s="133"/>
      <c r="N20" s="133">
        <f>94844/1000</f>
        <v>94.844</v>
      </c>
      <c r="O20" s="133"/>
      <c r="P20" s="133">
        <f>94842/1000</f>
        <v>94.842</v>
      </c>
      <c r="Q20" s="133"/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f>94842/1000</f>
        <v>94.842</v>
      </c>
      <c r="Y20" s="133"/>
      <c r="Z20" s="133">
        <f>94842/1000</f>
        <v>94.842</v>
      </c>
      <c r="AA20" s="133"/>
      <c r="AB20" s="133">
        <f>94842/1000</f>
        <v>94.842</v>
      </c>
      <c r="AC20" s="133"/>
      <c r="AD20" s="133">
        <v>0</v>
      </c>
      <c r="AE20" s="133">
        <v>0</v>
      </c>
      <c r="AF20" s="214"/>
      <c r="AG20" s="137"/>
      <c r="AH20" s="136"/>
    </row>
    <row r="21" spans="1:34" s="18" customFormat="1" ht="75" customHeight="1">
      <c r="A21" s="45" t="s">
        <v>158</v>
      </c>
      <c r="B21" s="117"/>
      <c r="C21" s="119"/>
      <c r="D21" s="119"/>
      <c r="E21" s="119"/>
      <c r="F21" s="124"/>
      <c r="G21" s="124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212" t="s">
        <v>190</v>
      </c>
      <c r="AH21" s="97"/>
    </row>
    <row r="22" spans="1:34" s="18" customFormat="1" ht="37.5" customHeight="1">
      <c r="A22" s="108" t="s">
        <v>32</v>
      </c>
      <c r="B22" s="115">
        <f>B23+B24</f>
        <v>870.8</v>
      </c>
      <c r="C22" s="115">
        <f>C23+C24</f>
        <v>130.649</v>
      </c>
      <c r="D22" s="115">
        <f>D23+D24</f>
        <v>130.649</v>
      </c>
      <c r="E22" s="115">
        <f>E23+E24</f>
        <v>40.52106</v>
      </c>
      <c r="F22" s="122">
        <f>E22/B22</f>
        <v>0.0465331419384474</v>
      </c>
      <c r="G22" s="122">
        <f>E22/C22</f>
        <v>0.3101520868892988</v>
      </c>
      <c r="H22" s="116">
        <f aca="true" t="shared" si="8" ref="H22:AE22">H23+H24</f>
        <v>0</v>
      </c>
      <c r="I22" s="116">
        <f t="shared" si="8"/>
        <v>0</v>
      </c>
      <c r="J22" s="116">
        <f t="shared" si="8"/>
        <v>130.649</v>
      </c>
      <c r="K22" s="116">
        <f t="shared" si="8"/>
        <v>40.52106</v>
      </c>
      <c r="L22" s="116">
        <f t="shared" si="8"/>
        <v>130.649</v>
      </c>
      <c r="M22" s="116">
        <f t="shared" si="8"/>
        <v>0</v>
      </c>
      <c r="N22" s="116">
        <f t="shared" si="8"/>
        <v>130.65</v>
      </c>
      <c r="O22" s="116">
        <f t="shared" si="8"/>
        <v>0</v>
      </c>
      <c r="P22" s="116">
        <f t="shared" si="8"/>
        <v>130.65</v>
      </c>
      <c r="Q22" s="116">
        <f t="shared" si="8"/>
        <v>0</v>
      </c>
      <c r="R22" s="116">
        <f t="shared" si="8"/>
        <v>0</v>
      </c>
      <c r="S22" s="116">
        <f t="shared" si="8"/>
        <v>0</v>
      </c>
      <c r="T22" s="116">
        <f t="shared" si="8"/>
        <v>0</v>
      </c>
      <c r="U22" s="116">
        <f t="shared" si="8"/>
        <v>0</v>
      </c>
      <c r="V22" s="116">
        <f t="shared" si="8"/>
        <v>87.05000000000001</v>
      </c>
      <c r="W22" s="116">
        <f t="shared" si="8"/>
        <v>0</v>
      </c>
      <c r="X22" s="116">
        <f t="shared" si="8"/>
        <v>87.05000000000001</v>
      </c>
      <c r="Y22" s="116">
        <f t="shared" si="8"/>
        <v>0</v>
      </c>
      <c r="Z22" s="116">
        <f t="shared" si="8"/>
        <v>87.051</v>
      </c>
      <c r="AA22" s="116">
        <f t="shared" si="8"/>
        <v>0</v>
      </c>
      <c r="AB22" s="116">
        <f t="shared" si="8"/>
        <v>87.051</v>
      </c>
      <c r="AC22" s="116">
        <f t="shared" si="8"/>
        <v>0</v>
      </c>
      <c r="AD22" s="116">
        <f t="shared" si="8"/>
        <v>0</v>
      </c>
      <c r="AE22" s="116">
        <f t="shared" si="8"/>
        <v>0</v>
      </c>
      <c r="AF22" s="213"/>
      <c r="AG22" s="92"/>
      <c r="AH22" s="98"/>
    </row>
    <row r="23" spans="1:34" s="135" customFormat="1" ht="37.5" customHeight="1">
      <c r="A23" s="131" t="s">
        <v>24</v>
      </c>
      <c r="B23" s="132">
        <f>H23+J23+L23+N23+P23+R23+T23+V23+X23+Z23+AB23+AD23</f>
        <v>636.4</v>
      </c>
      <c r="C23" s="133">
        <f>H23+J23</f>
        <v>95.47</v>
      </c>
      <c r="D23" s="132">
        <f>95470/1000</f>
        <v>95.47</v>
      </c>
      <c r="E23" s="133">
        <f>I23+K23+M23+O23+Q23+S23+U23+W23+Y23+AA23+AC23+AE23</f>
        <v>40.52106</v>
      </c>
      <c r="F23" s="134">
        <f>E23/B23</f>
        <v>0.0636723130106851</v>
      </c>
      <c r="G23" s="134">
        <f>E23/C23</f>
        <v>0.42443762438462346</v>
      </c>
      <c r="H23" s="133">
        <v>0</v>
      </c>
      <c r="I23" s="133">
        <v>0</v>
      </c>
      <c r="J23" s="133">
        <f>95470/1000</f>
        <v>95.47</v>
      </c>
      <c r="K23" s="133">
        <f>40521.06/1000</f>
        <v>40.52106</v>
      </c>
      <c r="L23" s="133">
        <f>95470/1000</f>
        <v>95.47</v>
      </c>
      <c r="M23" s="133"/>
      <c r="N23" s="133">
        <f>95470/1000</f>
        <v>95.47</v>
      </c>
      <c r="O23" s="133"/>
      <c r="P23" s="133">
        <f>95470/1000</f>
        <v>95.47</v>
      </c>
      <c r="Q23" s="133"/>
      <c r="R23" s="133"/>
      <c r="S23" s="133">
        <v>0</v>
      </c>
      <c r="T23" s="133"/>
      <c r="U23" s="133"/>
      <c r="V23" s="133">
        <f>63630/1000</f>
        <v>63.63</v>
      </c>
      <c r="W23" s="133"/>
      <c r="X23" s="133">
        <f>63630/1000</f>
        <v>63.63</v>
      </c>
      <c r="Y23" s="133"/>
      <c r="Z23" s="133">
        <f>63630/1000</f>
        <v>63.63</v>
      </c>
      <c r="AA23" s="133">
        <v>0</v>
      </c>
      <c r="AB23" s="133">
        <f>63630/1000</f>
        <v>63.63</v>
      </c>
      <c r="AC23" s="133"/>
      <c r="AD23" s="133">
        <v>0</v>
      </c>
      <c r="AE23" s="133"/>
      <c r="AF23" s="213"/>
      <c r="AG23" s="138"/>
      <c r="AH23" s="139"/>
    </row>
    <row r="24" spans="1:34" s="135" customFormat="1" ht="37.5" customHeight="1">
      <c r="A24" s="131" t="s">
        <v>25</v>
      </c>
      <c r="B24" s="132">
        <f>H24+J24+L24+N24+P24+R24+T24+V24+X24+Z24+AB24+AD24</f>
        <v>234.40000000000003</v>
      </c>
      <c r="C24" s="133">
        <f>H24+J24</f>
        <v>35.179</v>
      </c>
      <c r="D24" s="132">
        <f>35179/1000</f>
        <v>35.179</v>
      </c>
      <c r="E24" s="133">
        <f>I24+K24+M24+O24+Q24+S24+U24+W24+Y24+AA24+AC24+AE24</f>
        <v>0</v>
      </c>
      <c r="F24" s="134">
        <f>E24/B24</f>
        <v>0</v>
      </c>
      <c r="G24" s="134">
        <f>E24/C24</f>
        <v>0</v>
      </c>
      <c r="H24" s="133">
        <v>0</v>
      </c>
      <c r="I24" s="133">
        <v>0</v>
      </c>
      <c r="J24" s="133">
        <f>35179/1000</f>
        <v>35.179</v>
      </c>
      <c r="K24" s="133">
        <v>0</v>
      </c>
      <c r="L24" s="133">
        <f>35179/1000</f>
        <v>35.179</v>
      </c>
      <c r="M24" s="133"/>
      <c r="N24" s="133">
        <f>35180/1000</f>
        <v>35.18</v>
      </c>
      <c r="O24" s="133"/>
      <c r="P24" s="133">
        <f>35180/1000</f>
        <v>35.18</v>
      </c>
      <c r="Q24" s="133"/>
      <c r="R24" s="133"/>
      <c r="S24" s="133"/>
      <c r="T24" s="133"/>
      <c r="U24" s="133"/>
      <c r="V24" s="133">
        <f>23420/1000</f>
        <v>23.42</v>
      </c>
      <c r="W24" s="133"/>
      <c r="X24" s="133">
        <f>23420/1000</f>
        <v>23.42</v>
      </c>
      <c r="Y24" s="133"/>
      <c r="Z24" s="133">
        <f>23421/1000</f>
        <v>23.421</v>
      </c>
      <c r="AA24" s="133"/>
      <c r="AB24" s="133">
        <f>23421/1000</f>
        <v>23.421</v>
      </c>
      <c r="AC24" s="133">
        <v>0</v>
      </c>
      <c r="AD24" s="133">
        <v>0</v>
      </c>
      <c r="AE24" s="133">
        <v>0</v>
      </c>
      <c r="AF24" s="214"/>
      <c r="AG24" s="138"/>
      <c r="AH24" s="139"/>
    </row>
    <row r="25" spans="1:34" s="18" customFormat="1" ht="96" customHeight="1">
      <c r="A25" s="45" t="s">
        <v>159</v>
      </c>
      <c r="B25" s="117"/>
      <c r="C25" s="119"/>
      <c r="D25" s="119"/>
      <c r="E25" s="119"/>
      <c r="F25" s="124"/>
      <c r="G25" s="124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212" t="s">
        <v>191</v>
      </c>
      <c r="AH25" s="97"/>
    </row>
    <row r="26" spans="1:34" s="18" customFormat="1" ht="18.75">
      <c r="A26" s="108" t="s">
        <v>32</v>
      </c>
      <c r="B26" s="115">
        <f aca="true" t="shared" si="9" ref="B26:AE26">B27</f>
        <v>587</v>
      </c>
      <c r="C26" s="115">
        <f t="shared" si="9"/>
        <v>9.36</v>
      </c>
      <c r="D26" s="115">
        <f t="shared" si="9"/>
        <v>9.36</v>
      </c>
      <c r="E26" s="115">
        <f t="shared" si="9"/>
        <v>2.07</v>
      </c>
      <c r="F26" s="122">
        <f>E26/B26</f>
        <v>0.0035264054514480407</v>
      </c>
      <c r="G26" s="122">
        <f>E26/C26</f>
        <v>0.22115384615384615</v>
      </c>
      <c r="H26" s="116">
        <f t="shared" si="9"/>
        <v>0</v>
      </c>
      <c r="I26" s="116">
        <f t="shared" si="9"/>
        <v>0</v>
      </c>
      <c r="J26" s="116">
        <f t="shared" si="9"/>
        <v>9.36</v>
      </c>
      <c r="K26" s="116">
        <f t="shared" si="9"/>
        <v>2.07</v>
      </c>
      <c r="L26" s="116">
        <f t="shared" si="9"/>
        <v>0</v>
      </c>
      <c r="M26" s="116">
        <f t="shared" si="9"/>
        <v>0</v>
      </c>
      <c r="N26" s="116">
        <f t="shared" si="9"/>
        <v>362.46</v>
      </c>
      <c r="O26" s="116">
        <f t="shared" si="9"/>
        <v>0</v>
      </c>
      <c r="P26" s="116">
        <f t="shared" si="9"/>
        <v>187.1</v>
      </c>
      <c r="Q26" s="116">
        <f t="shared" si="9"/>
        <v>0</v>
      </c>
      <c r="R26" s="116">
        <f t="shared" si="9"/>
        <v>9.36</v>
      </c>
      <c r="S26" s="116">
        <f t="shared" si="9"/>
        <v>0</v>
      </c>
      <c r="T26" s="116">
        <f t="shared" si="9"/>
        <v>0</v>
      </c>
      <c r="U26" s="116">
        <f t="shared" si="9"/>
        <v>0</v>
      </c>
      <c r="V26" s="116">
        <f t="shared" si="9"/>
        <v>9.36</v>
      </c>
      <c r="W26" s="116">
        <f t="shared" si="9"/>
        <v>0</v>
      </c>
      <c r="X26" s="116">
        <f t="shared" si="9"/>
        <v>0</v>
      </c>
      <c r="Y26" s="116">
        <f t="shared" si="9"/>
        <v>0</v>
      </c>
      <c r="Z26" s="116">
        <f t="shared" si="9"/>
        <v>9.36</v>
      </c>
      <c r="AA26" s="116">
        <f t="shared" si="9"/>
        <v>0</v>
      </c>
      <c r="AB26" s="116">
        <f t="shared" si="9"/>
        <v>0</v>
      </c>
      <c r="AC26" s="116">
        <f t="shared" si="9"/>
        <v>0</v>
      </c>
      <c r="AD26" s="116">
        <f t="shared" si="9"/>
        <v>0</v>
      </c>
      <c r="AE26" s="116">
        <f t="shared" si="9"/>
        <v>0</v>
      </c>
      <c r="AF26" s="213"/>
      <c r="AH26" s="97"/>
    </row>
    <row r="27" spans="1:34" s="135" customFormat="1" ht="18.75">
      <c r="A27" s="131" t="s">
        <v>25</v>
      </c>
      <c r="B27" s="132">
        <f>H27+J27+L27+N27+P27+R27+T27+V27+X27+Z27+AB27+AD27</f>
        <v>587</v>
      </c>
      <c r="C27" s="133">
        <f>J27</f>
        <v>9.36</v>
      </c>
      <c r="D27" s="132">
        <f>9360/1000</f>
        <v>9.36</v>
      </c>
      <c r="E27" s="133">
        <f>I27+K27+M27+O27+Q27+S27+U27+W27+Y27+AA27+AC27+AE27</f>
        <v>2.07</v>
      </c>
      <c r="F27" s="134">
        <f>E27/B27</f>
        <v>0.0035264054514480407</v>
      </c>
      <c r="G27" s="134">
        <f>E27/C27</f>
        <v>0.22115384615384615</v>
      </c>
      <c r="H27" s="133">
        <v>0</v>
      </c>
      <c r="I27" s="133">
        <v>0</v>
      </c>
      <c r="J27" s="133">
        <f>9360/1000</f>
        <v>9.36</v>
      </c>
      <c r="K27" s="133">
        <v>2.07</v>
      </c>
      <c r="L27" s="133">
        <v>0</v>
      </c>
      <c r="M27" s="133"/>
      <c r="N27" s="133">
        <f>362460/1000</f>
        <v>362.46</v>
      </c>
      <c r="O27" s="133"/>
      <c r="P27" s="133">
        <f>187100/1000</f>
        <v>187.1</v>
      </c>
      <c r="Q27" s="133"/>
      <c r="R27" s="133">
        <f>9360/1000</f>
        <v>9.36</v>
      </c>
      <c r="S27" s="133"/>
      <c r="T27" s="133">
        <v>0</v>
      </c>
      <c r="U27" s="133"/>
      <c r="V27" s="133">
        <f>9360/1000</f>
        <v>9.36</v>
      </c>
      <c r="W27" s="133"/>
      <c r="X27" s="133">
        <v>0</v>
      </c>
      <c r="Y27" s="133">
        <v>0</v>
      </c>
      <c r="Z27" s="133">
        <f>9360/1000</f>
        <v>9.36</v>
      </c>
      <c r="AA27" s="133"/>
      <c r="AB27" s="133">
        <v>0</v>
      </c>
      <c r="AC27" s="133"/>
      <c r="AD27" s="133">
        <v>0</v>
      </c>
      <c r="AE27" s="133"/>
      <c r="AF27" s="213"/>
      <c r="AH27" s="136"/>
    </row>
    <row r="28" spans="1:34" s="18" customFormat="1" ht="46.5" customHeight="1">
      <c r="A28" s="45" t="s">
        <v>160</v>
      </c>
      <c r="B28" s="117"/>
      <c r="C28" s="119"/>
      <c r="D28" s="119"/>
      <c r="E28" s="119"/>
      <c r="F28" s="124"/>
      <c r="G28" s="123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215" t="s">
        <v>192</v>
      </c>
      <c r="AH28" s="97"/>
    </row>
    <row r="29" spans="1:34" s="18" customFormat="1" ht="20.25">
      <c r="A29" s="108" t="s">
        <v>32</v>
      </c>
      <c r="B29" s="115">
        <f>B30</f>
        <v>1393.3</v>
      </c>
      <c r="C29" s="115">
        <f aca="true" t="shared" si="10" ref="C29:AE29">C30</f>
        <v>0</v>
      </c>
      <c r="D29" s="115">
        <f t="shared" si="10"/>
        <v>0</v>
      </c>
      <c r="E29" s="115">
        <f t="shared" si="10"/>
        <v>0</v>
      </c>
      <c r="F29" s="122">
        <f>E29/B29</f>
        <v>0</v>
      </c>
      <c r="G29" s="122">
        <v>0</v>
      </c>
      <c r="H29" s="115">
        <f t="shared" si="10"/>
        <v>0</v>
      </c>
      <c r="I29" s="115">
        <f t="shared" si="10"/>
        <v>0</v>
      </c>
      <c r="J29" s="115">
        <f t="shared" si="10"/>
        <v>0</v>
      </c>
      <c r="K29" s="115">
        <f t="shared" si="10"/>
        <v>0</v>
      </c>
      <c r="L29" s="115">
        <f t="shared" si="10"/>
        <v>0</v>
      </c>
      <c r="M29" s="115">
        <f t="shared" si="10"/>
        <v>0</v>
      </c>
      <c r="N29" s="115">
        <f t="shared" si="10"/>
        <v>0</v>
      </c>
      <c r="O29" s="115">
        <f t="shared" si="10"/>
        <v>0</v>
      </c>
      <c r="P29" s="115">
        <f t="shared" si="10"/>
        <v>0</v>
      </c>
      <c r="Q29" s="115">
        <f t="shared" si="10"/>
        <v>0</v>
      </c>
      <c r="R29" s="115">
        <f t="shared" si="10"/>
        <v>464.44</v>
      </c>
      <c r="S29" s="115">
        <f t="shared" si="10"/>
        <v>0</v>
      </c>
      <c r="T29" s="115">
        <f t="shared" si="10"/>
        <v>464.44</v>
      </c>
      <c r="U29" s="115">
        <f t="shared" si="10"/>
        <v>0</v>
      </c>
      <c r="V29" s="115">
        <f t="shared" si="10"/>
        <v>464.42</v>
      </c>
      <c r="W29" s="115">
        <f t="shared" si="10"/>
        <v>0</v>
      </c>
      <c r="X29" s="115">
        <f t="shared" si="10"/>
        <v>0</v>
      </c>
      <c r="Y29" s="115">
        <f t="shared" si="10"/>
        <v>0</v>
      </c>
      <c r="Z29" s="115">
        <f t="shared" si="10"/>
        <v>0</v>
      </c>
      <c r="AA29" s="115">
        <f t="shared" si="10"/>
        <v>0</v>
      </c>
      <c r="AB29" s="115">
        <f t="shared" si="10"/>
        <v>0</v>
      </c>
      <c r="AC29" s="115">
        <f t="shared" si="10"/>
        <v>0</v>
      </c>
      <c r="AD29" s="115">
        <f t="shared" si="10"/>
        <v>0</v>
      </c>
      <c r="AE29" s="115">
        <f t="shared" si="10"/>
        <v>0</v>
      </c>
      <c r="AF29" s="110"/>
      <c r="AG29" s="92"/>
      <c r="AH29" s="97"/>
    </row>
    <row r="30" spans="1:34" s="135" customFormat="1" ht="20.25">
      <c r="A30" s="131" t="s">
        <v>25</v>
      </c>
      <c r="B30" s="132">
        <f>H30+J30+L30+N30+P30+R30+T30+V30+X30+Z30+AB30+AD30</f>
        <v>1393.3</v>
      </c>
      <c r="C30" s="133">
        <f>H30</f>
        <v>0</v>
      </c>
      <c r="D30" s="132"/>
      <c r="E30" s="133">
        <f>I30+K30+M30+O30+Q30+S30+U30+W30+Y30+AA30+AC30+AE30</f>
        <v>0</v>
      </c>
      <c r="F30" s="134">
        <f>E30/B30</f>
        <v>0</v>
      </c>
      <c r="G30" s="134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33">
        <f>464440/1000</f>
        <v>464.44</v>
      </c>
      <c r="S30" s="133"/>
      <c r="T30" s="133">
        <f>464440/1000</f>
        <v>464.44</v>
      </c>
      <c r="U30" s="133"/>
      <c r="V30" s="133">
        <f>464420/1000</f>
        <v>464.42</v>
      </c>
      <c r="W30" s="133"/>
      <c r="X30" s="140">
        <v>0</v>
      </c>
      <c r="Y30" s="133"/>
      <c r="Z30" s="140">
        <v>0</v>
      </c>
      <c r="AA30" s="140">
        <v>0</v>
      </c>
      <c r="AB30" s="140">
        <v>0</v>
      </c>
      <c r="AC30" s="140">
        <v>0</v>
      </c>
      <c r="AD30" s="140">
        <v>0</v>
      </c>
      <c r="AE30" s="140">
        <v>0</v>
      </c>
      <c r="AF30" s="216" t="s">
        <v>193</v>
      </c>
      <c r="AG30" s="138"/>
      <c r="AH30" s="139"/>
    </row>
    <row r="31" spans="1:34" s="18" customFormat="1" ht="19.5" customHeight="1">
      <c r="A31" s="45" t="s">
        <v>161</v>
      </c>
      <c r="B31" s="117"/>
      <c r="C31" s="118"/>
      <c r="D31" s="118"/>
      <c r="E31" s="118"/>
      <c r="F31" s="123"/>
      <c r="G31" s="123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216"/>
      <c r="AH31" s="97"/>
    </row>
    <row r="32" spans="1:34" s="18" customFormat="1" ht="18.75">
      <c r="A32" s="108" t="s">
        <v>32</v>
      </c>
      <c r="B32" s="115">
        <f aca="true" t="shared" si="11" ref="B32:AE32">B33</f>
        <v>75.2</v>
      </c>
      <c r="C32" s="115">
        <f t="shared" si="11"/>
        <v>75.2</v>
      </c>
      <c r="D32" s="115">
        <f t="shared" si="11"/>
        <v>75.2</v>
      </c>
      <c r="E32" s="115">
        <f t="shared" si="11"/>
        <v>0</v>
      </c>
      <c r="F32" s="122">
        <f>E32/B32</f>
        <v>0</v>
      </c>
      <c r="G32" s="122">
        <v>0</v>
      </c>
      <c r="H32" s="116">
        <f t="shared" si="11"/>
        <v>0</v>
      </c>
      <c r="I32" s="116">
        <f t="shared" si="11"/>
        <v>0</v>
      </c>
      <c r="J32" s="116">
        <f t="shared" si="11"/>
        <v>75.2</v>
      </c>
      <c r="K32" s="116">
        <f t="shared" si="11"/>
        <v>0</v>
      </c>
      <c r="L32" s="116">
        <f t="shared" si="11"/>
        <v>0</v>
      </c>
      <c r="M32" s="116">
        <f t="shared" si="11"/>
        <v>0</v>
      </c>
      <c r="N32" s="116">
        <f t="shared" si="11"/>
        <v>0</v>
      </c>
      <c r="O32" s="116">
        <f t="shared" si="11"/>
        <v>0</v>
      </c>
      <c r="P32" s="116">
        <f t="shared" si="11"/>
        <v>0</v>
      </c>
      <c r="Q32" s="116">
        <f t="shared" si="11"/>
        <v>0</v>
      </c>
      <c r="R32" s="116">
        <f t="shared" si="11"/>
        <v>0</v>
      </c>
      <c r="S32" s="116">
        <f t="shared" si="11"/>
        <v>0</v>
      </c>
      <c r="T32" s="116">
        <f t="shared" si="11"/>
        <v>0</v>
      </c>
      <c r="U32" s="116">
        <f t="shared" si="11"/>
        <v>0</v>
      </c>
      <c r="V32" s="116">
        <f t="shared" si="11"/>
        <v>0</v>
      </c>
      <c r="W32" s="116">
        <f t="shared" si="11"/>
        <v>0</v>
      </c>
      <c r="X32" s="116">
        <f t="shared" si="11"/>
        <v>0</v>
      </c>
      <c r="Y32" s="116">
        <f t="shared" si="11"/>
        <v>0</v>
      </c>
      <c r="Z32" s="116">
        <f t="shared" si="11"/>
        <v>0</v>
      </c>
      <c r="AA32" s="116">
        <f t="shared" si="11"/>
        <v>0</v>
      </c>
      <c r="AB32" s="116">
        <f t="shared" si="11"/>
        <v>0</v>
      </c>
      <c r="AC32" s="116">
        <f t="shared" si="11"/>
        <v>0</v>
      </c>
      <c r="AD32" s="116">
        <f t="shared" si="11"/>
        <v>0</v>
      </c>
      <c r="AE32" s="116">
        <f t="shared" si="11"/>
        <v>0</v>
      </c>
      <c r="AF32" s="110"/>
      <c r="AH32" s="97"/>
    </row>
    <row r="33" spans="1:34" s="135" customFormat="1" ht="18.75">
      <c r="A33" s="131" t="s">
        <v>25</v>
      </c>
      <c r="B33" s="132">
        <f>H33+J33+L33+N33+P33+R33+T33+V33+X33+Z33+AB33+AD33</f>
        <v>75.2</v>
      </c>
      <c r="C33" s="133">
        <f>J33</f>
        <v>75.2</v>
      </c>
      <c r="D33" s="133">
        <f>75200/1000</f>
        <v>75.2</v>
      </c>
      <c r="E33" s="133">
        <f>I33+K33+M33+O33+Q33+S33+U33+W33+Y33+AA33+AC33+AE33</f>
        <v>0</v>
      </c>
      <c r="F33" s="134">
        <f>E33/B33</f>
        <v>0</v>
      </c>
      <c r="G33" s="134">
        <f>E33/C33</f>
        <v>0</v>
      </c>
      <c r="H33" s="133">
        <v>0</v>
      </c>
      <c r="I33" s="133">
        <v>0</v>
      </c>
      <c r="J33" s="133">
        <f>75200/1000</f>
        <v>75.2</v>
      </c>
      <c r="K33" s="133">
        <v>0</v>
      </c>
      <c r="L33" s="133">
        <v>0</v>
      </c>
      <c r="M33" s="133">
        <v>0</v>
      </c>
      <c r="N33" s="133"/>
      <c r="O33" s="133">
        <v>0</v>
      </c>
      <c r="P33" s="133">
        <v>0</v>
      </c>
      <c r="Q33" s="133"/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133">
        <v>0</v>
      </c>
      <c r="AD33" s="133">
        <v>0</v>
      </c>
      <c r="AE33" s="133">
        <v>0</v>
      </c>
      <c r="AF33" s="217" t="s">
        <v>194</v>
      </c>
      <c r="AH33" s="136"/>
    </row>
    <row r="34" spans="1:34" s="18" customFormat="1" ht="56.25">
      <c r="A34" s="45" t="s">
        <v>162</v>
      </c>
      <c r="B34" s="117"/>
      <c r="C34" s="119"/>
      <c r="D34" s="119"/>
      <c r="E34" s="119"/>
      <c r="F34" s="124"/>
      <c r="G34" s="124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217"/>
      <c r="AH34" s="97"/>
    </row>
    <row r="35" spans="1:34" s="18" customFormat="1" ht="18.75">
      <c r="A35" s="108" t="s">
        <v>32</v>
      </c>
      <c r="B35" s="115">
        <f aca="true" t="shared" si="12" ref="B35:AE35">B36</f>
        <v>0</v>
      </c>
      <c r="C35" s="115">
        <f t="shared" si="12"/>
        <v>0</v>
      </c>
      <c r="D35" s="115">
        <f t="shared" si="12"/>
        <v>0</v>
      </c>
      <c r="E35" s="115">
        <f t="shared" si="12"/>
        <v>0</v>
      </c>
      <c r="F35" s="122">
        <v>0</v>
      </c>
      <c r="G35" s="122">
        <v>0</v>
      </c>
      <c r="H35" s="116">
        <f t="shared" si="12"/>
        <v>0</v>
      </c>
      <c r="I35" s="116">
        <f t="shared" si="12"/>
        <v>0</v>
      </c>
      <c r="J35" s="116">
        <f t="shared" si="12"/>
        <v>0</v>
      </c>
      <c r="K35" s="116">
        <f t="shared" si="12"/>
        <v>0</v>
      </c>
      <c r="L35" s="116">
        <f t="shared" si="12"/>
        <v>0</v>
      </c>
      <c r="M35" s="116">
        <f t="shared" si="12"/>
        <v>0</v>
      </c>
      <c r="N35" s="116">
        <f t="shared" si="12"/>
        <v>0</v>
      </c>
      <c r="O35" s="116">
        <f t="shared" si="12"/>
        <v>0</v>
      </c>
      <c r="P35" s="116">
        <f t="shared" si="12"/>
        <v>0</v>
      </c>
      <c r="Q35" s="116">
        <f t="shared" si="12"/>
        <v>0</v>
      </c>
      <c r="R35" s="116">
        <f t="shared" si="12"/>
        <v>0</v>
      </c>
      <c r="S35" s="116">
        <f t="shared" si="12"/>
        <v>0</v>
      </c>
      <c r="T35" s="116">
        <f t="shared" si="12"/>
        <v>0</v>
      </c>
      <c r="U35" s="116">
        <f t="shared" si="12"/>
        <v>0</v>
      </c>
      <c r="V35" s="116">
        <f t="shared" si="12"/>
        <v>0</v>
      </c>
      <c r="W35" s="116">
        <f t="shared" si="12"/>
        <v>0</v>
      </c>
      <c r="X35" s="116">
        <f t="shared" si="12"/>
        <v>0</v>
      </c>
      <c r="Y35" s="116">
        <f t="shared" si="12"/>
        <v>0</v>
      </c>
      <c r="Z35" s="116">
        <f t="shared" si="12"/>
        <v>0</v>
      </c>
      <c r="AA35" s="116">
        <f t="shared" si="12"/>
        <v>0</v>
      </c>
      <c r="AB35" s="116">
        <f t="shared" si="12"/>
        <v>0</v>
      </c>
      <c r="AC35" s="116">
        <f t="shared" si="12"/>
        <v>0</v>
      </c>
      <c r="AD35" s="116">
        <f t="shared" si="12"/>
        <v>0</v>
      </c>
      <c r="AE35" s="116">
        <f t="shared" si="12"/>
        <v>0</v>
      </c>
      <c r="AF35" s="110"/>
      <c r="AH35" s="97"/>
    </row>
    <row r="36" spans="1:34" s="142" customFormat="1" ht="18.75">
      <c r="A36" s="131" t="s">
        <v>25</v>
      </c>
      <c r="B36" s="132">
        <f>H36+J36+L36+N36+P36+R36+T36+V36+X36+Z36+AB36+AD36</f>
        <v>0</v>
      </c>
      <c r="C36" s="133">
        <f>H36</f>
        <v>0</v>
      </c>
      <c r="D36" s="133">
        <f>H36+J36+L36+N36+P36+R36+T36+V36</f>
        <v>0</v>
      </c>
      <c r="E36" s="133">
        <f>I36+K36+M36+O36+Q36+S36+U36+W36+Y36+AA36+AC36+AE36</f>
        <v>0</v>
      </c>
      <c r="F36" s="134">
        <v>0</v>
      </c>
      <c r="G36" s="134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  <c r="AA36" s="133">
        <v>0</v>
      </c>
      <c r="AB36" s="133">
        <v>0</v>
      </c>
      <c r="AC36" s="133">
        <v>0</v>
      </c>
      <c r="AD36" s="133">
        <v>0</v>
      </c>
      <c r="AE36" s="133">
        <v>0</v>
      </c>
      <c r="AF36" s="141"/>
      <c r="AH36" s="143"/>
    </row>
    <row r="37" spans="1:34" s="18" customFormat="1" ht="18.75">
      <c r="A37" s="112" t="s">
        <v>151</v>
      </c>
      <c r="B37" s="120">
        <f>B38+B39</f>
        <v>10218.699999999999</v>
      </c>
      <c r="C37" s="120">
        <f>C38+C39</f>
        <v>324.053</v>
      </c>
      <c r="D37" s="120">
        <f aca="true" t="shared" si="13" ref="D37:AE37">D38+D39</f>
        <v>324.053</v>
      </c>
      <c r="E37" s="120">
        <f t="shared" si="13"/>
        <v>109.86861</v>
      </c>
      <c r="F37" s="125">
        <f>E37/B37</f>
        <v>0.010751720864689248</v>
      </c>
      <c r="G37" s="125">
        <f>E37/C37</f>
        <v>0.33904518705273523</v>
      </c>
      <c r="H37" s="120">
        <f t="shared" si="13"/>
        <v>0</v>
      </c>
      <c r="I37" s="120">
        <f t="shared" si="13"/>
        <v>0</v>
      </c>
      <c r="J37" s="120">
        <f t="shared" si="13"/>
        <v>324.053</v>
      </c>
      <c r="K37" s="120">
        <f t="shared" si="13"/>
        <v>109.86861</v>
      </c>
      <c r="L37" s="120">
        <f t="shared" si="13"/>
        <v>239.493</v>
      </c>
      <c r="M37" s="120">
        <f t="shared" si="13"/>
        <v>0</v>
      </c>
      <c r="N37" s="120">
        <f t="shared" si="13"/>
        <v>601.954</v>
      </c>
      <c r="O37" s="120">
        <f t="shared" si="13"/>
        <v>0</v>
      </c>
      <c r="P37" s="120">
        <f t="shared" si="13"/>
        <v>426.592</v>
      </c>
      <c r="Q37" s="120">
        <f t="shared" si="13"/>
        <v>0</v>
      </c>
      <c r="R37" s="120">
        <f t="shared" si="13"/>
        <v>2650.64</v>
      </c>
      <c r="S37" s="120">
        <f t="shared" si="13"/>
        <v>0</v>
      </c>
      <c r="T37" s="120">
        <f t="shared" si="13"/>
        <v>2641.27</v>
      </c>
      <c r="U37" s="120">
        <f>U38+U39</f>
        <v>0</v>
      </c>
      <c r="V37" s="120">
        <f t="shared" si="13"/>
        <v>2737.66</v>
      </c>
      <c r="W37" s="120">
        <f t="shared" si="13"/>
        <v>0</v>
      </c>
      <c r="X37" s="120">
        <f t="shared" si="13"/>
        <v>195.892</v>
      </c>
      <c r="Y37" s="120">
        <f t="shared" si="13"/>
        <v>0</v>
      </c>
      <c r="Z37" s="120">
        <f>Z38+Z39</f>
        <v>205.253</v>
      </c>
      <c r="AA37" s="120">
        <f t="shared" si="13"/>
        <v>0</v>
      </c>
      <c r="AB37" s="120">
        <f t="shared" si="13"/>
        <v>195.893</v>
      </c>
      <c r="AC37" s="120">
        <f t="shared" si="13"/>
        <v>0</v>
      </c>
      <c r="AD37" s="120">
        <f t="shared" si="13"/>
        <v>0</v>
      </c>
      <c r="AE37" s="120">
        <f t="shared" si="13"/>
        <v>0</v>
      </c>
      <c r="AF37" s="113"/>
      <c r="AH37" s="97"/>
    </row>
    <row r="38" spans="1:34" s="18" customFormat="1" ht="18.75">
      <c r="A38" s="114" t="s">
        <v>24</v>
      </c>
      <c r="B38" s="121">
        <f>B15+B19+B23</f>
        <v>1574.4</v>
      </c>
      <c r="C38" s="121">
        <f>C15+C19+C23</f>
        <v>109.47</v>
      </c>
      <c r="D38" s="121">
        <f>D15+D19+D23</f>
        <v>109.47</v>
      </c>
      <c r="E38" s="121">
        <f>E15+E19+E23</f>
        <v>51.27406</v>
      </c>
      <c r="F38" s="126">
        <f>E38/B38</f>
        <v>0.032567365345528454</v>
      </c>
      <c r="G38" s="126">
        <f>E38/C38</f>
        <v>0.4683845802502969</v>
      </c>
      <c r="H38" s="121">
        <f aca="true" t="shared" si="14" ref="H38:AE38">H15+H19+H23</f>
        <v>0</v>
      </c>
      <c r="I38" s="121">
        <f t="shared" si="14"/>
        <v>0</v>
      </c>
      <c r="J38" s="121">
        <f t="shared" si="14"/>
        <v>109.47</v>
      </c>
      <c r="K38" s="121">
        <f t="shared" si="14"/>
        <v>51.27406</v>
      </c>
      <c r="L38" s="121">
        <f t="shared" si="14"/>
        <v>109.47</v>
      </c>
      <c r="M38" s="121">
        <f t="shared" si="14"/>
        <v>0</v>
      </c>
      <c r="N38" s="121">
        <f t="shared" si="14"/>
        <v>109.47</v>
      </c>
      <c r="O38" s="121">
        <f t="shared" si="14"/>
        <v>0</v>
      </c>
      <c r="P38" s="121">
        <f t="shared" si="14"/>
        <v>109.47</v>
      </c>
      <c r="Q38" s="121">
        <f t="shared" si="14"/>
        <v>0</v>
      </c>
      <c r="R38" s="121">
        <f t="shared" si="14"/>
        <v>280</v>
      </c>
      <c r="S38" s="121">
        <f t="shared" si="14"/>
        <v>0</v>
      </c>
      <c r="T38" s="121">
        <f t="shared" si="14"/>
        <v>280</v>
      </c>
      <c r="U38" s="121">
        <f>U15+U19+U23</f>
        <v>0</v>
      </c>
      <c r="V38" s="121">
        <f t="shared" si="14"/>
        <v>343.63</v>
      </c>
      <c r="W38" s="121">
        <f t="shared" si="14"/>
        <v>0</v>
      </c>
      <c r="X38" s="121">
        <f t="shared" si="14"/>
        <v>77.63</v>
      </c>
      <c r="Y38" s="121">
        <f t="shared" si="14"/>
        <v>0</v>
      </c>
      <c r="Z38" s="121">
        <f t="shared" si="14"/>
        <v>77.63</v>
      </c>
      <c r="AA38" s="121">
        <f t="shared" si="14"/>
        <v>0</v>
      </c>
      <c r="AB38" s="121">
        <f t="shared" si="14"/>
        <v>77.63</v>
      </c>
      <c r="AC38" s="121">
        <f t="shared" si="14"/>
        <v>0</v>
      </c>
      <c r="AD38" s="121">
        <f t="shared" si="14"/>
        <v>0</v>
      </c>
      <c r="AE38" s="121">
        <f t="shared" si="14"/>
        <v>0</v>
      </c>
      <c r="AF38" s="113"/>
      <c r="AH38" s="97"/>
    </row>
    <row r="39" spans="1:34" s="18" customFormat="1" ht="18.75">
      <c r="A39" s="114" t="s">
        <v>25</v>
      </c>
      <c r="B39" s="121">
        <f>B16+B20+B24+B27+B30+B33+B36</f>
        <v>8644.3</v>
      </c>
      <c r="C39" s="121">
        <f>C16+C20+C24+C27+C30+C33+C36</f>
        <v>214.58299999999997</v>
      </c>
      <c r="D39" s="121">
        <f>D16+D20+D24+D27+D30+D33+D36</f>
        <v>214.58299999999997</v>
      </c>
      <c r="E39" s="121">
        <f>E16+E20+E24+E27+E30+E33+E36</f>
        <v>58.594550000000005</v>
      </c>
      <c r="F39" s="126">
        <f>E39/B39</f>
        <v>0.006778403109563529</v>
      </c>
      <c r="G39" s="126">
        <f>E39/C39</f>
        <v>0.27306240475713367</v>
      </c>
      <c r="H39" s="121">
        <f aca="true" t="shared" si="15" ref="H39:AE39">H16+H20+H24+H27+H30+H33+H36</f>
        <v>0</v>
      </c>
      <c r="I39" s="121">
        <f t="shared" si="15"/>
        <v>0</v>
      </c>
      <c r="J39" s="121">
        <f t="shared" si="15"/>
        <v>214.58299999999997</v>
      </c>
      <c r="K39" s="121">
        <f t="shared" si="15"/>
        <v>58.594550000000005</v>
      </c>
      <c r="L39" s="121">
        <f t="shared" si="15"/>
        <v>130.023</v>
      </c>
      <c r="M39" s="121">
        <f t="shared" si="15"/>
        <v>0</v>
      </c>
      <c r="N39" s="121">
        <f t="shared" si="15"/>
        <v>492.484</v>
      </c>
      <c r="O39" s="121">
        <f t="shared" si="15"/>
        <v>0</v>
      </c>
      <c r="P39" s="121">
        <f t="shared" si="15"/>
        <v>317.12199999999996</v>
      </c>
      <c r="Q39" s="121">
        <f t="shared" si="15"/>
        <v>0</v>
      </c>
      <c r="R39" s="121">
        <f t="shared" si="15"/>
        <v>2370.64</v>
      </c>
      <c r="S39" s="121">
        <f t="shared" si="15"/>
        <v>0</v>
      </c>
      <c r="T39" s="121">
        <f t="shared" si="15"/>
        <v>2361.27</v>
      </c>
      <c r="U39" s="121">
        <f t="shared" si="15"/>
        <v>0</v>
      </c>
      <c r="V39" s="121">
        <f t="shared" si="15"/>
        <v>2394.0299999999997</v>
      </c>
      <c r="W39" s="121">
        <f t="shared" si="15"/>
        <v>0</v>
      </c>
      <c r="X39" s="121">
        <f t="shared" si="15"/>
        <v>118.262</v>
      </c>
      <c r="Y39" s="121">
        <f t="shared" si="15"/>
        <v>0</v>
      </c>
      <c r="Z39" s="121">
        <f t="shared" si="15"/>
        <v>127.623</v>
      </c>
      <c r="AA39" s="121">
        <f t="shared" si="15"/>
        <v>0</v>
      </c>
      <c r="AB39" s="121">
        <f t="shared" si="15"/>
        <v>118.263</v>
      </c>
      <c r="AC39" s="121">
        <f t="shared" si="15"/>
        <v>0</v>
      </c>
      <c r="AD39" s="121">
        <f t="shared" si="15"/>
        <v>0</v>
      </c>
      <c r="AE39" s="121">
        <f t="shared" si="15"/>
        <v>0</v>
      </c>
      <c r="AF39" s="113"/>
      <c r="AH39" s="97"/>
    </row>
    <row r="40" spans="1:34" s="18" customFormat="1" ht="94.5" customHeight="1">
      <c r="A40" s="45" t="s">
        <v>163</v>
      </c>
      <c r="B40" s="117"/>
      <c r="C40" s="119"/>
      <c r="D40" s="119"/>
      <c r="E40" s="119"/>
      <c r="F40" s="124"/>
      <c r="G40" s="124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218" t="s">
        <v>195</v>
      </c>
      <c r="AH40" s="97"/>
    </row>
    <row r="41" spans="1:34" s="18" customFormat="1" ht="18.75">
      <c r="A41" s="108" t="s">
        <v>32</v>
      </c>
      <c r="B41" s="115">
        <f aca="true" t="shared" si="16" ref="B41:AE41">B42</f>
        <v>8524.3</v>
      </c>
      <c r="C41" s="115">
        <f t="shared" si="16"/>
        <v>203.24620000000002</v>
      </c>
      <c r="D41" s="115">
        <f>C41</f>
        <v>203.24620000000002</v>
      </c>
      <c r="E41" s="115">
        <f t="shared" si="16"/>
        <v>155.3</v>
      </c>
      <c r="F41" s="122">
        <f>E41/B41</f>
        <v>0.01821850474525768</v>
      </c>
      <c r="G41" s="122">
        <f>E41/C41</f>
        <v>0.7640979265541004</v>
      </c>
      <c r="H41" s="116">
        <f t="shared" si="16"/>
        <v>0</v>
      </c>
      <c r="I41" s="116">
        <f t="shared" si="16"/>
        <v>0</v>
      </c>
      <c r="J41" s="116">
        <f t="shared" si="16"/>
        <v>203.24620000000002</v>
      </c>
      <c r="K41" s="116">
        <f t="shared" si="16"/>
        <v>155.3</v>
      </c>
      <c r="L41" s="116">
        <f t="shared" si="16"/>
        <v>800</v>
      </c>
      <c r="M41" s="116">
        <f t="shared" si="16"/>
        <v>0</v>
      </c>
      <c r="N41" s="116">
        <f t="shared" si="16"/>
        <v>800</v>
      </c>
      <c r="O41" s="116">
        <f t="shared" si="16"/>
        <v>0</v>
      </c>
      <c r="P41" s="116">
        <f t="shared" si="16"/>
        <v>800</v>
      </c>
      <c r="Q41" s="116">
        <f t="shared" si="16"/>
        <v>0</v>
      </c>
      <c r="R41" s="116">
        <f t="shared" si="16"/>
        <v>1000</v>
      </c>
      <c r="S41" s="116">
        <f t="shared" si="16"/>
        <v>0</v>
      </c>
      <c r="T41" s="116">
        <f t="shared" si="16"/>
        <v>800</v>
      </c>
      <c r="U41" s="116">
        <f t="shared" si="16"/>
        <v>0</v>
      </c>
      <c r="V41" s="116">
        <f t="shared" si="16"/>
        <v>800</v>
      </c>
      <c r="W41" s="116">
        <f t="shared" si="16"/>
        <v>0</v>
      </c>
      <c r="X41" s="116">
        <f t="shared" si="16"/>
        <v>700</v>
      </c>
      <c r="Y41" s="116">
        <f t="shared" si="16"/>
        <v>0</v>
      </c>
      <c r="Z41" s="116">
        <f t="shared" si="16"/>
        <v>900</v>
      </c>
      <c r="AA41" s="116">
        <f t="shared" si="16"/>
        <v>0</v>
      </c>
      <c r="AB41" s="116">
        <f t="shared" si="16"/>
        <v>900</v>
      </c>
      <c r="AC41" s="116">
        <f t="shared" si="16"/>
        <v>0</v>
      </c>
      <c r="AD41" s="116">
        <f t="shared" si="16"/>
        <v>821.0538</v>
      </c>
      <c r="AE41" s="116">
        <f t="shared" si="16"/>
        <v>0</v>
      </c>
      <c r="AF41" s="219"/>
      <c r="AH41" s="97"/>
    </row>
    <row r="42" spans="1:34" s="142" customFormat="1" ht="65.25" customHeight="1">
      <c r="A42" s="166" t="s">
        <v>25</v>
      </c>
      <c r="B42" s="132">
        <f>H42+J42+L42+N42+P42+R42+T42+V42+X42+Z42+AB42+AD42</f>
        <v>8524.3</v>
      </c>
      <c r="C42" s="133">
        <f>H42+J42</f>
        <v>203.24620000000002</v>
      </c>
      <c r="D42" s="133">
        <v>8524.3</v>
      </c>
      <c r="E42" s="133">
        <f>I42+K42+M42+O42+Q42+S42+U42+W42+Y42+AA42+AC42+AE42</f>
        <v>155.3</v>
      </c>
      <c r="F42" s="134">
        <f>E42/B42</f>
        <v>0.01821850474525768</v>
      </c>
      <c r="G42" s="134">
        <f>E42/C42</f>
        <v>0.7640979265541004</v>
      </c>
      <c r="H42" s="133">
        <v>0</v>
      </c>
      <c r="I42" s="133">
        <v>0</v>
      </c>
      <c r="J42" s="133">
        <f>203246.2/1000</f>
        <v>203.24620000000002</v>
      </c>
      <c r="K42" s="133">
        <v>155.3</v>
      </c>
      <c r="L42" s="133">
        <f>800000/1000</f>
        <v>800</v>
      </c>
      <c r="M42" s="133"/>
      <c r="N42" s="133">
        <f>800000/1000</f>
        <v>800</v>
      </c>
      <c r="O42" s="133"/>
      <c r="P42" s="133">
        <f>800000/1000</f>
        <v>800</v>
      </c>
      <c r="Q42" s="133"/>
      <c r="R42" s="133">
        <f>1000000/1000</f>
        <v>1000</v>
      </c>
      <c r="S42" s="133">
        <v>0</v>
      </c>
      <c r="T42" s="133">
        <f>800000/1000</f>
        <v>800</v>
      </c>
      <c r="U42" s="133"/>
      <c r="V42" s="133">
        <f>800000/1000</f>
        <v>800</v>
      </c>
      <c r="W42" s="133"/>
      <c r="X42" s="133">
        <f>700000/1000</f>
        <v>700</v>
      </c>
      <c r="Y42" s="133"/>
      <c r="Z42" s="133">
        <f>900000/1000</f>
        <v>900</v>
      </c>
      <c r="AA42" s="133"/>
      <c r="AB42" s="133">
        <f>900000/1000</f>
        <v>900</v>
      </c>
      <c r="AC42" s="133"/>
      <c r="AD42" s="133">
        <f>821053.8/1000</f>
        <v>821.0538</v>
      </c>
      <c r="AE42" s="133"/>
      <c r="AF42" s="220"/>
      <c r="AH42" s="143"/>
    </row>
    <row r="43" spans="1:34" s="18" customFormat="1" ht="70.5" customHeight="1">
      <c r="A43" s="45" t="s">
        <v>173</v>
      </c>
      <c r="B43" s="117"/>
      <c r="C43" s="119"/>
      <c r="D43" s="119"/>
      <c r="E43" s="119"/>
      <c r="F43" s="124"/>
      <c r="G43" s="124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47"/>
      <c r="AH43" s="97"/>
    </row>
    <row r="44" spans="1:34" s="18" customFormat="1" ht="18.75">
      <c r="A44" s="108" t="s">
        <v>32</v>
      </c>
      <c r="B44" s="115">
        <f>B45</f>
        <v>0</v>
      </c>
      <c r="C44" s="115">
        <f>C45</f>
        <v>0</v>
      </c>
      <c r="D44" s="115">
        <f>D45</f>
        <v>0</v>
      </c>
      <c r="E44" s="115">
        <f>E45</f>
        <v>0</v>
      </c>
      <c r="F44" s="122">
        <v>0</v>
      </c>
      <c r="G44" s="122">
        <v>0</v>
      </c>
      <c r="H44" s="115">
        <f aca="true" t="shared" si="17" ref="H44:AE44">H45</f>
        <v>0</v>
      </c>
      <c r="I44" s="115">
        <f t="shared" si="17"/>
        <v>0</v>
      </c>
      <c r="J44" s="115">
        <f t="shared" si="17"/>
        <v>0</v>
      </c>
      <c r="K44" s="115">
        <f t="shared" si="17"/>
        <v>0</v>
      </c>
      <c r="L44" s="115">
        <f t="shared" si="17"/>
        <v>0</v>
      </c>
      <c r="M44" s="115">
        <f t="shared" si="17"/>
        <v>0</v>
      </c>
      <c r="N44" s="115">
        <f t="shared" si="17"/>
        <v>0</v>
      </c>
      <c r="O44" s="115">
        <f t="shared" si="17"/>
        <v>0</v>
      </c>
      <c r="P44" s="115">
        <f t="shared" si="17"/>
        <v>0</v>
      </c>
      <c r="Q44" s="115">
        <f t="shared" si="17"/>
        <v>0</v>
      </c>
      <c r="R44" s="115">
        <f t="shared" si="17"/>
        <v>0</v>
      </c>
      <c r="S44" s="115">
        <f t="shared" si="17"/>
        <v>0</v>
      </c>
      <c r="T44" s="115">
        <f t="shared" si="17"/>
        <v>0</v>
      </c>
      <c r="U44" s="115">
        <f t="shared" si="17"/>
        <v>0</v>
      </c>
      <c r="V44" s="115">
        <f t="shared" si="17"/>
        <v>0</v>
      </c>
      <c r="W44" s="115">
        <f t="shared" si="17"/>
        <v>0</v>
      </c>
      <c r="X44" s="115">
        <f t="shared" si="17"/>
        <v>0</v>
      </c>
      <c r="Y44" s="115">
        <f t="shared" si="17"/>
        <v>0</v>
      </c>
      <c r="Z44" s="115">
        <f t="shared" si="17"/>
        <v>0</v>
      </c>
      <c r="AA44" s="115">
        <f t="shared" si="17"/>
        <v>0</v>
      </c>
      <c r="AB44" s="115">
        <f t="shared" si="17"/>
        <v>0</v>
      </c>
      <c r="AC44" s="115">
        <f t="shared" si="17"/>
        <v>0</v>
      </c>
      <c r="AD44" s="115">
        <f t="shared" si="17"/>
        <v>0</v>
      </c>
      <c r="AE44" s="115">
        <f t="shared" si="17"/>
        <v>0</v>
      </c>
      <c r="AF44" s="110"/>
      <c r="AH44" s="97"/>
    </row>
    <row r="45" spans="1:34" s="135" customFormat="1" ht="18.75">
      <c r="A45" s="131" t="s">
        <v>150</v>
      </c>
      <c r="B45" s="132">
        <f>H45+J45+L45+N45+P45+R45+T45+V45+X45+Z45+AB45+AD45</f>
        <v>0</v>
      </c>
      <c r="C45" s="133">
        <f>H45</f>
        <v>0</v>
      </c>
      <c r="D45" s="133"/>
      <c r="E45" s="133">
        <f>I45+K45+M45+O45+Q45+S45+U45+W45+Y45+AA45+AC45+AE45</f>
        <v>0</v>
      </c>
      <c r="F45" s="134">
        <v>0</v>
      </c>
      <c r="G45" s="134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33">
        <v>0</v>
      </c>
      <c r="P45" s="133">
        <v>0</v>
      </c>
      <c r="Q45" s="133">
        <v>0</v>
      </c>
      <c r="R45" s="133"/>
      <c r="S45" s="133">
        <v>0</v>
      </c>
      <c r="T45" s="133">
        <v>0</v>
      </c>
      <c r="U45" s="133"/>
      <c r="V45" s="133">
        <v>0</v>
      </c>
      <c r="W45" s="133">
        <v>0</v>
      </c>
      <c r="X45" s="133">
        <v>0</v>
      </c>
      <c r="Y45" s="133">
        <v>0</v>
      </c>
      <c r="Z45" s="133">
        <v>0</v>
      </c>
      <c r="AA45" s="133">
        <v>0</v>
      </c>
      <c r="AB45" s="133">
        <v>0</v>
      </c>
      <c r="AC45" s="133">
        <v>0</v>
      </c>
      <c r="AD45" s="133">
        <v>0</v>
      </c>
      <c r="AE45" s="133">
        <v>0</v>
      </c>
      <c r="AF45" s="144"/>
      <c r="AH45" s="136"/>
    </row>
    <row r="46" spans="1:34" s="18" customFormat="1" ht="75">
      <c r="A46" s="45" t="s">
        <v>164</v>
      </c>
      <c r="B46" s="117"/>
      <c r="C46" s="119"/>
      <c r="D46" s="119"/>
      <c r="E46" s="119"/>
      <c r="F46" s="124"/>
      <c r="G46" s="124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1"/>
      <c r="AH46" s="97"/>
    </row>
    <row r="47" spans="1:34" s="18" customFormat="1" ht="18.75">
      <c r="A47" s="108" t="s">
        <v>32</v>
      </c>
      <c r="B47" s="115">
        <f>B48</f>
        <v>0</v>
      </c>
      <c r="C47" s="115">
        <f>C48</f>
        <v>0</v>
      </c>
      <c r="D47" s="115">
        <f>D48</f>
        <v>0</v>
      </c>
      <c r="E47" s="115">
        <f aca="true" t="shared" si="18" ref="E47:AE47">E48</f>
        <v>0</v>
      </c>
      <c r="F47" s="122">
        <f t="shared" si="18"/>
        <v>0</v>
      </c>
      <c r="G47" s="122">
        <v>0</v>
      </c>
      <c r="H47" s="115">
        <f t="shared" si="18"/>
        <v>0</v>
      </c>
      <c r="I47" s="115">
        <f t="shared" si="18"/>
        <v>0</v>
      </c>
      <c r="J47" s="115">
        <f t="shared" si="18"/>
        <v>0</v>
      </c>
      <c r="K47" s="115">
        <f t="shared" si="18"/>
        <v>0</v>
      </c>
      <c r="L47" s="115">
        <f t="shared" si="18"/>
        <v>0</v>
      </c>
      <c r="M47" s="115">
        <f t="shared" si="18"/>
        <v>0</v>
      </c>
      <c r="N47" s="115">
        <f t="shared" si="18"/>
        <v>0</v>
      </c>
      <c r="O47" s="115">
        <f t="shared" si="18"/>
        <v>0</v>
      </c>
      <c r="P47" s="115">
        <f t="shared" si="18"/>
        <v>0</v>
      </c>
      <c r="Q47" s="115">
        <f t="shared" si="18"/>
        <v>0</v>
      </c>
      <c r="R47" s="115">
        <f t="shared" si="18"/>
        <v>0</v>
      </c>
      <c r="S47" s="115">
        <f t="shared" si="18"/>
        <v>0</v>
      </c>
      <c r="T47" s="115">
        <f t="shared" si="18"/>
        <v>0</v>
      </c>
      <c r="U47" s="115">
        <f t="shared" si="18"/>
        <v>0</v>
      </c>
      <c r="V47" s="115">
        <f t="shared" si="18"/>
        <v>0</v>
      </c>
      <c r="W47" s="115">
        <f t="shared" si="18"/>
        <v>0</v>
      </c>
      <c r="X47" s="115">
        <f t="shared" si="18"/>
        <v>0</v>
      </c>
      <c r="Y47" s="115">
        <f t="shared" si="18"/>
        <v>0</v>
      </c>
      <c r="Z47" s="115">
        <f t="shared" si="18"/>
        <v>0</v>
      </c>
      <c r="AA47" s="115">
        <f t="shared" si="18"/>
        <v>0</v>
      </c>
      <c r="AB47" s="115">
        <f t="shared" si="18"/>
        <v>0</v>
      </c>
      <c r="AC47" s="115">
        <f t="shared" si="18"/>
        <v>0</v>
      </c>
      <c r="AD47" s="115">
        <f t="shared" si="18"/>
        <v>0</v>
      </c>
      <c r="AE47" s="115">
        <f t="shared" si="18"/>
        <v>0</v>
      </c>
      <c r="AF47" s="110"/>
      <c r="AH47" s="97"/>
    </row>
    <row r="48" spans="1:34" s="135" customFormat="1" ht="18.75">
      <c r="A48" s="131" t="s">
        <v>24</v>
      </c>
      <c r="B48" s="132">
        <f>H48+J48+L48+N48+P48+R48+T48+V48+X48+Z48+AB48+AD48</f>
        <v>0</v>
      </c>
      <c r="C48" s="133">
        <f>H48</f>
        <v>0</v>
      </c>
      <c r="D48" s="133">
        <f>H48+J48+L48+N48+P48+R48+T48+V48</f>
        <v>0</v>
      </c>
      <c r="E48" s="133">
        <f>I48+K48+M48+O48+Q48+S48+U48+W48+Y48+AA48+AC48+AE48</f>
        <v>0</v>
      </c>
      <c r="F48" s="134">
        <v>0</v>
      </c>
      <c r="G48" s="134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44"/>
      <c r="AH48" s="136"/>
    </row>
    <row r="49" spans="1:34" s="18" customFormat="1" ht="57" customHeight="1">
      <c r="A49" s="167" t="s">
        <v>165</v>
      </c>
      <c r="B49" s="158">
        <f>B50+B56</f>
        <v>2997.4</v>
      </c>
      <c r="C49" s="158">
        <f>C50+C56</f>
        <v>796.651</v>
      </c>
      <c r="D49" s="158">
        <f>D50+D56</f>
        <v>798.5</v>
      </c>
      <c r="E49" s="158">
        <f>E50+E56</f>
        <v>608.0665700000001</v>
      </c>
      <c r="F49" s="159">
        <f>E49/B49</f>
        <v>0.2028646727163542</v>
      </c>
      <c r="G49" s="159">
        <f>E49/C49</f>
        <v>0.7632784870664822</v>
      </c>
      <c r="H49" s="158">
        <f aca="true" t="shared" si="19" ref="H49:AE49">H50+H56</f>
        <v>562.959</v>
      </c>
      <c r="I49" s="158">
        <f t="shared" si="19"/>
        <v>425.15626000000003</v>
      </c>
      <c r="J49" s="158">
        <f t="shared" si="19"/>
        <v>233.692</v>
      </c>
      <c r="K49" s="158">
        <f t="shared" si="19"/>
        <v>182.91031</v>
      </c>
      <c r="L49" s="158">
        <f t="shared" si="19"/>
        <v>106.93</v>
      </c>
      <c r="M49" s="158">
        <f t="shared" si="19"/>
        <v>0</v>
      </c>
      <c r="N49" s="158">
        <f t="shared" si="19"/>
        <v>275.87657</v>
      </c>
      <c r="O49" s="158">
        <f t="shared" si="19"/>
        <v>0</v>
      </c>
      <c r="P49" s="158">
        <f t="shared" si="19"/>
        <v>358.247</v>
      </c>
      <c r="Q49" s="158">
        <f t="shared" si="19"/>
        <v>0</v>
      </c>
      <c r="R49" s="158">
        <f t="shared" si="19"/>
        <v>374.548</v>
      </c>
      <c r="S49" s="158">
        <f t="shared" si="19"/>
        <v>0</v>
      </c>
      <c r="T49" s="158">
        <f t="shared" si="19"/>
        <v>229.26114</v>
      </c>
      <c r="U49" s="158">
        <f t="shared" si="19"/>
        <v>0</v>
      </c>
      <c r="V49" s="158">
        <f t="shared" si="19"/>
        <v>214.909</v>
      </c>
      <c r="W49" s="158">
        <f t="shared" si="19"/>
        <v>0</v>
      </c>
      <c r="X49" s="158">
        <f t="shared" si="19"/>
        <v>75.13</v>
      </c>
      <c r="Y49" s="158">
        <f t="shared" si="19"/>
        <v>0</v>
      </c>
      <c r="Z49" s="158">
        <f t="shared" si="19"/>
        <v>190.98757</v>
      </c>
      <c r="AA49" s="158">
        <f t="shared" si="19"/>
        <v>0</v>
      </c>
      <c r="AB49" s="158">
        <f t="shared" si="19"/>
        <v>98.725</v>
      </c>
      <c r="AC49" s="158">
        <f t="shared" si="19"/>
        <v>0</v>
      </c>
      <c r="AD49" s="158">
        <f t="shared" si="19"/>
        <v>276.13471999999996</v>
      </c>
      <c r="AE49" s="158">
        <f t="shared" si="19"/>
        <v>0</v>
      </c>
      <c r="AF49" s="169"/>
      <c r="AH49" s="97"/>
    </row>
    <row r="50" spans="1:34" s="18" customFormat="1" ht="75.75" customHeight="1">
      <c r="A50" s="155" t="s">
        <v>166</v>
      </c>
      <c r="B50" s="156">
        <f>B51</f>
        <v>2984.6</v>
      </c>
      <c r="C50" s="156">
        <f aca="true" t="shared" si="20" ref="C50:AE51">C51</f>
        <v>796.651</v>
      </c>
      <c r="D50" s="156">
        <f>D51</f>
        <v>798.5</v>
      </c>
      <c r="E50" s="156">
        <f t="shared" si="20"/>
        <v>608.0665700000001</v>
      </c>
      <c r="F50" s="170">
        <f t="shared" si="20"/>
        <v>0.2037346947664679</v>
      </c>
      <c r="G50" s="170">
        <f t="shared" si="20"/>
        <v>0.7632784870664822</v>
      </c>
      <c r="H50" s="156">
        <f t="shared" si="20"/>
        <v>562.959</v>
      </c>
      <c r="I50" s="156">
        <f t="shared" si="20"/>
        <v>425.15626000000003</v>
      </c>
      <c r="J50" s="156">
        <f t="shared" si="20"/>
        <v>233.692</v>
      </c>
      <c r="K50" s="156">
        <f t="shared" si="20"/>
        <v>182.91031</v>
      </c>
      <c r="L50" s="156">
        <f t="shared" si="20"/>
        <v>106.93</v>
      </c>
      <c r="M50" s="156">
        <f t="shared" si="20"/>
        <v>0</v>
      </c>
      <c r="N50" s="156">
        <f t="shared" si="20"/>
        <v>275.87657</v>
      </c>
      <c r="O50" s="156">
        <f t="shared" si="20"/>
        <v>0</v>
      </c>
      <c r="P50" s="156">
        <f t="shared" si="20"/>
        <v>345.447</v>
      </c>
      <c r="Q50" s="156">
        <f t="shared" si="20"/>
        <v>0</v>
      </c>
      <c r="R50" s="156">
        <f t="shared" si="20"/>
        <v>374.548</v>
      </c>
      <c r="S50" s="156">
        <f t="shared" si="20"/>
        <v>0</v>
      </c>
      <c r="T50" s="156">
        <f t="shared" si="20"/>
        <v>229.26114</v>
      </c>
      <c r="U50" s="156">
        <f t="shared" si="20"/>
        <v>0</v>
      </c>
      <c r="V50" s="156">
        <f t="shared" si="20"/>
        <v>214.909</v>
      </c>
      <c r="W50" s="156">
        <f t="shared" si="20"/>
        <v>0</v>
      </c>
      <c r="X50" s="156">
        <f t="shared" si="20"/>
        <v>75.13</v>
      </c>
      <c r="Y50" s="156">
        <f t="shared" si="20"/>
        <v>0</v>
      </c>
      <c r="Z50" s="156">
        <f t="shared" si="20"/>
        <v>190.98757</v>
      </c>
      <c r="AA50" s="156">
        <f t="shared" si="20"/>
        <v>0</v>
      </c>
      <c r="AB50" s="156">
        <f t="shared" si="20"/>
        <v>98.725</v>
      </c>
      <c r="AC50" s="156">
        <f t="shared" si="20"/>
        <v>0</v>
      </c>
      <c r="AD50" s="156">
        <f t="shared" si="20"/>
        <v>276.13471999999996</v>
      </c>
      <c r="AE50" s="156">
        <f t="shared" si="20"/>
        <v>0</v>
      </c>
      <c r="AF50" s="157"/>
      <c r="AH50" s="97"/>
    </row>
    <row r="51" spans="1:34" s="18" customFormat="1" ht="24" customHeight="1">
      <c r="A51" s="154" t="s">
        <v>32</v>
      </c>
      <c r="B51" s="156">
        <f>B52</f>
        <v>2984.6</v>
      </c>
      <c r="C51" s="156">
        <f t="shared" si="20"/>
        <v>796.651</v>
      </c>
      <c r="D51" s="156">
        <f>D52</f>
        <v>798.5</v>
      </c>
      <c r="E51" s="156">
        <f t="shared" si="20"/>
        <v>608.0665700000001</v>
      </c>
      <c r="F51" s="170">
        <f t="shared" si="20"/>
        <v>0.2037346947664679</v>
      </c>
      <c r="G51" s="170">
        <f t="shared" si="20"/>
        <v>0.7632784870664822</v>
      </c>
      <c r="H51" s="156">
        <f t="shared" si="20"/>
        <v>562.959</v>
      </c>
      <c r="I51" s="156">
        <f t="shared" si="20"/>
        <v>425.15626000000003</v>
      </c>
      <c r="J51" s="156">
        <f t="shared" si="20"/>
        <v>233.692</v>
      </c>
      <c r="K51" s="156">
        <f t="shared" si="20"/>
        <v>182.91031</v>
      </c>
      <c r="L51" s="156">
        <f t="shared" si="20"/>
        <v>106.93</v>
      </c>
      <c r="M51" s="156">
        <f t="shared" si="20"/>
        <v>0</v>
      </c>
      <c r="N51" s="156">
        <f t="shared" si="20"/>
        <v>275.87657</v>
      </c>
      <c r="O51" s="156">
        <f t="shared" si="20"/>
        <v>0</v>
      </c>
      <c r="P51" s="156">
        <f t="shared" si="20"/>
        <v>345.447</v>
      </c>
      <c r="Q51" s="156">
        <f t="shared" si="20"/>
        <v>0</v>
      </c>
      <c r="R51" s="156">
        <f t="shared" si="20"/>
        <v>374.548</v>
      </c>
      <c r="S51" s="156">
        <f t="shared" si="20"/>
        <v>0</v>
      </c>
      <c r="T51" s="156">
        <f t="shared" si="20"/>
        <v>229.26114</v>
      </c>
      <c r="U51" s="156">
        <f t="shared" si="20"/>
        <v>0</v>
      </c>
      <c r="V51" s="156">
        <f t="shared" si="20"/>
        <v>214.909</v>
      </c>
      <c r="W51" s="156">
        <f t="shared" si="20"/>
        <v>0</v>
      </c>
      <c r="X51" s="156">
        <f t="shared" si="20"/>
        <v>75.13</v>
      </c>
      <c r="Y51" s="156">
        <f t="shared" si="20"/>
        <v>0</v>
      </c>
      <c r="Z51" s="156">
        <f t="shared" si="20"/>
        <v>190.98757</v>
      </c>
      <c r="AA51" s="156">
        <f t="shared" si="20"/>
        <v>0</v>
      </c>
      <c r="AB51" s="156">
        <f t="shared" si="20"/>
        <v>98.725</v>
      </c>
      <c r="AC51" s="156">
        <f t="shared" si="20"/>
        <v>0</v>
      </c>
      <c r="AD51" s="156">
        <f t="shared" si="20"/>
        <v>276.13471999999996</v>
      </c>
      <c r="AE51" s="156">
        <f t="shared" si="20"/>
        <v>0</v>
      </c>
      <c r="AF51" s="157"/>
      <c r="AH51" s="97"/>
    </row>
    <row r="52" spans="1:34" s="18" customFormat="1" ht="25.5" customHeight="1">
      <c r="A52" s="154" t="s">
        <v>24</v>
      </c>
      <c r="B52" s="156">
        <f>B54</f>
        <v>2984.6</v>
      </c>
      <c r="C52" s="156">
        <f aca="true" t="shared" si="21" ref="C52:AE52">C54</f>
        <v>796.651</v>
      </c>
      <c r="D52" s="156">
        <f>D54</f>
        <v>798.5</v>
      </c>
      <c r="E52" s="156">
        <f t="shared" si="21"/>
        <v>608.0665700000001</v>
      </c>
      <c r="F52" s="170">
        <f t="shared" si="21"/>
        <v>0.2037346947664679</v>
      </c>
      <c r="G52" s="170">
        <f t="shared" si="21"/>
        <v>0.7632784870664822</v>
      </c>
      <c r="H52" s="156">
        <f t="shared" si="21"/>
        <v>562.959</v>
      </c>
      <c r="I52" s="156">
        <f t="shared" si="21"/>
        <v>425.15626000000003</v>
      </c>
      <c r="J52" s="156">
        <f t="shared" si="21"/>
        <v>233.692</v>
      </c>
      <c r="K52" s="156">
        <f t="shared" si="21"/>
        <v>182.91031</v>
      </c>
      <c r="L52" s="156">
        <f t="shared" si="21"/>
        <v>106.93</v>
      </c>
      <c r="M52" s="156">
        <f t="shared" si="21"/>
        <v>0</v>
      </c>
      <c r="N52" s="156">
        <f t="shared" si="21"/>
        <v>275.87657</v>
      </c>
      <c r="O52" s="156">
        <f t="shared" si="21"/>
        <v>0</v>
      </c>
      <c r="P52" s="156">
        <f t="shared" si="21"/>
        <v>345.447</v>
      </c>
      <c r="Q52" s="156">
        <f t="shared" si="21"/>
        <v>0</v>
      </c>
      <c r="R52" s="156">
        <f t="shared" si="21"/>
        <v>374.548</v>
      </c>
      <c r="S52" s="156">
        <f t="shared" si="21"/>
        <v>0</v>
      </c>
      <c r="T52" s="156">
        <f t="shared" si="21"/>
        <v>229.26114</v>
      </c>
      <c r="U52" s="156">
        <f t="shared" si="21"/>
        <v>0</v>
      </c>
      <c r="V52" s="156">
        <f t="shared" si="21"/>
        <v>214.909</v>
      </c>
      <c r="W52" s="156">
        <f t="shared" si="21"/>
        <v>0</v>
      </c>
      <c r="X52" s="156">
        <f t="shared" si="21"/>
        <v>75.13</v>
      </c>
      <c r="Y52" s="156">
        <f t="shared" si="21"/>
        <v>0</v>
      </c>
      <c r="Z52" s="156">
        <f t="shared" si="21"/>
        <v>190.98757</v>
      </c>
      <c r="AA52" s="156">
        <f t="shared" si="21"/>
        <v>0</v>
      </c>
      <c r="AB52" s="156">
        <f t="shared" si="21"/>
        <v>98.725</v>
      </c>
      <c r="AC52" s="156">
        <f t="shared" si="21"/>
        <v>0</v>
      </c>
      <c r="AD52" s="156">
        <f t="shared" si="21"/>
        <v>276.13471999999996</v>
      </c>
      <c r="AE52" s="156">
        <f t="shared" si="21"/>
        <v>0</v>
      </c>
      <c r="AF52" s="157"/>
      <c r="AH52" s="97"/>
    </row>
    <row r="53" spans="1:34" s="18" customFormat="1" ht="164.25" customHeight="1">
      <c r="A53" s="104" t="s">
        <v>174</v>
      </c>
      <c r="B53" s="117"/>
      <c r="C53" s="119"/>
      <c r="D53" s="119"/>
      <c r="E53" s="119"/>
      <c r="F53" s="124"/>
      <c r="G53" s="124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222" t="s">
        <v>196</v>
      </c>
      <c r="AH53" s="97"/>
    </row>
    <row r="54" spans="1:34" s="18" customFormat="1" ht="18.75">
      <c r="A54" s="108" t="s">
        <v>32</v>
      </c>
      <c r="B54" s="115">
        <f>B55</f>
        <v>2984.6</v>
      </c>
      <c r="C54" s="115">
        <f>C55</f>
        <v>796.651</v>
      </c>
      <c r="D54" s="115">
        <f>D55</f>
        <v>798.5</v>
      </c>
      <c r="E54" s="115">
        <f>E55</f>
        <v>608.0665700000001</v>
      </c>
      <c r="F54" s="122">
        <f>E54/B54</f>
        <v>0.2037346947664679</v>
      </c>
      <c r="G54" s="122">
        <f>E54/C54</f>
        <v>0.7632784870664822</v>
      </c>
      <c r="H54" s="115">
        <f aca="true" t="shared" si="22" ref="H54:AE54">H55</f>
        <v>562.959</v>
      </c>
      <c r="I54" s="115">
        <f t="shared" si="22"/>
        <v>425.15626000000003</v>
      </c>
      <c r="J54" s="115">
        <f t="shared" si="22"/>
        <v>233.692</v>
      </c>
      <c r="K54" s="115">
        <f t="shared" si="22"/>
        <v>182.91031</v>
      </c>
      <c r="L54" s="115">
        <f t="shared" si="22"/>
        <v>106.93</v>
      </c>
      <c r="M54" s="115">
        <f t="shared" si="22"/>
        <v>0</v>
      </c>
      <c r="N54" s="115">
        <f t="shared" si="22"/>
        <v>275.87657</v>
      </c>
      <c r="O54" s="115">
        <f t="shared" si="22"/>
        <v>0</v>
      </c>
      <c r="P54" s="115">
        <f t="shared" si="22"/>
        <v>345.447</v>
      </c>
      <c r="Q54" s="115">
        <f t="shared" si="22"/>
        <v>0</v>
      </c>
      <c r="R54" s="115">
        <f t="shared" si="22"/>
        <v>374.548</v>
      </c>
      <c r="S54" s="115">
        <f t="shared" si="22"/>
        <v>0</v>
      </c>
      <c r="T54" s="115">
        <f t="shared" si="22"/>
        <v>229.26114</v>
      </c>
      <c r="U54" s="115">
        <f t="shared" si="22"/>
        <v>0</v>
      </c>
      <c r="V54" s="115">
        <f t="shared" si="22"/>
        <v>214.909</v>
      </c>
      <c r="W54" s="115">
        <f t="shared" si="22"/>
        <v>0</v>
      </c>
      <c r="X54" s="115">
        <f t="shared" si="22"/>
        <v>75.13</v>
      </c>
      <c r="Y54" s="115">
        <f t="shared" si="22"/>
        <v>0</v>
      </c>
      <c r="Z54" s="115">
        <f t="shared" si="22"/>
        <v>190.98757</v>
      </c>
      <c r="AA54" s="115">
        <f t="shared" si="22"/>
        <v>0</v>
      </c>
      <c r="AB54" s="115">
        <f t="shared" si="22"/>
        <v>98.725</v>
      </c>
      <c r="AC54" s="115">
        <f t="shared" si="22"/>
        <v>0</v>
      </c>
      <c r="AD54" s="115">
        <f t="shared" si="22"/>
        <v>276.13471999999996</v>
      </c>
      <c r="AE54" s="115">
        <f t="shared" si="22"/>
        <v>0</v>
      </c>
      <c r="AF54" s="110"/>
      <c r="AH54" s="97"/>
    </row>
    <row r="55" spans="1:34" s="135" customFormat="1" ht="18.75">
      <c r="A55" s="131" t="s">
        <v>24</v>
      </c>
      <c r="B55" s="132">
        <f>H55+J55+L55+N55+P55+R55+T55+V55+X55+Z55+AB55+AD55</f>
        <v>2984.6</v>
      </c>
      <c r="C55" s="133">
        <f>H55+J55</f>
        <v>796.651</v>
      </c>
      <c r="D55" s="132">
        <f>798500/1000</f>
        <v>798.5</v>
      </c>
      <c r="E55" s="133">
        <f>I55+K55+M55+O55+Q55+S55+U55+W55+Y55+AA55+AC55+AE55</f>
        <v>608.0665700000001</v>
      </c>
      <c r="F55" s="134">
        <f>E55/B55</f>
        <v>0.2037346947664679</v>
      </c>
      <c r="G55" s="134">
        <f>E55/C55</f>
        <v>0.7632784870664822</v>
      </c>
      <c r="H55" s="133">
        <f>562959/1000</f>
        <v>562.959</v>
      </c>
      <c r="I55" s="133">
        <f>425156.26/1000</f>
        <v>425.15626000000003</v>
      </c>
      <c r="J55" s="133">
        <f>(229607+4085)/1000</f>
        <v>233.692</v>
      </c>
      <c r="K55" s="133">
        <f>(178825.31+4085)/1000</f>
        <v>182.91031</v>
      </c>
      <c r="L55" s="133">
        <f>(102845+4085)/1000</f>
        <v>106.93</v>
      </c>
      <c r="M55" s="133"/>
      <c r="N55" s="133">
        <f>(271791.57+4085)/1000</f>
        <v>275.87657</v>
      </c>
      <c r="O55" s="133"/>
      <c r="P55" s="133">
        <f>(341362+4085)/1000</f>
        <v>345.447</v>
      </c>
      <c r="Q55" s="133"/>
      <c r="R55" s="133">
        <f>(370463+4085)/1000</f>
        <v>374.548</v>
      </c>
      <c r="S55" s="133"/>
      <c r="T55" s="133">
        <f>(218176.14+11085)/1000</f>
        <v>229.26114</v>
      </c>
      <c r="U55" s="133"/>
      <c r="V55" s="133">
        <f>(211447+3462)/1000</f>
        <v>214.909</v>
      </c>
      <c r="W55" s="133"/>
      <c r="X55" s="133">
        <f>(71668+3462)/1000</f>
        <v>75.13</v>
      </c>
      <c r="Y55" s="133"/>
      <c r="Z55" s="133">
        <f>(186902.57+4085)/1000</f>
        <v>190.98757</v>
      </c>
      <c r="AA55" s="133"/>
      <c r="AB55" s="133">
        <f>(94640+4085)/1000</f>
        <v>98.725</v>
      </c>
      <c r="AC55" s="133"/>
      <c r="AD55" s="133">
        <f>(272038.72+4096)/1000</f>
        <v>276.13471999999996</v>
      </c>
      <c r="AE55" s="133"/>
      <c r="AF55" s="145"/>
      <c r="AH55" s="136"/>
    </row>
    <row r="56" spans="1:34" s="18" customFormat="1" ht="37.5">
      <c r="A56" s="149" t="s">
        <v>167</v>
      </c>
      <c r="B56" s="162">
        <f>B57</f>
        <v>12.8</v>
      </c>
      <c r="C56" s="162">
        <f aca="true" t="shared" si="23" ref="C56:AE57">C57</f>
        <v>0</v>
      </c>
      <c r="D56" s="162">
        <f t="shared" si="23"/>
        <v>0</v>
      </c>
      <c r="E56" s="162">
        <f t="shared" si="23"/>
        <v>0</v>
      </c>
      <c r="F56" s="171">
        <v>0</v>
      </c>
      <c r="G56" s="171">
        <v>0</v>
      </c>
      <c r="H56" s="162">
        <f t="shared" si="23"/>
        <v>0</v>
      </c>
      <c r="I56" s="162">
        <f t="shared" si="23"/>
        <v>0</v>
      </c>
      <c r="J56" s="162">
        <f t="shared" si="23"/>
        <v>0</v>
      </c>
      <c r="K56" s="162">
        <f t="shared" si="23"/>
        <v>0</v>
      </c>
      <c r="L56" s="162">
        <f t="shared" si="23"/>
        <v>0</v>
      </c>
      <c r="M56" s="162">
        <f t="shared" si="23"/>
        <v>0</v>
      </c>
      <c r="N56" s="162">
        <f t="shared" si="23"/>
        <v>0</v>
      </c>
      <c r="O56" s="162">
        <f t="shared" si="23"/>
        <v>0</v>
      </c>
      <c r="P56" s="162">
        <f t="shared" si="23"/>
        <v>12.8</v>
      </c>
      <c r="Q56" s="162">
        <f t="shared" si="23"/>
        <v>0</v>
      </c>
      <c r="R56" s="162">
        <f t="shared" si="23"/>
        <v>0</v>
      </c>
      <c r="S56" s="162">
        <f t="shared" si="23"/>
        <v>0</v>
      </c>
      <c r="T56" s="162">
        <f t="shared" si="23"/>
        <v>0</v>
      </c>
      <c r="U56" s="162">
        <f t="shared" si="23"/>
        <v>0</v>
      </c>
      <c r="V56" s="162">
        <f t="shared" si="23"/>
        <v>0</v>
      </c>
      <c r="W56" s="162">
        <f t="shared" si="23"/>
        <v>0</v>
      </c>
      <c r="X56" s="162">
        <f t="shared" si="23"/>
        <v>0</v>
      </c>
      <c r="Y56" s="162">
        <f t="shared" si="23"/>
        <v>0</v>
      </c>
      <c r="Z56" s="162">
        <f t="shared" si="23"/>
        <v>0</v>
      </c>
      <c r="AA56" s="162">
        <f t="shared" si="23"/>
        <v>0</v>
      </c>
      <c r="AB56" s="162">
        <f t="shared" si="23"/>
        <v>0</v>
      </c>
      <c r="AC56" s="162">
        <f t="shared" si="23"/>
        <v>0</v>
      </c>
      <c r="AD56" s="162">
        <f t="shared" si="23"/>
        <v>0</v>
      </c>
      <c r="AE56" s="162">
        <f t="shared" si="23"/>
        <v>0</v>
      </c>
      <c r="AF56" s="163"/>
      <c r="AH56" s="97"/>
    </row>
    <row r="57" spans="1:34" s="18" customFormat="1" ht="18.75">
      <c r="A57" s="154" t="s">
        <v>32</v>
      </c>
      <c r="B57" s="162">
        <f>B58</f>
        <v>12.8</v>
      </c>
      <c r="C57" s="162">
        <f t="shared" si="23"/>
        <v>0</v>
      </c>
      <c r="D57" s="162">
        <f t="shared" si="23"/>
        <v>0</v>
      </c>
      <c r="E57" s="162">
        <f t="shared" si="23"/>
        <v>0</v>
      </c>
      <c r="F57" s="171">
        <v>0</v>
      </c>
      <c r="G57" s="171">
        <v>0</v>
      </c>
      <c r="H57" s="162">
        <f t="shared" si="23"/>
        <v>0</v>
      </c>
      <c r="I57" s="162">
        <f t="shared" si="23"/>
        <v>0</v>
      </c>
      <c r="J57" s="162">
        <f t="shared" si="23"/>
        <v>0</v>
      </c>
      <c r="K57" s="162">
        <f t="shared" si="23"/>
        <v>0</v>
      </c>
      <c r="L57" s="162">
        <f t="shared" si="23"/>
        <v>0</v>
      </c>
      <c r="M57" s="162">
        <f t="shared" si="23"/>
        <v>0</v>
      </c>
      <c r="N57" s="162">
        <f t="shared" si="23"/>
        <v>0</v>
      </c>
      <c r="O57" s="162">
        <f t="shared" si="23"/>
        <v>0</v>
      </c>
      <c r="P57" s="162">
        <f t="shared" si="23"/>
        <v>12.8</v>
      </c>
      <c r="Q57" s="162">
        <f t="shared" si="23"/>
        <v>0</v>
      </c>
      <c r="R57" s="162">
        <f t="shared" si="23"/>
        <v>0</v>
      </c>
      <c r="S57" s="162">
        <f t="shared" si="23"/>
        <v>0</v>
      </c>
      <c r="T57" s="162">
        <f t="shared" si="23"/>
        <v>0</v>
      </c>
      <c r="U57" s="162">
        <f t="shared" si="23"/>
        <v>0</v>
      </c>
      <c r="V57" s="162">
        <f t="shared" si="23"/>
        <v>0</v>
      </c>
      <c r="W57" s="162">
        <f t="shared" si="23"/>
        <v>0</v>
      </c>
      <c r="X57" s="162">
        <f t="shared" si="23"/>
        <v>0</v>
      </c>
      <c r="Y57" s="162">
        <f t="shared" si="23"/>
        <v>0</v>
      </c>
      <c r="Z57" s="162">
        <f t="shared" si="23"/>
        <v>0</v>
      </c>
      <c r="AA57" s="162">
        <f t="shared" si="23"/>
        <v>0</v>
      </c>
      <c r="AB57" s="162">
        <f t="shared" si="23"/>
        <v>0</v>
      </c>
      <c r="AC57" s="162">
        <f t="shared" si="23"/>
        <v>0</v>
      </c>
      <c r="AD57" s="162">
        <f t="shared" si="23"/>
        <v>0</v>
      </c>
      <c r="AE57" s="162">
        <f t="shared" si="23"/>
        <v>0</v>
      </c>
      <c r="AF57" s="163"/>
      <c r="AH57" s="97"/>
    </row>
    <row r="58" spans="1:34" s="18" customFormat="1" ht="18.75">
      <c r="A58" s="154" t="s">
        <v>25</v>
      </c>
      <c r="B58" s="162">
        <f>B61+B64+B67+B70+B73</f>
        <v>12.8</v>
      </c>
      <c r="C58" s="162">
        <f aca="true" t="shared" si="24" ref="C58:AE58">C61+C64+C67+C70+C73</f>
        <v>0</v>
      </c>
      <c r="D58" s="162">
        <f t="shared" si="24"/>
        <v>0</v>
      </c>
      <c r="E58" s="162">
        <f t="shared" si="24"/>
        <v>0</v>
      </c>
      <c r="F58" s="171">
        <v>0</v>
      </c>
      <c r="G58" s="171">
        <v>0</v>
      </c>
      <c r="H58" s="162">
        <f t="shared" si="24"/>
        <v>0</v>
      </c>
      <c r="I58" s="162">
        <f t="shared" si="24"/>
        <v>0</v>
      </c>
      <c r="J58" s="162">
        <f t="shared" si="24"/>
        <v>0</v>
      </c>
      <c r="K58" s="162">
        <f t="shared" si="24"/>
        <v>0</v>
      </c>
      <c r="L58" s="162">
        <f t="shared" si="24"/>
        <v>0</v>
      </c>
      <c r="M58" s="162">
        <f t="shared" si="24"/>
        <v>0</v>
      </c>
      <c r="N58" s="162">
        <f t="shared" si="24"/>
        <v>0</v>
      </c>
      <c r="O58" s="162">
        <f t="shared" si="24"/>
        <v>0</v>
      </c>
      <c r="P58" s="162">
        <f t="shared" si="24"/>
        <v>12.8</v>
      </c>
      <c r="Q58" s="162">
        <f t="shared" si="24"/>
        <v>0</v>
      </c>
      <c r="R58" s="162">
        <f t="shared" si="24"/>
        <v>0</v>
      </c>
      <c r="S58" s="162">
        <f t="shared" si="24"/>
        <v>0</v>
      </c>
      <c r="T58" s="162">
        <f t="shared" si="24"/>
        <v>0</v>
      </c>
      <c r="U58" s="162">
        <f t="shared" si="24"/>
        <v>0</v>
      </c>
      <c r="V58" s="162">
        <f t="shared" si="24"/>
        <v>0</v>
      </c>
      <c r="W58" s="162">
        <f t="shared" si="24"/>
        <v>0</v>
      </c>
      <c r="X58" s="162">
        <f t="shared" si="24"/>
        <v>0</v>
      </c>
      <c r="Y58" s="162">
        <f t="shared" si="24"/>
        <v>0</v>
      </c>
      <c r="Z58" s="162">
        <f t="shared" si="24"/>
        <v>0</v>
      </c>
      <c r="AA58" s="162">
        <f t="shared" si="24"/>
        <v>0</v>
      </c>
      <c r="AB58" s="162">
        <f t="shared" si="24"/>
        <v>0</v>
      </c>
      <c r="AC58" s="162">
        <f t="shared" si="24"/>
        <v>0</v>
      </c>
      <c r="AD58" s="162">
        <f t="shared" si="24"/>
        <v>0</v>
      </c>
      <c r="AE58" s="162">
        <f t="shared" si="24"/>
        <v>0</v>
      </c>
      <c r="AF58" s="163"/>
      <c r="AH58" s="97"/>
    </row>
    <row r="59" spans="1:34" s="18" customFormat="1" ht="48" customHeight="1">
      <c r="A59" s="45" t="s">
        <v>175</v>
      </c>
      <c r="B59" s="117"/>
      <c r="C59" s="119"/>
      <c r="D59" s="119"/>
      <c r="E59" s="119"/>
      <c r="F59" s="124"/>
      <c r="G59" s="124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221" t="s">
        <v>180</v>
      </c>
      <c r="AH59" s="97"/>
    </row>
    <row r="60" spans="1:34" s="18" customFormat="1" ht="18.75">
      <c r="A60" s="108" t="s">
        <v>32</v>
      </c>
      <c r="B60" s="115">
        <f>B61</f>
        <v>0</v>
      </c>
      <c r="C60" s="115">
        <f aca="true" t="shared" si="25" ref="C60:AE60">C61</f>
        <v>0</v>
      </c>
      <c r="D60" s="115">
        <f t="shared" si="25"/>
        <v>0</v>
      </c>
      <c r="E60" s="115">
        <f t="shared" si="25"/>
        <v>0</v>
      </c>
      <c r="F60" s="122">
        <f t="shared" si="25"/>
        <v>0</v>
      </c>
      <c r="G60" s="122">
        <v>0</v>
      </c>
      <c r="H60" s="115">
        <f t="shared" si="25"/>
        <v>0</v>
      </c>
      <c r="I60" s="115">
        <f t="shared" si="25"/>
        <v>0</v>
      </c>
      <c r="J60" s="115">
        <f t="shared" si="25"/>
        <v>0</v>
      </c>
      <c r="K60" s="115">
        <f t="shared" si="25"/>
        <v>0</v>
      </c>
      <c r="L60" s="115">
        <f t="shared" si="25"/>
        <v>0</v>
      </c>
      <c r="M60" s="115">
        <f t="shared" si="25"/>
        <v>0</v>
      </c>
      <c r="N60" s="115">
        <f t="shared" si="25"/>
        <v>0</v>
      </c>
      <c r="O60" s="115">
        <f t="shared" si="25"/>
        <v>0</v>
      </c>
      <c r="P60" s="115">
        <f t="shared" si="25"/>
        <v>0</v>
      </c>
      <c r="Q60" s="115">
        <f t="shared" si="25"/>
        <v>0</v>
      </c>
      <c r="R60" s="115">
        <f t="shared" si="25"/>
        <v>0</v>
      </c>
      <c r="S60" s="115">
        <f t="shared" si="25"/>
        <v>0</v>
      </c>
      <c r="T60" s="115">
        <f t="shared" si="25"/>
        <v>0</v>
      </c>
      <c r="U60" s="115">
        <f t="shared" si="25"/>
        <v>0</v>
      </c>
      <c r="V60" s="115">
        <f t="shared" si="25"/>
        <v>0</v>
      </c>
      <c r="W60" s="115">
        <f t="shared" si="25"/>
        <v>0</v>
      </c>
      <c r="X60" s="115">
        <f t="shared" si="25"/>
        <v>0</v>
      </c>
      <c r="Y60" s="115">
        <f t="shared" si="25"/>
        <v>0</v>
      </c>
      <c r="Z60" s="115">
        <f t="shared" si="25"/>
        <v>0</v>
      </c>
      <c r="AA60" s="115">
        <f t="shared" si="25"/>
        <v>0</v>
      </c>
      <c r="AB60" s="115">
        <f t="shared" si="25"/>
        <v>0</v>
      </c>
      <c r="AC60" s="115">
        <f t="shared" si="25"/>
        <v>0</v>
      </c>
      <c r="AD60" s="115">
        <f t="shared" si="25"/>
        <v>0</v>
      </c>
      <c r="AE60" s="115">
        <f t="shared" si="25"/>
        <v>0</v>
      </c>
      <c r="AF60" s="110"/>
      <c r="AH60" s="97"/>
    </row>
    <row r="61" spans="1:34" s="135" customFormat="1" ht="18.75" customHeight="1">
      <c r="A61" s="131" t="s">
        <v>25</v>
      </c>
      <c r="B61" s="132">
        <f>H61+J61+L61+N61+P61+R61+T61+V61+X61+Z61+AB61+AD61</f>
        <v>0</v>
      </c>
      <c r="C61" s="133">
        <f>H61</f>
        <v>0</v>
      </c>
      <c r="D61" s="133"/>
      <c r="E61" s="133">
        <f>I61+K61+M61+O61+Q61+S61+U61+W61+Y61+AA61+AC61+AE61</f>
        <v>0</v>
      </c>
      <c r="F61" s="134">
        <v>0</v>
      </c>
      <c r="G61" s="134">
        <v>0</v>
      </c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44"/>
      <c r="AH61" s="136"/>
    </row>
    <row r="62" spans="1:34" s="18" customFormat="1" ht="60" customHeight="1">
      <c r="A62" s="45" t="s">
        <v>168</v>
      </c>
      <c r="B62" s="117"/>
      <c r="C62" s="119"/>
      <c r="D62" s="119"/>
      <c r="E62" s="119"/>
      <c r="F62" s="124"/>
      <c r="G62" s="124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223" t="s">
        <v>179</v>
      </c>
      <c r="AH62" s="97"/>
    </row>
    <row r="63" spans="1:34" s="18" customFormat="1" ht="18.75">
      <c r="A63" s="108" t="s">
        <v>32</v>
      </c>
      <c r="B63" s="115">
        <f>B64</f>
        <v>0</v>
      </c>
      <c r="C63" s="115">
        <f aca="true" t="shared" si="26" ref="C63:AE63">C64</f>
        <v>0</v>
      </c>
      <c r="D63" s="115">
        <f t="shared" si="26"/>
        <v>0</v>
      </c>
      <c r="E63" s="115">
        <f t="shared" si="26"/>
        <v>0</v>
      </c>
      <c r="F63" s="122">
        <f t="shared" si="26"/>
        <v>0</v>
      </c>
      <c r="G63" s="122">
        <v>0</v>
      </c>
      <c r="H63" s="115">
        <f t="shared" si="26"/>
        <v>0</v>
      </c>
      <c r="I63" s="115">
        <f t="shared" si="26"/>
        <v>0</v>
      </c>
      <c r="J63" s="115">
        <f t="shared" si="26"/>
        <v>0</v>
      </c>
      <c r="K63" s="115">
        <f t="shared" si="26"/>
        <v>0</v>
      </c>
      <c r="L63" s="115">
        <f t="shared" si="26"/>
        <v>0</v>
      </c>
      <c r="M63" s="115">
        <f t="shared" si="26"/>
        <v>0</v>
      </c>
      <c r="N63" s="115">
        <f t="shared" si="26"/>
        <v>0</v>
      </c>
      <c r="O63" s="115">
        <f t="shared" si="26"/>
        <v>0</v>
      </c>
      <c r="P63" s="115">
        <f t="shared" si="26"/>
        <v>0</v>
      </c>
      <c r="Q63" s="115">
        <f t="shared" si="26"/>
        <v>0</v>
      </c>
      <c r="R63" s="115">
        <f t="shared" si="26"/>
        <v>0</v>
      </c>
      <c r="S63" s="115">
        <f t="shared" si="26"/>
        <v>0</v>
      </c>
      <c r="T63" s="115">
        <f t="shared" si="26"/>
        <v>0</v>
      </c>
      <c r="U63" s="115">
        <f t="shared" si="26"/>
        <v>0</v>
      </c>
      <c r="V63" s="115">
        <f t="shared" si="26"/>
        <v>0</v>
      </c>
      <c r="W63" s="115">
        <f t="shared" si="26"/>
        <v>0</v>
      </c>
      <c r="X63" s="115">
        <f t="shared" si="26"/>
        <v>0</v>
      </c>
      <c r="Y63" s="115">
        <f t="shared" si="26"/>
        <v>0</v>
      </c>
      <c r="Z63" s="115">
        <f t="shared" si="26"/>
        <v>0</v>
      </c>
      <c r="AA63" s="115">
        <f t="shared" si="26"/>
        <v>0</v>
      </c>
      <c r="AB63" s="115">
        <f t="shared" si="26"/>
        <v>0</v>
      </c>
      <c r="AC63" s="115">
        <f t="shared" si="26"/>
        <v>0</v>
      </c>
      <c r="AD63" s="115">
        <f t="shared" si="26"/>
        <v>0</v>
      </c>
      <c r="AE63" s="115">
        <f t="shared" si="26"/>
        <v>0</v>
      </c>
      <c r="AF63" s="109"/>
      <c r="AH63" s="97"/>
    </row>
    <row r="64" spans="1:34" s="135" customFormat="1" ht="18.75">
      <c r="A64" s="131" t="s">
        <v>25</v>
      </c>
      <c r="B64" s="132">
        <f>H64+J64+L64+N64+P64+R64+T64+V64+X64+Z64+AB64+AD64</f>
        <v>0</v>
      </c>
      <c r="C64" s="133">
        <f>H64+J64+L64+N64+P64+R64+T64+V64+X64</f>
        <v>0</v>
      </c>
      <c r="D64" s="133">
        <f>H64+J64+L64+N64+P64+R64+T64+V64</f>
        <v>0</v>
      </c>
      <c r="E64" s="133">
        <f>I64+K64+M64+O64+Q64+S64+U64+W64+Y64+AA64+AC64+AE64</f>
        <v>0</v>
      </c>
      <c r="F64" s="134">
        <v>0</v>
      </c>
      <c r="G64" s="134">
        <v>0</v>
      </c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44"/>
      <c r="AH64" s="136"/>
    </row>
    <row r="65" spans="1:34" s="18" customFormat="1" ht="186" customHeight="1">
      <c r="A65" s="46" t="s">
        <v>169</v>
      </c>
      <c r="B65" s="118"/>
      <c r="C65" s="119"/>
      <c r="D65" s="119"/>
      <c r="E65" s="119"/>
      <c r="F65" s="124"/>
      <c r="G65" s="124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221" t="s">
        <v>187</v>
      </c>
      <c r="AH65" s="97"/>
    </row>
    <row r="66" spans="1:34" s="18" customFormat="1" ht="18.75">
      <c r="A66" s="108" t="s">
        <v>32</v>
      </c>
      <c r="B66" s="115">
        <f>B67</f>
        <v>0</v>
      </c>
      <c r="C66" s="115">
        <f aca="true" t="shared" si="27" ref="C66:AE66">C67</f>
        <v>0</v>
      </c>
      <c r="D66" s="115">
        <f t="shared" si="27"/>
        <v>0</v>
      </c>
      <c r="E66" s="115">
        <f t="shared" si="27"/>
        <v>0</v>
      </c>
      <c r="F66" s="122">
        <f t="shared" si="27"/>
        <v>0</v>
      </c>
      <c r="G66" s="122">
        <v>0</v>
      </c>
      <c r="H66" s="115">
        <f t="shared" si="27"/>
        <v>0</v>
      </c>
      <c r="I66" s="115">
        <f t="shared" si="27"/>
        <v>0</v>
      </c>
      <c r="J66" s="115">
        <f t="shared" si="27"/>
        <v>0</v>
      </c>
      <c r="K66" s="115">
        <f t="shared" si="27"/>
        <v>0</v>
      </c>
      <c r="L66" s="115">
        <f t="shared" si="27"/>
        <v>0</v>
      </c>
      <c r="M66" s="115">
        <f t="shared" si="27"/>
        <v>0</v>
      </c>
      <c r="N66" s="115">
        <f t="shared" si="27"/>
        <v>0</v>
      </c>
      <c r="O66" s="115">
        <f t="shared" si="27"/>
        <v>0</v>
      </c>
      <c r="P66" s="115">
        <f t="shared" si="27"/>
        <v>0</v>
      </c>
      <c r="Q66" s="115">
        <f t="shared" si="27"/>
        <v>0</v>
      </c>
      <c r="R66" s="115">
        <f t="shared" si="27"/>
        <v>0</v>
      </c>
      <c r="S66" s="115">
        <f t="shared" si="27"/>
        <v>0</v>
      </c>
      <c r="T66" s="115">
        <f t="shared" si="27"/>
        <v>0</v>
      </c>
      <c r="U66" s="115">
        <f t="shared" si="27"/>
        <v>0</v>
      </c>
      <c r="V66" s="115">
        <f t="shared" si="27"/>
        <v>0</v>
      </c>
      <c r="W66" s="115">
        <f t="shared" si="27"/>
        <v>0</v>
      </c>
      <c r="X66" s="115">
        <f t="shared" si="27"/>
        <v>0</v>
      </c>
      <c r="Y66" s="115">
        <f t="shared" si="27"/>
        <v>0</v>
      </c>
      <c r="Z66" s="115">
        <f t="shared" si="27"/>
        <v>0</v>
      </c>
      <c r="AA66" s="115">
        <f t="shared" si="27"/>
        <v>0</v>
      </c>
      <c r="AB66" s="115">
        <f t="shared" si="27"/>
        <v>0</v>
      </c>
      <c r="AC66" s="115">
        <f t="shared" si="27"/>
        <v>0</v>
      </c>
      <c r="AD66" s="115">
        <f t="shared" si="27"/>
        <v>0</v>
      </c>
      <c r="AE66" s="115">
        <f t="shared" si="27"/>
        <v>0</v>
      </c>
      <c r="AF66" s="109"/>
      <c r="AH66" s="97"/>
    </row>
    <row r="67" spans="1:34" s="135" customFormat="1" ht="18.75">
      <c r="A67" s="131" t="s">
        <v>25</v>
      </c>
      <c r="B67" s="132">
        <f>H67+J67+L67+N67+P67+R67+T67+V67+X67+Z67+AB67+AD67</f>
        <v>0</v>
      </c>
      <c r="C67" s="133">
        <f>H67+J67+L67+N67+P67+R67+T67+V67+X67</f>
        <v>0</v>
      </c>
      <c r="D67" s="133">
        <f>H67+J67+L67+N67+P67+R67+T67+V67</f>
        <v>0</v>
      </c>
      <c r="E67" s="133">
        <f>I67+K67+M67+O67+Q67+S67+U67+W67+Y67+AA67+AC67+AE67</f>
        <v>0</v>
      </c>
      <c r="F67" s="134">
        <v>0</v>
      </c>
      <c r="G67" s="134">
        <v>0</v>
      </c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44"/>
      <c r="AH67" s="136"/>
    </row>
    <row r="68" spans="1:34" s="18" customFormat="1" ht="134.25" customHeight="1">
      <c r="A68" s="104" t="s">
        <v>170</v>
      </c>
      <c r="B68" s="117"/>
      <c r="C68" s="119"/>
      <c r="D68" s="119"/>
      <c r="E68" s="119"/>
      <c r="F68" s="124"/>
      <c r="G68" s="124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223" t="s">
        <v>177</v>
      </c>
      <c r="AH68" s="97"/>
    </row>
    <row r="69" spans="1:34" s="18" customFormat="1" ht="18.75">
      <c r="A69" s="108" t="s">
        <v>32</v>
      </c>
      <c r="B69" s="115">
        <f>B70</f>
        <v>12.8</v>
      </c>
      <c r="C69" s="115">
        <f aca="true" t="shared" si="28" ref="C69:AE69">C70</f>
        <v>0</v>
      </c>
      <c r="D69" s="115">
        <f t="shared" si="28"/>
        <v>0</v>
      </c>
      <c r="E69" s="115">
        <f t="shared" si="28"/>
        <v>0</v>
      </c>
      <c r="F69" s="122">
        <v>0</v>
      </c>
      <c r="G69" s="122">
        <v>0</v>
      </c>
      <c r="H69" s="115">
        <f t="shared" si="28"/>
        <v>0</v>
      </c>
      <c r="I69" s="115">
        <f t="shared" si="28"/>
        <v>0</v>
      </c>
      <c r="J69" s="115">
        <f t="shared" si="28"/>
        <v>0</v>
      </c>
      <c r="K69" s="115">
        <f t="shared" si="28"/>
        <v>0</v>
      </c>
      <c r="L69" s="115">
        <f t="shared" si="28"/>
        <v>0</v>
      </c>
      <c r="M69" s="115">
        <f t="shared" si="28"/>
        <v>0</v>
      </c>
      <c r="N69" s="115">
        <f t="shared" si="28"/>
        <v>0</v>
      </c>
      <c r="O69" s="115">
        <f t="shared" si="28"/>
        <v>0</v>
      </c>
      <c r="P69" s="115">
        <f t="shared" si="28"/>
        <v>12.8</v>
      </c>
      <c r="Q69" s="115">
        <f t="shared" si="28"/>
        <v>0</v>
      </c>
      <c r="R69" s="115">
        <f t="shared" si="28"/>
        <v>0</v>
      </c>
      <c r="S69" s="115">
        <f t="shared" si="28"/>
        <v>0</v>
      </c>
      <c r="T69" s="115">
        <f t="shared" si="28"/>
        <v>0</v>
      </c>
      <c r="U69" s="115">
        <f t="shared" si="28"/>
        <v>0</v>
      </c>
      <c r="V69" s="115">
        <f t="shared" si="28"/>
        <v>0</v>
      </c>
      <c r="W69" s="115">
        <f t="shared" si="28"/>
        <v>0</v>
      </c>
      <c r="X69" s="115">
        <f t="shared" si="28"/>
        <v>0</v>
      </c>
      <c r="Y69" s="115">
        <f t="shared" si="28"/>
        <v>0</v>
      </c>
      <c r="Z69" s="115">
        <f t="shared" si="28"/>
        <v>0</v>
      </c>
      <c r="AA69" s="115">
        <f t="shared" si="28"/>
        <v>0</v>
      </c>
      <c r="AB69" s="115">
        <f t="shared" si="28"/>
        <v>0</v>
      </c>
      <c r="AC69" s="115">
        <f t="shared" si="28"/>
        <v>0</v>
      </c>
      <c r="AD69" s="115">
        <f t="shared" si="28"/>
        <v>0</v>
      </c>
      <c r="AE69" s="115">
        <f t="shared" si="28"/>
        <v>0</v>
      </c>
      <c r="AF69" s="110"/>
      <c r="AH69" s="97"/>
    </row>
    <row r="70" spans="1:34" s="135" customFormat="1" ht="18.75">
      <c r="A70" s="131" t="s">
        <v>25</v>
      </c>
      <c r="B70" s="132">
        <f>H70+J70+L70+N70+P70+R70+T70+V70+X70+Z70+AB70+AD70</f>
        <v>12.8</v>
      </c>
      <c r="C70" s="133">
        <f>H70</f>
        <v>0</v>
      </c>
      <c r="D70" s="133">
        <v>0</v>
      </c>
      <c r="E70" s="133">
        <f>I70+K70+M70+O70+Q70+S70+U70+W70+Y70+AA70+AC70+AE70</f>
        <v>0</v>
      </c>
      <c r="F70" s="134">
        <v>0</v>
      </c>
      <c r="G70" s="134">
        <v>0</v>
      </c>
      <c r="H70" s="133">
        <v>0</v>
      </c>
      <c r="I70" s="133"/>
      <c r="J70" s="133">
        <v>0</v>
      </c>
      <c r="K70" s="133"/>
      <c r="L70" s="133">
        <v>0</v>
      </c>
      <c r="M70" s="133"/>
      <c r="N70" s="133">
        <v>0</v>
      </c>
      <c r="O70" s="133">
        <v>0</v>
      </c>
      <c r="P70" s="133">
        <f>12800/1000</f>
        <v>12.8</v>
      </c>
      <c r="Q70" s="133"/>
      <c r="R70" s="133">
        <v>0</v>
      </c>
      <c r="S70" s="133"/>
      <c r="T70" s="133">
        <v>0</v>
      </c>
      <c r="U70" s="133"/>
      <c r="V70" s="133">
        <v>0</v>
      </c>
      <c r="W70" s="133"/>
      <c r="X70" s="133">
        <v>0</v>
      </c>
      <c r="Y70" s="133"/>
      <c r="Z70" s="133">
        <v>0</v>
      </c>
      <c r="AA70" s="133"/>
      <c r="AB70" s="133">
        <v>0</v>
      </c>
      <c r="AC70" s="133"/>
      <c r="AD70" s="133">
        <v>0</v>
      </c>
      <c r="AE70" s="133">
        <v>0</v>
      </c>
      <c r="AF70" s="144"/>
      <c r="AH70" s="136"/>
    </row>
    <row r="71" spans="1:34" s="18" customFormat="1" ht="97.5" customHeight="1">
      <c r="A71" s="45" t="s">
        <v>176</v>
      </c>
      <c r="B71" s="117"/>
      <c r="C71" s="119"/>
      <c r="D71" s="119"/>
      <c r="E71" s="119"/>
      <c r="F71" s="124"/>
      <c r="G71" s="124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223" t="s">
        <v>178</v>
      </c>
      <c r="AH71" s="97"/>
    </row>
    <row r="72" spans="1:34" s="18" customFormat="1" ht="18.75">
      <c r="A72" s="108" t="s">
        <v>32</v>
      </c>
      <c r="B72" s="115">
        <f>B73</f>
        <v>0</v>
      </c>
      <c r="C72" s="115">
        <f aca="true" t="shared" si="29" ref="C72:AE72">C73</f>
        <v>0</v>
      </c>
      <c r="D72" s="115">
        <f t="shared" si="29"/>
        <v>0</v>
      </c>
      <c r="E72" s="115">
        <f t="shared" si="29"/>
        <v>0</v>
      </c>
      <c r="F72" s="122">
        <v>0</v>
      </c>
      <c r="G72" s="122">
        <v>0</v>
      </c>
      <c r="H72" s="115">
        <f t="shared" si="29"/>
        <v>0</v>
      </c>
      <c r="I72" s="115">
        <f t="shared" si="29"/>
        <v>0</v>
      </c>
      <c r="J72" s="115">
        <f t="shared" si="29"/>
        <v>0</v>
      </c>
      <c r="K72" s="115">
        <f t="shared" si="29"/>
        <v>0</v>
      </c>
      <c r="L72" s="115">
        <f t="shared" si="29"/>
        <v>0</v>
      </c>
      <c r="M72" s="115">
        <f t="shared" si="29"/>
        <v>0</v>
      </c>
      <c r="N72" s="115">
        <f t="shared" si="29"/>
        <v>0</v>
      </c>
      <c r="O72" s="115">
        <f t="shared" si="29"/>
        <v>0</v>
      </c>
      <c r="P72" s="115">
        <f t="shared" si="29"/>
        <v>0</v>
      </c>
      <c r="Q72" s="115">
        <f t="shared" si="29"/>
        <v>0</v>
      </c>
      <c r="R72" s="115">
        <f t="shared" si="29"/>
        <v>0</v>
      </c>
      <c r="S72" s="115">
        <f t="shared" si="29"/>
        <v>0</v>
      </c>
      <c r="T72" s="115">
        <f t="shared" si="29"/>
        <v>0</v>
      </c>
      <c r="U72" s="115">
        <f t="shared" si="29"/>
        <v>0</v>
      </c>
      <c r="V72" s="115">
        <f t="shared" si="29"/>
        <v>0</v>
      </c>
      <c r="W72" s="115">
        <f t="shared" si="29"/>
        <v>0</v>
      </c>
      <c r="X72" s="115">
        <f t="shared" si="29"/>
        <v>0</v>
      </c>
      <c r="Y72" s="115">
        <f t="shared" si="29"/>
        <v>0</v>
      </c>
      <c r="Z72" s="115">
        <f t="shared" si="29"/>
        <v>0</v>
      </c>
      <c r="AA72" s="115">
        <f t="shared" si="29"/>
        <v>0</v>
      </c>
      <c r="AB72" s="115">
        <f t="shared" si="29"/>
        <v>0</v>
      </c>
      <c r="AC72" s="115">
        <f t="shared" si="29"/>
        <v>0</v>
      </c>
      <c r="AD72" s="115">
        <f t="shared" si="29"/>
        <v>0</v>
      </c>
      <c r="AE72" s="115">
        <f t="shared" si="29"/>
        <v>0</v>
      </c>
      <c r="AF72" s="110"/>
      <c r="AH72" s="97"/>
    </row>
    <row r="73" spans="1:34" s="135" customFormat="1" ht="18.75">
      <c r="A73" s="131" t="s">
        <v>25</v>
      </c>
      <c r="B73" s="132">
        <f>H73+J73+L73+N73+P73+R73+T73+V73+X73+Z73+AB73+AD73</f>
        <v>0</v>
      </c>
      <c r="C73" s="133"/>
      <c r="D73" s="133"/>
      <c r="E73" s="133">
        <f>I73+K73+M73+O73+Q73+S73+U73+W73+Y73+AA73+AC73+AE73</f>
        <v>0</v>
      </c>
      <c r="F73" s="134">
        <v>0</v>
      </c>
      <c r="G73" s="134">
        <v>0</v>
      </c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44"/>
      <c r="AH73" s="136"/>
    </row>
    <row r="74" spans="1:34" s="49" customFormat="1" ht="18.75">
      <c r="A74" s="108" t="s">
        <v>33</v>
      </c>
      <c r="B74" s="115">
        <f>B76+B77+B75</f>
        <v>21740.399999999998</v>
      </c>
      <c r="C74" s="115">
        <f>C76+C77+C75</f>
        <v>1323.9502</v>
      </c>
      <c r="D74" s="115">
        <f>D76+D77+D75</f>
        <v>9646.853</v>
      </c>
      <c r="E74" s="115">
        <f>E76+E77+E75</f>
        <v>873.23518</v>
      </c>
      <c r="F74" s="127">
        <f>E74/B74</f>
        <v>0.04016647255800262</v>
      </c>
      <c r="G74" s="127">
        <f>E74/C74</f>
        <v>0.659567995835493</v>
      </c>
      <c r="H74" s="115">
        <f>H76+H77+H75</f>
        <v>562.959</v>
      </c>
      <c r="I74" s="115">
        <f aca="true" t="shared" si="30" ref="I74:AE74">I76+I77+I75</f>
        <v>425.15626000000003</v>
      </c>
      <c r="J74" s="115">
        <f t="shared" si="30"/>
        <v>760.9912</v>
      </c>
      <c r="K74" s="115">
        <f t="shared" si="30"/>
        <v>448.07892000000004</v>
      </c>
      <c r="L74" s="115">
        <f t="shared" si="30"/>
        <v>1146.423</v>
      </c>
      <c r="M74" s="115">
        <f t="shared" si="30"/>
        <v>0</v>
      </c>
      <c r="N74" s="115">
        <f t="shared" si="30"/>
        <v>1677.83057</v>
      </c>
      <c r="O74" s="115">
        <f t="shared" si="30"/>
        <v>0</v>
      </c>
      <c r="P74" s="115">
        <f t="shared" si="30"/>
        <v>1584.839</v>
      </c>
      <c r="Q74" s="115">
        <f t="shared" si="30"/>
        <v>0</v>
      </c>
      <c r="R74" s="115">
        <f t="shared" si="30"/>
        <v>4025.188</v>
      </c>
      <c r="S74" s="115">
        <f t="shared" si="30"/>
        <v>0</v>
      </c>
      <c r="T74" s="115">
        <f t="shared" si="30"/>
        <v>3670.53114</v>
      </c>
      <c r="U74" s="115">
        <f t="shared" si="30"/>
        <v>0</v>
      </c>
      <c r="V74" s="115">
        <f t="shared" si="30"/>
        <v>3752.5689999999995</v>
      </c>
      <c r="W74" s="115">
        <f t="shared" si="30"/>
        <v>0</v>
      </c>
      <c r="X74" s="115">
        <f t="shared" si="30"/>
        <v>971.0219999999999</v>
      </c>
      <c r="Y74" s="115">
        <f t="shared" si="30"/>
        <v>0</v>
      </c>
      <c r="Z74" s="115">
        <f t="shared" si="30"/>
        <v>1296.24057</v>
      </c>
      <c r="AA74" s="115">
        <f t="shared" si="30"/>
        <v>0</v>
      </c>
      <c r="AB74" s="115">
        <f t="shared" si="30"/>
        <v>1194.618</v>
      </c>
      <c r="AC74" s="115">
        <f t="shared" si="30"/>
        <v>0</v>
      </c>
      <c r="AD74" s="115">
        <f t="shared" si="30"/>
        <v>1097.18852</v>
      </c>
      <c r="AE74" s="115">
        <f t="shared" si="30"/>
        <v>0</v>
      </c>
      <c r="AF74" s="109"/>
      <c r="AH74" s="173"/>
    </row>
    <row r="75" spans="1:34" s="130" customFormat="1" ht="18.75">
      <c r="A75" s="128" t="s">
        <v>150</v>
      </c>
      <c r="B75" s="129">
        <f>B10</f>
        <v>0</v>
      </c>
      <c r="C75" s="129">
        <f>C10</f>
        <v>0</v>
      </c>
      <c r="D75" s="129">
        <f>D10</f>
        <v>0</v>
      </c>
      <c r="E75" s="129">
        <f>E10</f>
        <v>0</v>
      </c>
      <c r="F75" s="172">
        <v>0</v>
      </c>
      <c r="G75" s="172">
        <f>G10</f>
        <v>0</v>
      </c>
      <c r="H75" s="129">
        <f aca="true" t="shared" si="31" ref="H75:AE75">H10</f>
        <v>0</v>
      </c>
      <c r="I75" s="129">
        <f t="shared" si="31"/>
        <v>0</v>
      </c>
      <c r="J75" s="129">
        <f t="shared" si="31"/>
        <v>0</v>
      </c>
      <c r="K75" s="129">
        <f t="shared" si="31"/>
        <v>0</v>
      </c>
      <c r="L75" s="129">
        <f t="shared" si="31"/>
        <v>0</v>
      </c>
      <c r="M75" s="129">
        <f t="shared" si="31"/>
        <v>0</v>
      </c>
      <c r="N75" s="129">
        <f t="shared" si="31"/>
        <v>0</v>
      </c>
      <c r="O75" s="129">
        <f t="shared" si="31"/>
        <v>0</v>
      </c>
      <c r="P75" s="129">
        <f t="shared" si="31"/>
        <v>0</v>
      </c>
      <c r="Q75" s="129">
        <f t="shared" si="31"/>
        <v>0</v>
      </c>
      <c r="R75" s="129">
        <f t="shared" si="31"/>
        <v>0</v>
      </c>
      <c r="S75" s="129">
        <f t="shared" si="31"/>
        <v>0</v>
      </c>
      <c r="T75" s="129">
        <f t="shared" si="31"/>
        <v>0</v>
      </c>
      <c r="U75" s="129">
        <f t="shared" si="31"/>
        <v>0</v>
      </c>
      <c r="V75" s="129">
        <f t="shared" si="31"/>
        <v>0</v>
      </c>
      <c r="W75" s="129">
        <f t="shared" si="31"/>
        <v>0</v>
      </c>
      <c r="X75" s="129">
        <f t="shared" si="31"/>
        <v>0</v>
      </c>
      <c r="Y75" s="129">
        <f t="shared" si="31"/>
        <v>0</v>
      </c>
      <c r="Z75" s="129">
        <f t="shared" si="31"/>
        <v>0</v>
      </c>
      <c r="AA75" s="129">
        <f t="shared" si="31"/>
        <v>0</v>
      </c>
      <c r="AB75" s="129">
        <f t="shared" si="31"/>
        <v>0</v>
      </c>
      <c r="AC75" s="129">
        <f t="shared" si="31"/>
        <v>0</v>
      </c>
      <c r="AD75" s="129">
        <f t="shared" si="31"/>
        <v>0</v>
      </c>
      <c r="AE75" s="129">
        <f t="shared" si="31"/>
        <v>0</v>
      </c>
      <c r="AF75" s="146"/>
      <c r="AH75" s="173"/>
    </row>
    <row r="76" spans="1:34" s="130" customFormat="1" ht="18.75">
      <c r="A76" s="128" t="s">
        <v>24</v>
      </c>
      <c r="B76" s="129">
        <f aca="true" t="shared" si="32" ref="B76:AE76">B11+B52</f>
        <v>4559</v>
      </c>
      <c r="C76" s="129">
        <f t="shared" si="32"/>
        <v>906.121</v>
      </c>
      <c r="D76" s="129">
        <f t="shared" si="32"/>
        <v>907.97</v>
      </c>
      <c r="E76" s="129">
        <f t="shared" si="32"/>
        <v>659.34063</v>
      </c>
      <c r="F76" s="172">
        <f>E76/B76</f>
        <v>0.1446239592015793</v>
      </c>
      <c r="G76" s="172">
        <f>E76/C76</f>
        <v>0.7276518588577022</v>
      </c>
      <c r="H76" s="129">
        <f>H11+H52</f>
        <v>562.959</v>
      </c>
      <c r="I76" s="129">
        <f t="shared" si="32"/>
        <v>425.15626000000003</v>
      </c>
      <c r="J76" s="129">
        <f t="shared" si="32"/>
        <v>343.16200000000003</v>
      </c>
      <c r="K76" s="129">
        <f t="shared" si="32"/>
        <v>234.18437</v>
      </c>
      <c r="L76" s="129">
        <f t="shared" si="32"/>
        <v>216.4</v>
      </c>
      <c r="M76" s="129">
        <f t="shared" si="32"/>
        <v>0</v>
      </c>
      <c r="N76" s="129">
        <f t="shared" si="32"/>
        <v>385.34657000000004</v>
      </c>
      <c r="O76" s="129">
        <f t="shared" si="32"/>
        <v>0</v>
      </c>
      <c r="P76" s="129">
        <f t="shared" si="32"/>
        <v>454.91700000000003</v>
      </c>
      <c r="Q76" s="129">
        <f t="shared" si="32"/>
        <v>0</v>
      </c>
      <c r="R76" s="129">
        <f t="shared" si="32"/>
        <v>654.548</v>
      </c>
      <c r="S76" s="129">
        <f t="shared" si="32"/>
        <v>0</v>
      </c>
      <c r="T76" s="129">
        <f t="shared" si="32"/>
        <v>509.26114</v>
      </c>
      <c r="U76" s="129">
        <f t="shared" si="32"/>
        <v>0</v>
      </c>
      <c r="V76" s="129">
        <f t="shared" si="32"/>
        <v>558.539</v>
      </c>
      <c r="W76" s="129">
        <f t="shared" si="32"/>
        <v>0</v>
      </c>
      <c r="X76" s="129">
        <f t="shared" si="32"/>
        <v>152.76</v>
      </c>
      <c r="Y76" s="129">
        <f t="shared" si="32"/>
        <v>0</v>
      </c>
      <c r="Z76" s="129">
        <f t="shared" si="32"/>
        <v>268.61757</v>
      </c>
      <c r="AA76" s="129">
        <f t="shared" si="32"/>
        <v>0</v>
      </c>
      <c r="AB76" s="129">
        <f t="shared" si="32"/>
        <v>176.355</v>
      </c>
      <c r="AC76" s="129">
        <f t="shared" si="32"/>
        <v>0</v>
      </c>
      <c r="AD76" s="129">
        <f t="shared" si="32"/>
        <v>276.13471999999996</v>
      </c>
      <c r="AE76" s="129">
        <f t="shared" si="32"/>
        <v>0</v>
      </c>
      <c r="AF76" s="146"/>
      <c r="AH76" s="173"/>
    </row>
    <row r="77" spans="1:34" s="130" customFormat="1" ht="18.75">
      <c r="A77" s="128" t="s">
        <v>25</v>
      </c>
      <c r="B77" s="129">
        <f aca="true" t="shared" si="33" ref="B77:AE77">B12+B58</f>
        <v>17181.399999999998</v>
      </c>
      <c r="C77" s="129">
        <f t="shared" si="33"/>
        <v>417.8292</v>
      </c>
      <c r="D77" s="129">
        <f t="shared" si="33"/>
        <v>8738.883</v>
      </c>
      <c r="E77" s="129">
        <f t="shared" si="33"/>
        <v>213.89455</v>
      </c>
      <c r="F77" s="172">
        <f>E77/B77</f>
        <v>0.012449192149650205</v>
      </c>
      <c r="G77" s="172">
        <f>E77/C77</f>
        <v>0.5119186260797475</v>
      </c>
      <c r="H77" s="129">
        <f t="shared" si="33"/>
        <v>0</v>
      </c>
      <c r="I77" s="129">
        <f t="shared" si="33"/>
        <v>0</v>
      </c>
      <c r="J77" s="129">
        <f t="shared" si="33"/>
        <v>417.8292</v>
      </c>
      <c r="K77" s="129">
        <f t="shared" si="33"/>
        <v>213.89455</v>
      </c>
      <c r="L77" s="129">
        <f t="shared" si="33"/>
        <v>930.023</v>
      </c>
      <c r="M77" s="129">
        <f t="shared" si="33"/>
        <v>0</v>
      </c>
      <c r="N77" s="129">
        <f t="shared" si="33"/>
        <v>1292.484</v>
      </c>
      <c r="O77" s="129">
        <f t="shared" si="33"/>
        <v>0</v>
      </c>
      <c r="P77" s="129">
        <f t="shared" si="33"/>
        <v>1129.9219999999998</v>
      </c>
      <c r="Q77" s="129">
        <f t="shared" si="33"/>
        <v>0</v>
      </c>
      <c r="R77" s="129">
        <f t="shared" si="33"/>
        <v>3370.64</v>
      </c>
      <c r="S77" s="129">
        <f t="shared" si="33"/>
        <v>0</v>
      </c>
      <c r="T77" s="129">
        <f t="shared" si="33"/>
        <v>3161.27</v>
      </c>
      <c r="U77" s="129">
        <f t="shared" si="33"/>
        <v>0</v>
      </c>
      <c r="V77" s="129">
        <f t="shared" si="33"/>
        <v>3194.0299999999997</v>
      </c>
      <c r="W77" s="129">
        <f t="shared" si="33"/>
        <v>0</v>
      </c>
      <c r="X77" s="129">
        <f t="shared" si="33"/>
        <v>818.262</v>
      </c>
      <c r="Y77" s="129">
        <f t="shared" si="33"/>
        <v>0</v>
      </c>
      <c r="Z77" s="129">
        <f t="shared" si="33"/>
        <v>1027.623</v>
      </c>
      <c r="AA77" s="129">
        <f t="shared" si="33"/>
        <v>0</v>
      </c>
      <c r="AB77" s="129">
        <f t="shared" si="33"/>
        <v>1018.263</v>
      </c>
      <c r="AC77" s="129">
        <f t="shared" si="33"/>
        <v>0</v>
      </c>
      <c r="AD77" s="129">
        <f t="shared" si="33"/>
        <v>821.0538</v>
      </c>
      <c r="AE77" s="129">
        <f t="shared" si="33"/>
        <v>0</v>
      </c>
      <c r="AF77" s="146"/>
      <c r="AH77" s="173"/>
    </row>
    <row r="78" spans="1:34" s="18" customFormat="1" ht="18.75">
      <c r="A78" s="58"/>
      <c r="B78" s="58"/>
      <c r="C78" s="59"/>
      <c r="D78" s="59"/>
      <c r="E78" s="60"/>
      <c r="F78" s="60"/>
      <c r="G78" s="60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2"/>
      <c r="AH78" s="97"/>
    </row>
    <row r="79" spans="1:34" s="18" customFormat="1" ht="18.75">
      <c r="A79" s="58"/>
      <c r="B79" s="58"/>
      <c r="E79" s="60"/>
      <c r="F79" s="60"/>
      <c r="G79" s="60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59"/>
      <c r="U79" s="164"/>
      <c r="V79" s="164"/>
      <c r="W79" s="164"/>
      <c r="X79" s="164"/>
      <c r="Y79" s="164"/>
      <c r="Z79" s="164"/>
      <c r="AA79" s="164"/>
      <c r="AB79" s="164"/>
      <c r="AC79" s="164"/>
      <c r="AD79" s="61"/>
      <c r="AE79" s="61"/>
      <c r="AF79" s="62"/>
      <c r="AH79" s="97"/>
    </row>
    <row r="80" spans="2:32" ht="15.75" customHeight="1">
      <c r="B80" s="54"/>
      <c r="E80" s="53"/>
      <c r="F80" s="57"/>
      <c r="G80" s="57"/>
      <c r="H80" s="101"/>
      <c r="I80" s="102"/>
      <c r="M80" s="17"/>
      <c r="N80" s="17"/>
      <c r="U80" s="53" t="s">
        <v>181</v>
      </c>
      <c r="V80" s="100"/>
      <c r="W80" s="100"/>
      <c r="X80" s="100"/>
      <c r="Y80" s="100"/>
      <c r="Z80" s="100"/>
      <c r="AA80" s="165"/>
      <c r="AB80" s="165"/>
      <c r="AC80" s="183" t="s">
        <v>139</v>
      </c>
      <c r="AD80" s="183"/>
      <c r="AE80" s="183"/>
      <c r="AF80" s="183"/>
    </row>
    <row r="81" spans="1:43" ht="15.75" customHeight="1">
      <c r="A81" s="53"/>
      <c r="B81" s="54"/>
      <c r="E81" s="53"/>
      <c r="F81" s="57"/>
      <c r="G81" s="57"/>
      <c r="H81" s="101"/>
      <c r="I81" s="102"/>
      <c r="M81" s="17"/>
      <c r="N81" s="17"/>
      <c r="R81" s="52"/>
      <c r="S81" s="7"/>
      <c r="U81" s="53"/>
      <c r="V81" s="1"/>
      <c r="W81" s="1"/>
      <c r="X81" s="1"/>
      <c r="Y81" s="1"/>
      <c r="AA81" s="1"/>
      <c r="AB81" s="1"/>
      <c r="AD81" s="53"/>
      <c r="AE81" s="1"/>
      <c r="AF81" s="7"/>
      <c r="AG81" s="7"/>
      <c r="AH81" s="99"/>
      <c r="AI81" s="7"/>
      <c r="AJ81" s="7"/>
      <c r="AK81" s="7"/>
      <c r="AL81" s="7"/>
      <c r="AM81" s="7"/>
      <c r="AN81" s="7"/>
      <c r="AO81" s="7"/>
      <c r="AP81" s="7"/>
      <c r="AQ81" s="6"/>
    </row>
    <row r="82" spans="1:29" ht="15.75" customHeight="1">
      <c r="A82" s="24"/>
      <c r="B82" s="24"/>
      <c r="E82" s="24"/>
      <c r="F82" s="24"/>
      <c r="G82" s="24"/>
      <c r="H82" s="24"/>
      <c r="I82" s="24"/>
      <c r="J82" s="100"/>
      <c r="R82" s="52"/>
      <c r="U82" s="24"/>
      <c r="AC82" s="1"/>
    </row>
    <row r="83" ht="15.75" customHeight="1"/>
    <row r="84" spans="2:25" ht="15.75" customHeight="1">
      <c r="B84" s="63"/>
      <c r="E84" s="63"/>
      <c r="F84" s="1"/>
      <c r="G84" s="63"/>
      <c r="H84" s="63"/>
      <c r="U84" s="63" t="s">
        <v>149</v>
      </c>
      <c r="Y84" s="63" t="s">
        <v>152</v>
      </c>
    </row>
    <row r="85" ht="15.75" customHeight="1"/>
    <row r="86" ht="15.75" customHeight="1"/>
    <row r="87" ht="15.75" customHeight="1"/>
    <row r="88" ht="15.75" customHeight="1"/>
    <row r="89" ht="15.75" customHeight="1"/>
    <row r="90" spans="6:7" ht="15.75" customHeight="1">
      <c r="F90" s="1"/>
      <c r="G90" s="1"/>
    </row>
    <row r="91" ht="15.75" customHeight="1"/>
  </sheetData>
  <sheetProtection/>
  <mergeCells count="28">
    <mergeCell ref="O3:S3"/>
    <mergeCell ref="A4:A5"/>
    <mergeCell ref="B4:B5"/>
    <mergeCell ref="C4:C5"/>
    <mergeCell ref="D4:D5"/>
    <mergeCell ref="E4:E5"/>
    <mergeCell ref="F4:G4"/>
    <mergeCell ref="H4:I4"/>
    <mergeCell ref="J4:K4"/>
    <mergeCell ref="AF4:AF5"/>
    <mergeCell ref="AF13:AF16"/>
    <mergeCell ref="AF17:AF20"/>
    <mergeCell ref="L4:M4"/>
    <mergeCell ref="N4:O4"/>
    <mergeCell ref="P4:Q4"/>
    <mergeCell ref="R4:S4"/>
    <mergeCell ref="V4:W4"/>
    <mergeCell ref="X4:Y4"/>
    <mergeCell ref="A2:AF2"/>
    <mergeCell ref="AC80:AF80"/>
    <mergeCell ref="AF21:AF24"/>
    <mergeCell ref="AF25:AF27"/>
    <mergeCell ref="AF30:AF31"/>
    <mergeCell ref="AF33:AF34"/>
    <mergeCell ref="AF40:AF42"/>
    <mergeCell ref="Z4:AA4"/>
    <mergeCell ref="AB4:AC4"/>
    <mergeCell ref="AD4:AE4"/>
  </mergeCells>
  <printOptions horizontalCentered="1"/>
  <pageMargins left="0" right="0" top="0.1968503937007874" bottom="0.1968503937007874" header="0" footer="0"/>
  <pageSetup fitToWidth="0" horizontalDpi="600" verticalDpi="600" orientation="landscape" paperSize="9" scale="45" r:id="rId1"/>
  <rowBreaks count="2" manualBreakCount="2">
    <brk id="39" max="31" man="1"/>
    <brk id="84" max="30" man="1"/>
  </rowBreaks>
  <colBreaks count="1" manualBreakCount="1">
    <brk id="19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V67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0.42578125" style="39" customWidth="1"/>
    <col min="2" max="2" width="3.7109375" style="39" customWidth="1"/>
    <col min="3" max="3" width="73.28125" style="39" customWidth="1"/>
    <col min="4" max="4" width="28.421875" style="39" customWidth="1"/>
    <col min="5" max="5" width="10.421875" style="39" customWidth="1"/>
    <col min="6" max="6" width="10.28125" style="39" customWidth="1"/>
    <col min="7" max="9" width="10.7109375" style="39" customWidth="1"/>
    <col min="10" max="10" width="23.421875" style="39" customWidth="1"/>
    <col min="11" max="16384" width="9.140625" style="39" customWidth="1"/>
  </cols>
  <sheetData>
    <row r="1" s="25" customFormat="1" ht="15">
      <c r="J1" s="31" t="s">
        <v>37</v>
      </c>
    </row>
    <row r="2" s="25" customFormat="1" ht="15">
      <c r="J2" s="31" t="s">
        <v>38</v>
      </c>
    </row>
    <row r="3" s="25" customFormat="1" ht="15">
      <c r="J3" s="31" t="s">
        <v>39</v>
      </c>
    </row>
    <row r="4" s="25" customFormat="1" ht="15.75">
      <c r="J4" s="32"/>
    </row>
    <row r="5" s="25" customFormat="1" ht="15.75">
      <c r="J5" s="32"/>
    </row>
    <row r="6" spans="2:10" s="25" customFormat="1" ht="16.5">
      <c r="B6" s="177" t="s">
        <v>40</v>
      </c>
      <c r="C6" s="177"/>
      <c r="D6" s="177"/>
      <c r="E6" s="177"/>
      <c r="F6" s="177"/>
      <c r="G6" s="177"/>
      <c r="H6" s="177"/>
      <c r="I6" s="177"/>
      <c r="J6" s="177"/>
    </row>
    <row r="7" s="25" customFormat="1" ht="12.75"/>
    <row r="8" spans="2:10" s="25" customFormat="1" ht="12.75">
      <c r="B8" s="190" t="s">
        <v>41</v>
      </c>
      <c r="C8" s="190" t="s">
        <v>5</v>
      </c>
      <c r="D8" s="190" t="s">
        <v>42</v>
      </c>
      <c r="E8" s="190" t="s">
        <v>43</v>
      </c>
      <c r="F8" s="190" t="s">
        <v>44</v>
      </c>
      <c r="G8" s="190"/>
      <c r="H8" s="190"/>
      <c r="I8" s="190"/>
      <c r="J8" s="190" t="s">
        <v>45</v>
      </c>
    </row>
    <row r="9" spans="2:10" s="25" customFormat="1" ht="12.75">
      <c r="B9" s="190"/>
      <c r="C9" s="190"/>
      <c r="D9" s="190"/>
      <c r="E9" s="190"/>
      <c r="F9" s="190" t="s">
        <v>46</v>
      </c>
      <c r="G9" s="190" t="s">
        <v>47</v>
      </c>
      <c r="H9" s="190"/>
      <c r="I9" s="190"/>
      <c r="J9" s="190"/>
    </row>
    <row r="10" spans="2:10" s="25" customFormat="1" ht="15.75" customHeight="1">
      <c r="B10" s="190"/>
      <c r="C10" s="190"/>
      <c r="D10" s="190"/>
      <c r="E10" s="190"/>
      <c r="F10" s="190"/>
      <c r="G10" s="33" t="s">
        <v>48</v>
      </c>
      <c r="H10" s="33" t="s">
        <v>49</v>
      </c>
      <c r="I10" s="33" t="s">
        <v>50</v>
      </c>
      <c r="J10" s="190"/>
    </row>
    <row r="11" spans="2:10" s="25" customFormat="1" ht="12.75">
      <c r="B11" s="33">
        <v>1</v>
      </c>
      <c r="C11" s="33">
        <v>2</v>
      </c>
      <c r="D11" s="33">
        <v>3</v>
      </c>
      <c r="E11" s="33">
        <v>4</v>
      </c>
      <c r="F11" s="33">
        <v>5</v>
      </c>
      <c r="G11" s="33">
        <v>6</v>
      </c>
      <c r="H11" s="33">
        <v>7</v>
      </c>
      <c r="I11" s="33">
        <v>8</v>
      </c>
      <c r="J11" s="33">
        <v>9</v>
      </c>
    </row>
    <row r="12" spans="2:10" s="25" customFormat="1" ht="21.75" customHeight="1">
      <c r="B12" s="191" t="s">
        <v>51</v>
      </c>
      <c r="C12" s="191"/>
      <c r="D12" s="191"/>
      <c r="E12" s="191"/>
      <c r="F12" s="191"/>
      <c r="G12" s="191"/>
      <c r="H12" s="191"/>
      <c r="I12" s="191"/>
      <c r="J12" s="191"/>
    </row>
    <row r="13" spans="2:10" s="25" customFormat="1" ht="24.75" customHeight="1">
      <c r="B13" s="191" t="s">
        <v>52</v>
      </c>
      <c r="C13" s="191"/>
      <c r="D13" s="191"/>
      <c r="E13" s="191"/>
      <c r="F13" s="191"/>
      <c r="G13" s="191"/>
      <c r="H13" s="191"/>
      <c r="I13" s="191"/>
      <c r="J13" s="191"/>
    </row>
    <row r="14" spans="2:10" s="25" customFormat="1" ht="25.5" customHeight="1">
      <c r="B14" s="192" t="s">
        <v>53</v>
      </c>
      <c r="C14" s="193"/>
      <c r="D14" s="193"/>
      <c r="E14" s="193"/>
      <c r="F14" s="193"/>
      <c r="G14" s="193"/>
      <c r="H14" s="193"/>
      <c r="I14" s="193"/>
      <c r="J14" s="194"/>
    </row>
    <row r="15" spans="2:13" s="25" customFormat="1" ht="12.75">
      <c r="B15" s="195" t="s">
        <v>54</v>
      </c>
      <c r="C15" s="198" t="s">
        <v>55</v>
      </c>
      <c r="D15" s="201" t="s">
        <v>56</v>
      </c>
      <c r="E15" s="201" t="s">
        <v>57</v>
      </c>
      <c r="F15" s="35">
        <f>F16+F17</f>
        <v>23731.8</v>
      </c>
      <c r="G15" s="35">
        <f>G16+G17</f>
        <v>7910.6</v>
      </c>
      <c r="H15" s="35">
        <f>H16+H17</f>
        <v>7910.6</v>
      </c>
      <c r="I15" s="35">
        <f>I16+I17</f>
        <v>7910.6</v>
      </c>
      <c r="J15" s="33" t="s">
        <v>32</v>
      </c>
      <c r="M15" s="36"/>
    </row>
    <row r="16" spans="2:13" s="25" customFormat="1" ht="38.25">
      <c r="B16" s="196"/>
      <c r="C16" s="199"/>
      <c r="D16" s="202"/>
      <c r="E16" s="202"/>
      <c r="F16" s="35">
        <f>G16+H16+I16</f>
        <v>23002.7</v>
      </c>
      <c r="G16" s="35">
        <f>7910.6-729.1</f>
        <v>7181.5</v>
      </c>
      <c r="H16" s="35">
        <v>7910.6</v>
      </c>
      <c r="I16" s="35">
        <v>7910.6</v>
      </c>
      <c r="J16" s="33" t="s">
        <v>58</v>
      </c>
      <c r="M16" s="36"/>
    </row>
    <row r="17" spans="2:13" s="25" customFormat="1" ht="25.5">
      <c r="B17" s="197"/>
      <c r="C17" s="200"/>
      <c r="D17" s="203"/>
      <c r="E17" s="203"/>
      <c r="F17" s="35">
        <f>G17+H17+I17</f>
        <v>729.1</v>
      </c>
      <c r="G17" s="35">
        <v>729.1</v>
      </c>
      <c r="H17" s="35">
        <v>0</v>
      </c>
      <c r="I17" s="35">
        <v>0</v>
      </c>
      <c r="J17" s="33" t="s">
        <v>59</v>
      </c>
      <c r="M17" s="36"/>
    </row>
    <row r="18" spans="2:13" s="25" customFormat="1" ht="42.75" customHeight="1">
      <c r="B18" s="37" t="s">
        <v>60</v>
      </c>
      <c r="C18" s="34" t="s">
        <v>61</v>
      </c>
      <c r="D18" s="33" t="s">
        <v>56</v>
      </c>
      <c r="E18" s="33" t="s">
        <v>57</v>
      </c>
      <c r="F18" s="35">
        <f aca="true" t="shared" si="0" ref="F18:F24">G18+H18+I18</f>
        <v>769.8000000000001</v>
      </c>
      <c r="G18" s="35">
        <v>256.6</v>
      </c>
      <c r="H18" s="35">
        <v>256.6</v>
      </c>
      <c r="I18" s="35">
        <v>256.6</v>
      </c>
      <c r="J18" s="33" t="s">
        <v>58</v>
      </c>
      <c r="M18" s="36"/>
    </row>
    <row r="19" spans="2:13" s="25" customFormat="1" ht="12.75">
      <c r="B19" s="195" t="s">
        <v>62</v>
      </c>
      <c r="C19" s="198" t="s">
        <v>63</v>
      </c>
      <c r="D19" s="201" t="s">
        <v>56</v>
      </c>
      <c r="E19" s="201" t="s">
        <v>57</v>
      </c>
      <c r="F19" s="35">
        <f>G19+H19+I19</f>
        <v>2191.2</v>
      </c>
      <c r="G19" s="35">
        <f>G20+G21</f>
        <v>792</v>
      </c>
      <c r="H19" s="35">
        <f>H20+H21</f>
        <v>699.6</v>
      </c>
      <c r="I19" s="35">
        <f>I20+I21</f>
        <v>699.6</v>
      </c>
      <c r="J19" s="33" t="s">
        <v>32</v>
      </c>
      <c r="M19" s="36"/>
    </row>
    <row r="20" spans="2:13" s="25" customFormat="1" ht="38.25">
      <c r="B20" s="196"/>
      <c r="C20" s="199"/>
      <c r="D20" s="202"/>
      <c r="E20" s="202"/>
      <c r="F20" s="35">
        <f>G20+H20+I20</f>
        <v>1565</v>
      </c>
      <c r="G20" s="35">
        <f>699.6-G21+92.4</f>
        <v>165.79999999999998</v>
      </c>
      <c r="H20" s="35">
        <v>699.6</v>
      </c>
      <c r="I20" s="35">
        <v>699.6</v>
      </c>
      <c r="J20" s="33" t="s">
        <v>58</v>
      </c>
      <c r="K20" s="36"/>
      <c r="M20" s="36"/>
    </row>
    <row r="21" spans="2:13" s="25" customFormat="1" ht="63.75">
      <c r="B21" s="197"/>
      <c r="C21" s="200"/>
      <c r="D21" s="203"/>
      <c r="E21" s="203"/>
      <c r="F21" s="35">
        <f>G21+H21+I21</f>
        <v>626.2</v>
      </c>
      <c r="G21" s="35">
        <v>626.2</v>
      </c>
      <c r="H21" s="35">
        <v>0</v>
      </c>
      <c r="I21" s="35">
        <v>0</v>
      </c>
      <c r="J21" s="33" t="s">
        <v>64</v>
      </c>
      <c r="M21" s="36"/>
    </row>
    <row r="22" spans="2:13" s="25" customFormat="1" ht="42.75" customHeight="1">
      <c r="B22" s="37" t="s">
        <v>65</v>
      </c>
      <c r="C22" s="34" t="s">
        <v>66</v>
      </c>
      <c r="D22" s="33" t="s">
        <v>56</v>
      </c>
      <c r="E22" s="33" t="s">
        <v>57</v>
      </c>
      <c r="F22" s="35">
        <f t="shared" si="0"/>
        <v>948.9</v>
      </c>
      <c r="G22" s="35">
        <v>505.1</v>
      </c>
      <c r="H22" s="35">
        <v>221.9</v>
      </c>
      <c r="I22" s="35">
        <v>221.9</v>
      </c>
      <c r="J22" s="33" t="s">
        <v>58</v>
      </c>
      <c r="M22" s="36"/>
    </row>
    <row r="23" spans="2:13" s="25" customFormat="1" ht="42.75" customHeight="1">
      <c r="B23" s="37" t="s">
        <v>67</v>
      </c>
      <c r="C23" s="34" t="s">
        <v>68</v>
      </c>
      <c r="D23" s="33" t="s">
        <v>56</v>
      </c>
      <c r="E23" s="33" t="s">
        <v>57</v>
      </c>
      <c r="F23" s="35">
        <f t="shared" si="0"/>
        <v>3162.2999999999997</v>
      </c>
      <c r="G23" s="35">
        <v>1054.1</v>
      </c>
      <c r="H23" s="35">
        <v>1054.1</v>
      </c>
      <c r="I23" s="35">
        <v>1054.1</v>
      </c>
      <c r="J23" s="33" t="s">
        <v>58</v>
      </c>
      <c r="M23" s="36"/>
    </row>
    <row r="24" spans="2:13" s="25" customFormat="1" ht="42.75" customHeight="1">
      <c r="B24" s="37" t="s">
        <v>69</v>
      </c>
      <c r="C24" s="34" t="s">
        <v>70</v>
      </c>
      <c r="D24" s="33" t="s">
        <v>56</v>
      </c>
      <c r="E24" s="33" t="s">
        <v>57</v>
      </c>
      <c r="F24" s="35">
        <f t="shared" si="0"/>
        <v>105</v>
      </c>
      <c r="G24" s="35">
        <v>35</v>
      </c>
      <c r="H24" s="35">
        <v>35</v>
      </c>
      <c r="I24" s="35">
        <v>35</v>
      </c>
      <c r="J24" s="33" t="s">
        <v>58</v>
      </c>
      <c r="M24" s="36"/>
    </row>
    <row r="25" spans="2:13" s="25" customFormat="1" ht="42.75" customHeight="1">
      <c r="B25" s="37" t="s">
        <v>71</v>
      </c>
      <c r="C25" s="34" t="s">
        <v>72</v>
      </c>
      <c r="D25" s="33" t="s">
        <v>56</v>
      </c>
      <c r="E25" s="33" t="s">
        <v>57</v>
      </c>
      <c r="F25" s="190" t="s">
        <v>73</v>
      </c>
      <c r="G25" s="190"/>
      <c r="H25" s="190"/>
      <c r="I25" s="190"/>
      <c r="J25" s="190"/>
      <c r="M25" s="36"/>
    </row>
    <row r="26" spans="2:13" s="25" customFormat="1" ht="18.75" customHeight="1">
      <c r="B26" s="201"/>
      <c r="C26" s="198" t="s">
        <v>74</v>
      </c>
      <c r="D26" s="201" t="s">
        <v>56</v>
      </c>
      <c r="E26" s="201" t="s">
        <v>57</v>
      </c>
      <c r="F26" s="35">
        <f>G26+H26+I26</f>
        <v>30909.000000000007</v>
      </c>
      <c r="G26" s="35">
        <f>G27+G28</f>
        <v>10553.400000000001</v>
      </c>
      <c r="H26" s="35">
        <f>H27+H28</f>
        <v>10177.800000000001</v>
      </c>
      <c r="I26" s="35">
        <f>I27+I28</f>
        <v>10177.800000000001</v>
      </c>
      <c r="J26" s="33" t="s">
        <v>32</v>
      </c>
      <c r="L26" s="38"/>
      <c r="M26" s="36"/>
    </row>
    <row r="27" spans="2:13" s="25" customFormat="1" ht="42" customHeight="1">
      <c r="B27" s="202"/>
      <c r="C27" s="199"/>
      <c r="D27" s="202"/>
      <c r="E27" s="202"/>
      <c r="F27" s="35">
        <f>G27+H27+I27</f>
        <v>29553.700000000004</v>
      </c>
      <c r="G27" s="35">
        <f>G16+G18+G20+G22+G23+G24</f>
        <v>9198.1</v>
      </c>
      <c r="H27" s="35">
        <f>H16+H18+H20+H22+H23+H24</f>
        <v>10177.800000000001</v>
      </c>
      <c r="I27" s="35">
        <f>I16+I18+I20+I22+I23+I24</f>
        <v>10177.800000000001</v>
      </c>
      <c r="J27" s="33" t="s">
        <v>58</v>
      </c>
      <c r="L27" s="38"/>
      <c r="M27" s="36"/>
    </row>
    <row r="28" spans="2:13" s="25" customFormat="1" ht="25.5">
      <c r="B28" s="203"/>
      <c r="C28" s="200"/>
      <c r="D28" s="203"/>
      <c r="E28" s="203"/>
      <c r="F28" s="35">
        <f>G28+H28+I28</f>
        <v>1355.3000000000002</v>
      </c>
      <c r="G28" s="35">
        <f>G17+G21</f>
        <v>1355.3000000000002</v>
      </c>
      <c r="H28" s="35">
        <f>H17+H21</f>
        <v>0</v>
      </c>
      <c r="I28" s="35">
        <f>I17+I21</f>
        <v>0</v>
      </c>
      <c r="J28" s="33" t="s">
        <v>59</v>
      </c>
      <c r="L28" s="38"/>
      <c r="M28" s="36"/>
    </row>
    <row r="29" spans="2:13" ht="26.25" customHeight="1">
      <c r="B29" s="191" t="s">
        <v>75</v>
      </c>
      <c r="C29" s="191"/>
      <c r="D29" s="191"/>
      <c r="E29" s="191"/>
      <c r="F29" s="191"/>
      <c r="G29" s="191"/>
      <c r="H29" s="191"/>
      <c r="I29" s="191"/>
      <c r="J29" s="191"/>
      <c r="M29" s="36"/>
    </row>
    <row r="30" spans="2:13" ht="49.5" customHeight="1">
      <c r="B30" s="37" t="s">
        <v>76</v>
      </c>
      <c r="C30" s="34" t="s">
        <v>77</v>
      </c>
      <c r="D30" s="33" t="s">
        <v>78</v>
      </c>
      <c r="E30" s="33" t="s">
        <v>57</v>
      </c>
      <c r="F30" s="35">
        <f>G30+H30+I30</f>
        <v>25572.899999999998</v>
      </c>
      <c r="G30" s="35">
        <v>8524.3</v>
      </c>
      <c r="H30" s="35">
        <v>8524.3</v>
      </c>
      <c r="I30" s="35">
        <v>8524.3</v>
      </c>
      <c r="J30" s="33" t="s">
        <v>58</v>
      </c>
      <c r="M30" s="36"/>
    </row>
    <row r="31" spans="2:13" ht="49.5" customHeight="1">
      <c r="B31" s="33"/>
      <c r="C31" s="34" t="s">
        <v>79</v>
      </c>
      <c r="D31" s="33" t="s">
        <v>78</v>
      </c>
      <c r="E31" s="33"/>
      <c r="F31" s="35">
        <f>G31+H31+I31</f>
        <v>25572.899999999998</v>
      </c>
      <c r="G31" s="35">
        <f>G30</f>
        <v>8524.3</v>
      </c>
      <c r="H31" s="35">
        <f>H30</f>
        <v>8524.3</v>
      </c>
      <c r="I31" s="35">
        <f>I30</f>
        <v>8524.3</v>
      </c>
      <c r="J31" s="33" t="s">
        <v>58</v>
      </c>
      <c r="M31" s="36"/>
    </row>
    <row r="32" spans="2:13" ht="12.75" customHeight="1">
      <c r="B32" s="204"/>
      <c r="C32" s="198" t="s">
        <v>80</v>
      </c>
      <c r="D32" s="207"/>
      <c r="E32" s="201" t="s">
        <v>57</v>
      </c>
      <c r="F32" s="35">
        <f>G32+H32+I32</f>
        <v>56481.9</v>
      </c>
      <c r="G32" s="35">
        <f>G33+G34</f>
        <v>19077.7</v>
      </c>
      <c r="H32" s="35">
        <f>H33+H34</f>
        <v>18702.1</v>
      </c>
      <c r="I32" s="35">
        <f>I33+I34</f>
        <v>18702.1</v>
      </c>
      <c r="J32" s="33" t="s">
        <v>32</v>
      </c>
      <c r="L32" s="40"/>
      <c r="M32" s="36"/>
    </row>
    <row r="33" spans="2:13" ht="38.25" customHeight="1">
      <c r="B33" s="205"/>
      <c r="C33" s="199"/>
      <c r="D33" s="208"/>
      <c r="E33" s="202"/>
      <c r="F33" s="35">
        <f>G33+H33+I33</f>
        <v>55126.6</v>
      </c>
      <c r="G33" s="35">
        <f>G31+G27</f>
        <v>17722.4</v>
      </c>
      <c r="H33" s="35">
        <f>H31+H27</f>
        <v>18702.1</v>
      </c>
      <c r="I33" s="35">
        <f>I31+I27</f>
        <v>18702.1</v>
      </c>
      <c r="J33" s="33" t="s">
        <v>58</v>
      </c>
      <c r="L33" s="40"/>
      <c r="M33" s="36"/>
    </row>
    <row r="34" spans="2:13" ht="26.25" customHeight="1">
      <c r="B34" s="206"/>
      <c r="C34" s="200"/>
      <c r="D34" s="209"/>
      <c r="E34" s="203"/>
      <c r="F34" s="35">
        <f>G34+H34+I34</f>
        <v>1355.3000000000002</v>
      </c>
      <c r="G34" s="35">
        <f>G28</f>
        <v>1355.3000000000002</v>
      </c>
      <c r="H34" s="35">
        <f>H28</f>
        <v>0</v>
      </c>
      <c r="I34" s="35">
        <f>I28</f>
        <v>0</v>
      </c>
      <c r="J34" s="33" t="s">
        <v>59</v>
      </c>
      <c r="L34" s="40"/>
      <c r="M34" s="36"/>
    </row>
    <row r="35" spans="2:13" ht="24.75" customHeight="1">
      <c r="B35" s="192" t="s">
        <v>81</v>
      </c>
      <c r="C35" s="193"/>
      <c r="D35" s="193"/>
      <c r="E35" s="193"/>
      <c r="F35" s="193"/>
      <c r="G35" s="193"/>
      <c r="H35" s="193"/>
      <c r="I35" s="193"/>
      <c r="J35" s="194"/>
      <c r="M35" s="36"/>
    </row>
    <row r="36" spans="2:13" ht="27" customHeight="1">
      <c r="B36" s="192" t="s">
        <v>82</v>
      </c>
      <c r="C36" s="193"/>
      <c r="D36" s="193"/>
      <c r="E36" s="193"/>
      <c r="F36" s="193"/>
      <c r="G36" s="193"/>
      <c r="H36" s="193"/>
      <c r="I36" s="193"/>
      <c r="J36" s="194"/>
      <c r="M36" s="36"/>
    </row>
    <row r="37" spans="2:13" ht="25.5" customHeight="1">
      <c r="B37" s="33" t="s">
        <v>83</v>
      </c>
      <c r="C37" s="34" t="s">
        <v>84</v>
      </c>
      <c r="D37" s="33" t="s">
        <v>85</v>
      </c>
      <c r="E37" s="33" t="s">
        <v>57</v>
      </c>
      <c r="F37" s="35">
        <f>G37+H37+I37</f>
        <v>50</v>
      </c>
      <c r="G37" s="35">
        <v>50</v>
      </c>
      <c r="H37" s="35">
        <v>0</v>
      </c>
      <c r="I37" s="35">
        <v>0</v>
      </c>
      <c r="J37" s="33" t="s">
        <v>59</v>
      </c>
      <c r="M37" s="36"/>
    </row>
    <row r="38" spans="2:13" ht="26.25" customHeight="1">
      <c r="B38" s="41"/>
      <c r="C38" s="34" t="s">
        <v>86</v>
      </c>
      <c r="D38" s="33" t="s">
        <v>85</v>
      </c>
      <c r="E38" s="33" t="s">
        <v>57</v>
      </c>
      <c r="F38" s="35">
        <f aca="true" t="shared" si="1" ref="F38:I39">F37</f>
        <v>50</v>
      </c>
      <c r="G38" s="35">
        <f t="shared" si="1"/>
        <v>50</v>
      </c>
      <c r="H38" s="35">
        <f t="shared" si="1"/>
        <v>0</v>
      </c>
      <c r="I38" s="35">
        <f t="shared" si="1"/>
        <v>0</v>
      </c>
      <c r="J38" s="33" t="s">
        <v>59</v>
      </c>
      <c r="M38" s="36"/>
    </row>
    <row r="39" spans="2:13" ht="27" customHeight="1">
      <c r="B39" s="41"/>
      <c r="C39" s="34" t="s">
        <v>87</v>
      </c>
      <c r="D39" s="33" t="s">
        <v>85</v>
      </c>
      <c r="E39" s="33" t="s">
        <v>57</v>
      </c>
      <c r="F39" s="35">
        <f t="shared" si="1"/>
        <v>50</v>
      </c>
      <c r="G39" s="35">
        <f t="shared" si="1"/>
        <v>50</v>
      </c>
      <c r="H39" s="35">
        <f t="shared" si="1"/>
        <v>0</v>
      </c>
      <c r="I39" s="35">
        <f t="shared" si="1"/>
        <v>0</v>
      </c>
      <c r="J39" s="33" t="s">
        <v>59</v>
      </c>
      <c r="M39" s="36"/>
    </row>
    <row r="40" spans="2:13" ht="27" customHeight="1">
      <c r="B40" s="192" t="s">
        <v>88</v>
      </c>
      <c r="C40" s="193"/>
      <c r="D40" s="193"/>
      <c r="E40" s="193"/>
      <c r="F40" s="193"/>
      <c r="G40" s="193"/>
      <c r="H40" s="193"/>
      <c r="I40" s="193"/>
      <c r="J40" s="194"/>
      <c r="M40" s="36"/>
    </row>
    <row r="41" spans="2:13" ht="26.25" customHeight="1">
      <c r="B41" s="192" t="s">
        <v>89</v>
      </c>
      <c r="C41" s="193"/>
      <c r="D41" s="193"/>
      <c r="E41" s="193"/>
      <c r="F41" s="193"/>
      <c r="G41" s="193"/>
      <c r="H41" s="193"/>
      <c r="I41" s="193"/>
      <c r="J41" s="194"/>
      <c r="M41" s="36"/>
    </row>
    <row r="42" spans="2:13" ht="27.75" customHeight="1">
      <c r="B42" s="191" t="s">
        <v>90</v>
      </c>
      <c r="C42" s="191"/>
      <c r="D42" s="191"/>
      <c r="E42" s="191"/>
      <c r="F42" s="191"/>
      <c r="G42" s="191"/>
      <c r="H42" s="191"/>
      <c r="I42" s="191"/>
      <c r="J42" s="191"/>
      <c r="M42" s="36"/>
    </row>
    <row r="43" spans="2:13" ht="38.25">
      <c r="B43" s="37" t="s">
        <v>91</v>
      </c>
      <c r="C43" s="34" t="s">
        <v>92</v>
      </c>
      <c r="D43" s="33" t="s">
        <v>93</v>
      </c>
      <c r="E43" s="33" t="s">
        <v>57</v>
      </c>
      <c r="F43" s="190" t="s">
        <v>73</v>
      </c>
      <c r="G43" s="190"/>
      <c r="H43" s="190"/>
      <c r="I43" s="190"/>
      <c r="J43" s="190"/>
      <c r="M43" s="36"/>
    </row>
    <row r="44" spans="2:13" ht="38.25">
      <c r="B44" s="37" t="s">
        <v>94</v>
      </c>
      <c r="C44" s="34" t="s">
        <v>95</v>
      </c>
      <c r="D44" s="33" t="s">
        <v>93</v>
      </c>
      <c r="E44" s="33" t="s">
        <v>57</v>
      </c>
      <c r="F44" s="35">
        <f>G44+H44+I44</f>
        <v>20</v>
      </c>
      <c r="G44" s="35">
        <v>10</v>
      </c>
      <c r="H44" s="35">
        <v>0</v>
      </c>
      <c r="I44" s="35">
        <v>10</v>
      </c>
      <c r="J44" s="33" t="s">
        <v>58</v>
      </c>
      <c r="M44" s="36"/>
    </row>
    <row r="45" spans="2:13" ht="38.25">
      <c r="B45" s="37" t="s">
        <v>96</v>
      </c>
      <c r="C45" s="34" t="s">
        <v>97</v>
      </c>
      <c r="D45" s="33" t="s">
        <v>93</v>
      </c>
      <c r="E45" s="33" t="s">
        <v>57</v>
      </c>
      <c r="F45" s="35">
        <f>G45+H45+I45</f>
        <v>40</v>
      </c>
      <c r="G45" s="35">
        <v>0</v>
      </c>
      <c r="H45" s="35">
        <v>40</v>
      </c>
      <c r="I45" s="35">
        <v>0</v>
      </c>
      <c r="J45" s="33" t="s">
        <v>98</v>
      </c>
      <c r="M45" s="36"/>
    </row>
    <row r="46" spans="2:13" ht="51">
      <c r="B46" s="37" t="s">
        <v>99</v>
      </c>
      <c r="C46" s="34" t="s">
        <v>100</v>
      </c>
      <c r="D46" s="33" t="s">
        <v>93</v>
      </c>
      <c r="E46" s="33" t="s">
        <v>57</v>
      </c>
      <c r="F46" s="35">
        <f>G46+H46+I46</f>
        <v>8908.5</v>
      </c>
      <c r="G46" s="35">
        <v>2969.5</v>
      </c>
      <c r="H46" s="35">
        <v>2969.5</v>
      </c>
      <c r="I46" s="35">
        <v>2969.5</v>
      </c>
      <c r="J46" s="33" t="s">
        <v>101</v>
      </c>
      <c r="M46" s="36"/>
    </row>
    <row r="47" spans="2:13" ht="12.75">
      <c r="B47" s="190"/>
      <c r="C47" s="198" t="s">
        <v>102</v>
      </c>
      <c r="D47" s="190" t="s">
        <v>93</v>
      </c>
      <c r="E47" s="190" t="s">
        <v>57</v>
      </c>
      <c r="F47" s="35">
        <f>F46+F45+F44</f>
        <v>8968.5</v>
      </c>
      <c r="G47" s="35">
        <f>G46+G45+G44</f>
        <v>2979.5</v>
      </c>
      <c r="H47" s="35">
        <f>H46+H45+H44</f>
        <v>3009.5</v>
      </c>
      <c r="I47" s="35">
        <f>I46+I45+I44</f>
        <v>2979.5</v>
      </c>
      <c r="J47" s="33" t="s">
        <v>32</v>
      </c>
      <c r="L47" s="40"/>
      <c r="M47" s="36"/>
    </row>
    <row r="48" spans="2:13" ht="38.25">
      <c r="B48" s="190"/>
      <c r="C48" s="199"/>
      <c r="D48" s="190"/>
      <c r="E48" s="190"/>
      <c r="F48" s="35">
        <f>F44+F45</f>
        <v>60</v>
      </c>
      <c r="G48" s="35">
        <f>G44+G45</f>
        <v>10</v>
      </c>
      <c r="H48" s="35">
        <f>H44+H45</f>
        <v>40</v>
      </c>
      <c r="I48" s="35">
        <f>I44+I45</f>
        <v>10</v>
      </c>
      <c r="J48" s="33" t="s">
        <v>58</v>
      </c>
      <c r="L48" s="40"/>
      <c r="M48" s="36"/>
    </row>
    <row r="49" spans="2:13" ht="25.5">
      <c r="B49" s="190"/>
      <c r="C49" s="200"/>
      <c r="D49" s="190"/>
      <c r="E49" s="190"/>
      <c r="F49" s="35">
        <f>F46</f>
        <v>8908.5</v>
      </c>
      <c r="G49" s="35">
        <f>G46</f>
        <v>2969.5</v>
      </c>
      <c r="H49" s="35">
        <f>H46</f>
        <v>2969.5</v>
      </c>
      <c r="I49" s="35">
        <f>I46</f>
        <v>2969.5</v>
      </c>
      <c r="J49" s="33" t="s">
        <v>101</v>
      </c>
      <c r="L49" s="40"/>
      <c r="M49" s="36"/>
    </row>
    <row r="50" spans="2:13" ht="28.5" customHeight="1">
      <c r="B50" s="191" t="s">
        <v>103</v>
      </c>
      <c r="C50" s="191"/>
      <c r="D50" s="191"/>
      <c r="E50" s="191"/>
      <c r="F50" s="191"/>
      <c r="G50" s="191"/>
      <c r="H50" s="191"/>
      <c r="I50" s="191"/>
      <c r="J50" s="191"/>
      <c r="M50" s="36"/>
    </row>
    <row r="51" spans="2:13" ht="31.5" customHeight="1">
      <c r="B51" s="37" t="s">
        <v>104</v>
      </c>
      <c r="C51" s="34" t="s">
        <v>105</v>
      </c>
      <c r="D51" s="33" t="s">
        <v>93</v>
      </c>
      <c r="E51" s="33" t="s">
        <v>57</v>
      </c>
      <c r="F51" s="190" t="s">
        <v>73</v>
      </c>
      <c r="G51" s="190"/>
      <c r="H51" s="190"/>
      <c r="I51" s="190"/>
      <c r="J51" s="190"/>
      <c r="M51" s="36"/>
    </row>
    <row r="52" spans="2:13" ht="51">
      <c r="B52" s="37" t="s">
        <v>106</v>
      </c>
      <c r="C52" s="34" t="s">
        <v>107</v>
      </c>
      <c r="D52" s="33" t="s">
        <v>93</v>
      </c>
      <c r="E52" s="33" t="s">
        <v>57</v>
      </c>
      <c r="F52" s="190" t="s">
        <v>73</v>
      </c>
      <c r="G52" s="190"/>
      <c r="H52" s="190"/>
      <c r="I52" s="190"/>
      <c r="J52" s="190"/>
      <c r="M52" s="36"/>
    </row>
    <row r="53" spans="2:13" ht="15.75" customHeight="1">
      <c r="B53" s="210"/>
      <c r="C53" s="191" t="s">
        <v>108</v>
      </c>
      <c r="D53" s="190" t="s">
        <v>93</v>
      </c>
      <c r="E53" s="190" t="s">
        <v>57</v>
      </c>
      <c r="F53" s="35">
        <f>F47</f>
        <v>8968.5</v>
      </c>
      <c r="G53" s="35">
        <f>G47</f>
        <v>2979.5</v>
      </c>
      <c r="H53" s="35">
        <f>H47</f>
        <v>3009.5</v>
      </c>
      <c r="I53" s="35">
        <f>I47</f>
        <v>2979.5</v>
      </c>
      <c r="J53" s="33" t="s">
        <v>32</v>
      </c>
      <c r="M53" s="36"/>
    </row>
    <row r="54" spans="2:13" ht="42" customHeight="1">
      <c r="B54" s="210"/>
      <c r="C54" s="191"/>
      <c r="D54" s="190"/>
      <c r="E54" s="190"/>
      <c r="F54" s="35">
        <f aca="true" t="shared" si="2" ref="F54:I55">F48</f>
        <v>60</v>
      </c>
      <c r="G54" s="35">
        <f t="shared" si="2"/>
        <v>10</v>
      </c>
      <c r="H54" s="35">
        <f t="shared" si="2"/>
        <v>40</v>
      </c>
      <c r="I54" s="35">
        <f t="shared" si="2"/>
        <v>10</v>
      </c>
      <c r="J54" s="33" t="s">
        <v>58</v>
      </c>
      <c r="M54" s="36"/>
    </row>
    <row r="55" spans="2:13" ht="25.5">
      <c r="B55" s="210"/>
      <c r="C55" s="191"/>
      <c r="D55" s="190"/>
      <c r="E55" s="190"/>
      <c r="F55" s="35">
        <f t="shared" si="2"/>
        <v>8908.5</v>
      </c>
      <c r="G55" s="35">
        <f t="shared" si="2"/>
        <v>2969.5</v>
      </c>
      <c r="H55" s="35">
        <f t="shared" si="2"/>
        <v>2969.5</v>
      </c>
      <c r="I55" s="35">
        <f t="shared" si="2"/>
        <v>2969.5</v>
      </c>
      <c r="J55" s="33" t="s">
        <v>101</v>
      </c>
      <c r="M55" s="36"/>
    </row>
    <row r="56" spans="2:22" ht="34.5" customHeight="1">
      <c r="B56" s="211"/>
      <c r="C56" s="191" t="s">
        <v>109</v>
      </c>
      <c r="D56" s="210"/>
      <c r="E56" s="190" t="s">
        <v>57</v>
      </c>
      <c r="F56" s="35">
        <f>F32+F39+F53</f>
        <v>65500.4</v>
      </c>
      <c r="G56" s="35">
        <f>G32+G39+G53</f>
        <v>22107.2</v>
      </c>
      <c r="H56" s="35">
        <f>H32+H39+H53</f>
        <v>21711.6</v>
      </c>
      <c r="I56" s="35">
        <f>I32+I39+I53</f>
        <v>21681.6</v>
      </c>
      <c r="J56" s="33" t="s">
        <v>32</v>
      </c>
      <c r="S56" s="42"/>
      <c r="T56" s="42"/>
      <c r="U56" s="42"/>
      <c r="V56" s="42"/>
    </row>
    <row r="57" spans="2:22" ht="44.25" customHeight="1">
      <c r="B57" s="211"/>
      <c r="C57" s="191"/>
      <c r="D57" s="210"/>
      <c r="E57" s="190"/>
      <c r="F57" s="35">
        <f>F33+F54</f>
        <v>55186.6</v>
      </c>
      <c r="G57" s="35">
        <f>G33+G54</f>
        <v>17732.4</v>
      </c>
      <c r="H57" s="35">
        <f>H33+H54</f>
        <v>18742.1</v>
      </c>
      <c r="I57" s="35">
        <f>I33+I54</f>
        <v>18712.1</v>
      </c>
      <c r="J57" s="33" t="s">
        <v>58</v>
      </c>
      <c r="S57" s="42"/>
      <c r="T57" s="42"/>
      <c r="U57" s="42"/>
      <c r="V57" s="42"/>
    </row>
    <row r="58" spans="2:22" ht="31.5" customHeight="1">
      <c r="B58" s="211"/>
      <c r="C58" s="191"/>
      <c r="D58" s="210"/>
      <c r="E58" s="190"/>
      <c r="F58" s="35">
        <f>F34+F39+F55</f>
        <v>10313.8</v>
      </c>
      <c r="G58" s="35">
        <f>G34+G39+G55</f>
        <v>4374.8</v>
      </c>
      <c r="H58" s="35">
        <f>H34+H39+H55</f>
        <v>2969.5</v>
      </c>
      <c r="I58" s="35">
        <f>I34+I39+I55</f>
        <v>2969.5</v>
      </c>
      <c r="J58" s="33" t="s">
        <v>101</v>
      </c>
      <c r="S58" s="42"/>
      <c r="T58" s="42"/>
      <c r="U58" s="42"/>
      <c r="V58" s="42"/>
    </row>
    <row r="59" spans="2:13" ht="13.5" customHeight="1">
      <c r="B59" s="43"/>
      <c r="C59" s="34" t="s">
        <v>110</v>
      </c>
      <c r="D59" s="43"/>
      <c r="E59" s="43"/>
      <c r="F59" s="44"/>
      <c r="G59" s="44"/>
      <c r="H59" s="44"/>
      <c r="I59" s="44"/>
      <c r="J59" s="43"/>
      <c r="M59" s="36"/>
    </row>
    <row r="60" spans="2:13" ht="12.75">
      <c r="B60" s="210"/>
      <c r="C60" s="191" t="s">
        <v>111</v>
      </c>
      <c r="D60" s="210"/>
      <c r="E60" s="190" t="s">
        <v>57</v>
      </c>
      <c r="F60" s="35">
        <f>F47</f>
        <v>8968.5</v>
      </c>
      <c r="G60" s="35">
        <f>G47</f>
        <v>2979.5</v>
      </c>
      <c r="H60" s="35">
        <f>H47</f>
        <v>3009.5</v>
      </c>
      <c r="I60" s="35">
        <f>I47</f>
        <v>2979.5</v>
      </c>
      <c r="J60" s="33" t="s">
        <v>32</v>
      </c>
      <c r="M60" s="36"/>
    </row>
    <row r="61" spans="2:13" ht="38.25">
      <c r="B61" s="210"/>
      <c r="C61" s="191"/>
      <c r="D61" s="210"/>
      <c r="E61" s="190"/>
      <c r="F61" s="35">
        <f aca="true" t="shared" si="3" ref="F61:I62">F48</f>
        <v>60</v>
      </c>
      <c r="G61" s="35">
        <f t="shared" si="3"/>
        <v>10</v>
      </c>
      <c r="H61" s="35">
        <f t="shared" si="3"/>
        <v>40</v>
      </c>
      <c r="I61" s="35">
        <f t="shared" si="3"/>
        <v>10</v>
      </c>
      <c r="J61" s="33" t="s">
        <v>58</v>
      </c>
      <c r="M61" s="36"/>
    </row>
    <row r="62" spans="2:13" ht="25.5">
      <c r="B62" s="210"/>
      <c r="C62" s="191"/>
      <c r="D62" s="210"/>
      <c r="E62" s="190"/>
      <c r="F62" s="35">
        <f t="shared" si="3"/>
        <v>8908.5</v>
      </c>
      <c r="G62" s="35">
        <f t="shared" si="3"/>
        <v>2969.5</v>
      </c>
      <c r="H62" s="35">
        <f t="shared" si="3"/>
        <v>2969.5</v>
      </c>
      <c r="I62" s="35">
        <f>I49</f>
        <v>2969.5</v>
      </c>
      <c r="J62" s="33" t="s">
        <v>101</v>
      </c>
      <c r="M62" s="36"/>
    </row>
    <row r="63" spans="2:13" ht="12.75">
      <c r="B63" s="207"/>
      <c r="C63" s="198" t="s">
        <v>112</v>
      </c>
      <c r="D63" s="207"/>
      <c r="E63" s="201" t="s">
        <v>57</v>
      </c>
      <c r="F63" s="35">
        <f>F26</f>
        <v>30909.000000000007</v>
      </c>
      <c r="G63" s="35">
        <f>G26</f>
        <v>10553.400000000001</v>
      </c>
      <c r="H63" s="35">
        <f>H26</f>
        <v>10177.800000000001</v>
      </c>
      <c r="I63" s="35">
        <f>I26</f>
        <v>10177.800000000001</v>
      </c>
      <c r="J63" s="33" t="s">
        <v>32</v>
      </c>
      <c r="M63" s="36"/>
    </row>
    <row r="64" spans="2:13" ht="38.25">
      <c r="B64" s="208"/>
      <c r="C64" s="199"/>
      <c r="D64" s="208"/>
      <c r="E64" s="202"/>
      <c r="F64" s="35">
        <f aca="true" t="shared" si="4" ref="F64:I65">F27</f>
        <v>29553.700000000004</v>
      </c>
      <c r="G64" s="35">
        <f t="shared" si="4"/>
        <v>9198.1</v>
      </c>
      <c r="H64" s="35">
        <f t="shared" si="4"/>
        <v>10177.800000000001</v>
      </c>
      <c r="I64" s="35">
        <f t="shared" si="4"/>
        <v>10177.800000000001</v>
      </c>
      <c r="J64" s="33" t="s">
        <v>58</v>
      </c>
      <c r="M64" s="36"/>
    </row>
    <row r="65" spans="2:13" ht="25.5">
      <c r="B65" s="209"/>
      <c r="C65" s="200"/>
      <c r="D65" s="209"/>
      <c r="E65" s="203"/>
      <c r="F65" s="35">
        <f t="shared" si="4"/>
        <v>1355.3000000000002</v>
      </c>
      <c r="G65" s="35">
        <f t="shared" si="4"/>
        <v>1355.3000000000002</v>
      </c>
      <c r="H65" s="35">
        <f t="shared" si="4"/>
        <v>0</v>
      </c>
      <c r="I65" s="35">
        <f t="shared" si="4"/>
        <v>0</v>
      </c>
      <c r="J65" s="33" t="s">
        <v>101</v>
      </c>
      <c r="M65" s="36"/>
    </row>
    <row r="66" spans="2:13" ht="38.25">
      <c r="B66" s="41"/>
      <c r="C66" s="34" t="s">
        <v>113</v>
      </c>
      <c r="D66" s="41"/>
      <c r="E66" s="33" t="s">
        <v>57</v>
      </c>
      <c r="F66" s="35">
        <f>F30</f>
        <v>25572.899999999998</v>
      </c>
      <c r="G66" s="35">
        <f>G30</f>
        <v>8524.3</v>
      </c>
      <c r="H66" s="35">
        <f>H30</f>
        <v>8524.3</v>
      </c>
      <c r="I66" s="35">
        <f>I30</f>
        <v>8524.3</v>
      </c>
      <c r="J66" s="33" t="s">
        <v>58</v>
      </c>
      <c r="M66" s="36"/>
    </row>
    <row r="67" spans="2:13" ht="25.5">
      <c r="B67" s="41"/>
      <c r="C67" s="34" t="s">
        <v>114</v>
      </c>
      <c r="D67" s="41"/>
      <c r="E67" s="33" t="s">
        <v>57</v>
      </c>
      <c r="F67" s="35">
        <f>F39</f>
        <v>50</v>
      </c>
      <c r="G67" s="35">
        <f>G39</f>
        <v>50</v>
      </c>
      <c r="H67" s="35">
        <f>H39</f>
        <v>0</v>
      </c>
      <c r="I67" s="35">
        <f>I39</f>
        <v>0</v>
      </c>
      <c r="J67" s="33" t="s">
        <v>101</v>
      </c>
      <c r="M67" s="36"/>
    </row>
  </sheetData>
  <sheetProtection/>
  <mergeCells count="59"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36:J36"/>
    <mergeCell ref="B40:J40"/>
    <mergeCell ref="B41:J41"/>
    <mergeCell ref="B42:J42"/>
    <mergeCell ref="F43:J43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19:B21"/>
    <mergeCell ref="C19:C21"/>
    <mergeCell ref="D19:D21"/>
    <mergeCell ref="E19:E21"/>
    <mergeCell ref="F25:J25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93"/>
  <sheetViews>
    <sheetView zoomScale="50" zoomScaleNormal="50" zoomScalePageLayoutView="0" workbookViewId="0" topLeftCell="A11">
      <selection activeCell="AL19" sqref="AL19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32" width="3.7109375" style="1" customWidth="1"/>
    <col min="33" max="33" width="14.57421875" style="75" customWidth="1"/>
    <col min="34" max="34" width="13.421875" style="75" customWidth="1"/>
    <col min="35" max="35" width="17.7109375" style="1" customWidth="1"/>
    <col min="36" max="36" width="11.7109375" style="1" customWidth="1"/>
    <col min="37" max="37" width="11.7109375" style="1" hidden="1" customWidth="1"/>
    <col min="38" max="38" width="11.7109375" style="1" customWidth="1"/>
    <col min="39" max="39" width="11.7109375" style="1" hidden="1" customWidth="1"/>
    <col min="40" max="40" width="11.7109375" style="1" customWidth="1"/>
    <col min="41" max="41" width="11.7109375" style="1" hidden="1" customWidth="1"/>
    <col min="42" max="42" width="11.7109375" style="1" customWidth="1"/>
    <col min="43" max="43" width="11.7109375" style="1" hidden="1" customWidth="1"/>
    <col min="44" max="44" width="11.7109375" style="1" customWidth="1"/>
    <col min="45" max="45" width="11.7109375" style="1" hidden="1" customWidth="1"/>
    <col min="46" max="46" width="11.7109375" style="1" customWidth="1"/>
    <col min="47" max="47" width="11.7109375" style="1" hidden="1" customWidth="1"/>
    <col min="48" max="48" width="11.7109375" style="1" customWidth="1"/>
    <col min="49" max="49" width="11.7109375" style="1" hidden="1" customWidth="1"/>
    <col min="50" max="50" width="11.7109375" style="1" customWidth="1"/>
    <col min="51" max="51" width="11.7109375" style="1" hidden="1" customWidth="1"/>
    <col min="52" max="52" width="11.7109375" style="1" customWidth="1"/>
    <col min="53" max="53" width="11.7109375" style="1" hidden="1" customWidth="1"/>
    <col min="54" max="54" width="11.7109375" style="1" customWidth="1"/>
    <col min="55" max="55" width="11.7109375" style="1" hidden="1" customWidth="1"/>
    <col min="56" max="56" width="11.7109375" style="1" customWidth="1"/>
    <col min="57" max="57" width="11.7109375" style="1" hidden="1" customWidth="1"/>
    <col min="58" max="58" width="11.7109375" style="1" customWidth="1"/>
    <col min="59" max="60" width="9.140625" style="1" customWidth="1"/>
    <col min="61" max="61" width="9.8515625" style="1" bestFit="1" customWidth="1"/>
    <col min="62" max="16384" width="9.140625" style="1" customWidth="1"/>
  </cols>
  <sheetData>
    <row r="1" spans="1:18" ht="26.25" customHeight="1">
      <c r="A1" s="26"/>
      <c r="F1" s="183"/>
      <c r="G1" s="183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83" t="s">
        <v>27</v>
      </c>
      <c r="O2" s="183"/>
      <c r="P2" s="183"/>
      <c r="Q2" s="183"/>
      <c r="R2" s="183"/>
    </row>
    <row r="3" spans="1:31" ht="26.25" customHeight="1">
      <c r="A3" s="23"/>
      <c r="N3" s="186" t="s">
        <v>35</v>
      </c>
      <c r="O3" s="186"/>
      <c r="P3" s="186"/>
      <c r="Q3" s="186"/>
      <c r="R3" s="186"/>
      <c r="AE3" s="8"/>
    </row>
    <row r="4" spans="1:34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  <c r="AG4" s="75"/>
      <c r="AH4" s="75"/>
    </row>
    <row r="5" spans="1:34" s="11" customFormat="1" ht="18.75" customHeight="1">
      <c r="A5" s="185" t="s">
        <v>5</v>
      </c>
      <c r="B5" s="187" t="s">
        <v>23</v>
      </c>
      <c r="C5" s="187" t="s">
        <v>19</v>
      </c>
      <c r="D5" s="187" t="s">
        <v>20</v>
      </c>
      <c r="E5" s="184" t="s">
        <v>15</v>
      </c>
      <c r="F5" s="184"/>
      <c r="G5" s="184" t="s">
        <v>0</v>
      </c>
      <c r="H5" s="184"/>
      <c r="I5" s="184" t="s">
        <v>1</v>
      </c>
      <c r="J5" s="184"/>
      <c r="K5" s="184" t="s">
        <v>2</v>
      </c>
      <c r="L5" s="184"/>
      <c r="M5" s="184" t="s">
        <v>3</v>
      </c>
      <c r="N5" s="184"/>
      <c r="O5" s="184" t="s">
        <v>4</v>
      </c>
      <c r="P5" s="184"/>
      <c r="Q5" s="184" t="s">
        <v>6</v>
      </c>
      <c r="R5" s="184"/>
      <c r="S5" s="184" t="s">
        <v>7</v>
      </c>
      <c r="T5" s="184"/>
      <c r="U5" s="184" t="s">
        <v>8</v>
      </c>
      <c r="V5" s="184"/>
      <c r="W5" s="184" t="s">
        <v>9</v>
      </c>
      <c r="X5" s="184"/>
      <c r="Y5" s="184" t="s">
        <v>10</v>
      </c>
      <c r="Z5" s="184"/>
      <c r="AA5" s="184" t="s">
        <v>11</v>
      </c>
      <c r="AB5" s="184"/>
      <c r="AC5" s="184" t="s">
        <v>12</v>
      </c>
      <c r="AD5" s="184"/>
      <c r="AE5" s="185" t="s">
        <v>21</v>
      </c>
      <c r="AG5" s="76"/>
      <c r="AH5" s="76"/>
    </row>
    <row r="6" spans="1:34" s="13" customFormat="1" ht="84" customHeight="1">
      <c r="A6" s="185"/>
      <c r="B6" s="188"/>
      <c r="C6" s="188"/>
      <c r="D6" s="188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85"/>
      <c r="AG6" s="76"/>
      <c r="AH6" s="76"/>
    </row>
    <row r="7" spans="1:34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G7" s="77"/>
      <c r="AH7" s="77"/>
    </row>
    <row r="8" spans="1:34" s="17" customFormat="1" ht="2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  <c r="AG8" s="78"/>
      <c r="AH8" s="78"/>
    </row>
    <row r="9" spans="1:34" s="17" customFormat="1" ht="20.2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G9" s="78"/>
      <c r="AH9" s="78"/>
    </row>
    <row r="10" spans="1:34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G10" s="79"/>
      <c r="AH10" s="79"/>
    </row>
    <row r="11" spans="1:34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  <c r="AG11" s="79"/>
      <c r="AH11" s="79"/>
    </row>
    <row r="12" spans="1:34" s="18" customFormat="1" ht="20.2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  <c r="AG12" s="79"/>
      <c r="AH12" s="79"/>
    </row>
    <row r="13" spans="1:34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  <c r="AG13" s="79"/>
      <c r="AH13" s="79"/>
    </row>
    <row r="14" spans="1:58" s="18" customFormat="1" ht="20.25">
      <c r="A14" s="5" t="s">
        <v>32</v>
      </c>
      <c r="B14" s="5">
        <f>B15+B16</f>
        <v>7910.6</v>
      </c>
      <c r="C14" s="2"/>
      <c r="D14" s="2"/>
      <c r="E14" s="2"/>
      <c r="F14" s="2"/>
      <c r="G14" s="85">
        <f>G15+G16</f>
        <v>0</v>
      </c>
      <c r="H14" s="85">
        <f aca="true" t="shared" si="0" ref="H14:AD14">H15+H16</f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85">
        <f t="shared" si="0"/>
        <v>0</v>
      </c>
      <c r="M14" s="85">
        <f t="shared" si="0"/>
        <v>0</v>
      </c>
      <c r="N14" s="85">
        <f t="shared" si="0"/>
        <v>0</v>
      </c>
      <c r="O14" s="85">
        <f t="shared" si="0"/>
        <v>0</v>
      </c>
      <c r="P14" s="85">
        <f t="shared" si="0"/>
        <v>0</v>
      </c>
      <c r="Q14" s="85">
        <f>Q15+Q16</f>
        <v>2636.9</v>
      </c>
      <c r="R14" s="85">
        <f t="shared" si="0"/>
        <v>0</v>
      </c>
      <c r="S14" s="85">
        <f t="shared" si="0"/>
        <v>2636.9</v>
      </c>
      <c r="T14" s="85">
        <f t="shared" si="0"/>
        <v>0</v>
      </c>
      <c r="U14" s="85">
        <f t="shared" si="0"/>
        <v>2636.7999999999997</v>
      </c>
      <c r="V14" s="85">
        <f t="shared" si="0"/>
        <v>0</v>
      </c>
      <c r="W14" s="85">
        <f t="shared" si="0"/>
        <v>0</v>
      </c>
      <c r="X14" s="85">
        <f t="shared" si="0"/>
        <v>0</v>
      </c>
      <c r="Y14" s="85">
        <f t="shared" si="0"/>
        <v>0</v>
      </c>
      <c r="Z14" s="85">
        <f t="shared" si="0"/>
        <v>0</v>
      </c>
      <c r="AA14" s="85">
        <f t="shared" si="0"/>
        <v>0</v>
      </c>
      <c r="AB14" s="85">
        <f t="shared" si="0"/>
        <v>0</v>
      </c>
      <c r="AC14" s="85">
        <f t="shared" si="0"/>
        <v>0</v>
      </c>
      <c r="AD14" s="2">
        <f t="shared" si="0"/>
        <v>0</v>
      </c>
      <c r="AE14" s="21"/>
      <c r="AG14" s="80">
        <f>G14+I14+K14+M14+O14+Q14+S14+U14+W14+Y14+AA14+AC14</f>
        <v>7910.6</v>
      </c>
      <c r="AH14" s="81">
        <f>B14-AG14</f>
        <v>0</v>
      </c>
      <c r="AI14" s="93">
        <f>AJ14+AL14+AN14+AP14+AR14+AT14+AV14+AX14+AZ14+BB14+BD14+BF14</f>
        <v>7910.615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2636.872</v>
      </c>
      <c r="AU14" s="18">
        <v>0</v>
      </c>
      <c r="AV14" s="18">
        <v>2636.872</v>
      </c>
      <c r="AW14" s="18">
        <v>0</v>
      </c>
      <c r="AX14" s="18">
        <v>2636.871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</row>
    <row r="15" spans="1:50" s="18" customFormat="1" ht="20.25">
      <c r="A15" s="4" t="s">
        <v>24</v>
      </c>
      <c r="B15" s="4">
        <v>729.1</v>
      </c>
      <c r="C15" s="3"/>
      <c r="D15" s="2"/>
      <c r="E15" s="2"/>
      <c r="F15" s="2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>
        <v>0</v>
      </c>
      <c r="R15" s="85"/>
      <c r="S15" s="85">
        <v>240.9</v>
      </c>
      <c r="T15" s="85"/>
      <c r="U15" s="85">
        <v>488.2</v>
      </c>
      <c r="V15" s="85"/>
      <c r="W15" s="85"/>
      <c r="X15" s="85"/>
      <c r="Y15" s="85"/>
      <c r="Z15" s="85"/>
      <c r="AA15" s="85"/>
      <c r="AB15" s="85"/>
      <c r="AC15" s="85"/>
      <c r="AD15" s="2"/>
      <c r="AE15" s="21"/>
      <c r="AG15" s="80">
        <f aca="true" t="shared" si="1" ref="AG15:AG72">G15+I15+K15+M15+O15+Q15+S15+U15+W15+Y15+AA15+AC15</f>
        <v>729.1</v>
      </c>
      <c r="AH15" s="81">
        <f aca="true" t="shared" si="2" ref="AH15:AH72">B15-AG15</f>
        <v>0</v>
      </c>
      <c r="AI15" s="93">
        <f aca="true" t="shared" si="3" ref="AI15:AI72">AJ15+AL15+AN15+AP15+AR15+AT15+AV15+AX15+AZ15+BB15+BD15+BF15</f>
        <v>729.1020000000001</v>
      </c>
      <c r="AT15" s="18">
        <v>0</v>
      </c>
      <c r="AV15" s="18">
        <v>240.87</v>
      </c>
      <c r="AX15" s="18">
        <v>488.232</v>
      </c>
    </row>
    <row r="16" spans="1:50" s="18" customFormat="1" ht="20.25">
      <c r="A16" s="4" t="s">
        <v>25</v>
      </c>
      <c r="B16" s="4">
        <v>7181.5</v>
      </c>
      <c r="C16" s="3"/>
      <c r="D16" s="2"/>
      <c r="E16" s="2"/>
      <c r="F16" s="2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>
        <v>2636.9</v>
      </c>
      <c r="R16" s="85"/>
      <c r="S16" s="85">
        <v>2396</v>
      </c>
      <c r="T16" s="85"/>
      <c r="U16" s="85">
        <v>2148.6</v>
      </c>
      <c r="V16" s="85"/>
      <c r="W16" s="85"/>
      <c r="X16" s="85"/>
      <c r="Y16" s="85"/>
      <c r="Z16" s="85"/>
      <c r="AA16" s="85"/>
      <c r="AB16" s="85"/>
      <c r="AC16" s="85"/>
      <c r="AD16" s="2"/>
      <c r="AE16" s="21"/>
      <c r="AG16" s="80">
        <f t="shared" si="1"/>
        <v>7181.5</v>
      </c>
      <c r="AH16" s="81">
        <f t="shared" si="2"/>
        <v>0</v>
      </c>
      <c r="AI16" s="93">
        <f t="shared" si="3"/>
        <v>7181.513</v>
      </c>
      <c r="AT16" s="18">
        <v>2636.872</v>
      </c>
      <c r="AV16" s="18">
        <v>2396.002</v>
      </c>
      <c r="AX16" s="18">
        <v>2148.639</v>
      </c>
    </row>
    <row r="17" spans="1:35" s="18" customFormat="1" ht="78.75" customHeight="1">
      <c r="A17" s="46" t="s">
        <v>118</v>
      </c>
      <c r="B17" s="22"/>
      <c r="C17" s="3"/>
      <c r="D17" s="2"/>
      <c r="E17" s="2"/>
      <c r="F17" s="2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2"/>
      <c r="AE17" s="21"/>
      <c r="AG17" s="80">
        <f t="shared" si="1"/>
        <v>0</v>
      </c>
      <c r="AH17" s="81">
        <f t="shared" si="2"/>
        <v>0</v>
      </c>
      <c r="AI17" s="93">
        <f t="shared" si="3"/>
        <v>0</v>
      </c>
    </row>
    <row r="18" spans="1:58" s="18" customFormat="1" ht="20.25">
      <c r="A18" s="5" t="s">
        <v>32</v>
      </c>
      <c r="B18" s="5">
        <f>B19</f>
        <v>256.6</v>
      </c>
      <c r="C18" s="2"/>
      <c r="D18" s="2"/>
      <c r="E18" s="2"/>
      <c r="F18" s="2"/>
      <c r="G18" s="85">
        <f>G19</f>
        <v>0</v>
      </c>
      <c r="H18" s="85">
        <f aca="true" t="shared" si="4" ref="H18:AD18">H19</f>
        <v>0</v>
      </c>
      <c r="I18" s="85">
        <f>I19</f>
        <v>28.5</v>
      </c>
      <c r="J18" s="85">
        <f t="shared" si="4"/>
        <v>0</v>
      </c>
      <c r="K18" s="85">
        <f t="shared" si="4"/>
        <v>28.5</v>
      </c>
      <c r="L18" s="85">
        <f t="shared" si="4"/>
        <v>0</v>
      </c>
      <c r="M18" s="85">
        <f t="shared" si="4"/>
        <v>28.5</v>
      </c>
      <c r="N18" s="85">
        <f t="shared" si="4"/>
        <v>0</v>
      </c>
      <c r="O18" s="85">
        <f t="shared" si="4"/>
        <v>28.5</v>
      </c>
      <c r="P18" s="85">
        <f t="shared" si="4"/>
        <v>0</v>
      </c>
      <c r="Q18" s="85">
        <f t="shared" si="4"/>
        <v>28.5</v>
      </c>
      <c r="R18" s="85">
        <f t="shared" si="4"/>
        <v>0</v>
      </c>
      <c r="S18" s="85">
        <f t="shared" si="4"/>
        <v>0</v>
      </c>
      <c r="T18" s="85">
        <f t="shared" si="4"/>
        <v>0</v>
      </c>
      <c r="U18" s="85">
        <f t="shared" si="4"/>
        <v>0</v>
      </c>
      <c r="V18" s="85">
        <f t="shared" si="4"/>
        <v>0</v>
      </c>
      <c r="W18" s="85">
        <f t="shared" si="4"/>
        <v>28.5</v>
      </c>
      <c r="X18" s="85">
        <f t="shared" si="4"/>
        <v>0</v>
      </c>
      <c r="Y18" s="85">
        <f t="shared" si="4"/>
        <v>28.5</v>
      </c>
      <c r="Z18" s="85">
        <f t="shared" si="4"/>
        <v>0</v>
      </c>
      <c r="AA18" s="85">
        <f t="shared" si="4"/>
        <v>28.5</v>
      </c>
      <c r="AB18" s="85">
        <f t="shared" si="4"/>
        <v>0</v>
      </c>
      <c r="AC18" s="85">
        <f t="shared" si="4"/>
        <v>28.5</v>
      </c>
      <c r="AD18" s="2">
        <f t="shared" si="4"/>
        <v>0</v>
      </c>
      <c r="AE18" s="21"/>
      <c r="AG18" s="80">
        <f t="shared" si="1"/>
        <v>256.5</v>
      </c>
      <c r="AH18" s="81">
        <f t="shared" si="2"/>
        <v>0.10000000000002274</v>
      </c>
      <c r="AI18" s="93">
        <f t="shared" si="3"/>
        <v>256.56100000000004</v>
      </c>
      <c r="AJ18" s="18">
        <v>0</v>
      </c>
      <c r="AK18" s="18">
        <v>0</v>
      </c>
      <c r="AL18" s="18">
        <v>28.508</v>
      </c>
      <c r="AM18" s="18">
        <v>0</v>
      </c>
      <c r="AN18" s="18">
        <v>28.508</v>
      </c>
      <c r="AO18" s="18">
        <v>0</v>
      </c>
      <c r="AP18" s="18">
        <v>28.507</v>
      </c>
      <c r="AQ18" s="18">
        <v>0</v>
      </c>
      <c r="AR18" s="18">
        <v>28.506</v>
      </c>
      <c r="AS18" s="18">
        <v>0</v>
      </c>
      <c r="AT18" s="18">
        <v>28.506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28.507</v>
      </c>
      <c r="BA18" s="18">
        <v>0</v>
      </c>
      <c r="BB18" s="18">
        <v>28.507</v>
      </c>
      <c r="BC18" s="18">
        <v>0</v>
      </c>
      <c r="BD18" s="18">
        <v>28.506</v>
      </c>
      <c r="BE18" s="18">
        <v>0</v>
      </c>
      <c r="BF18" s="18">
        <v>28.506</v>
      </c>
    </row>
    <row r="19" spans="1:58" s="18" customFormat="1" ht="20.25">
      <c r="A19" s="4" t="s">
        <v>25</v>
      </c>
      <c r="B19" s="4">
        <v>256.6</v>
      </c>
      <c r="C19" s="3"/>
      <c r="D19" s="2"/>
      <c r="E19" s="2"/>
      <c r="F19" s="2"/>
      <c r="G19" s="85"/>
      <c r="H19" s="85"/>
      <c r="I19" s="85">
        <v>28.5</v>
      </c>
      <c r="J19" s="85"/>
      <c r="K19" s="85">
        <v>28.5</v>
      </c>
      <c r="L19" s="85"/>
      <c r="M19" s="85">
        <v>28.5</v>
      </c>
      <c r="N19" s="85"/>
      <c r="O19" s="85">
        <v>28.5</v>
      </c>
      <c r="P19" s="85"/>
      <c r="Q19" s="85">
        <v>28.5</v>
      </c>
      <c r="R19" s="85"/>
      <c r="S19" s="85"/>
      <c r="T19" s="85"/>
      <c r="U19" s="85"/>
      <c r="V19" s="85"/>
      <c r="W19" s="85">
        <v>28.5</v>
      </c>
      <c r="X19" s="85"/>
      <c r="Y19" s="85">
        <v>28.5</v>
      </c>
      <c r="Z19" s="85"/>
      <c r="AA19" s="85">
        <v>28.5</v>
      </c>
      <c r="AB19" s="85"/>
      <c r="AC19" s="85">
        <v>28.5</v>
      </c>
      <c r="AD19" s="2"/>
      <c r="AE19" s="21"/>
      <c r="AG19" s="80">
        <f t="shared" si="1"/>
        <v>256.5</v>
      </c>
      <c r="AH19" s="91">
        <f t="shared" si="2"/>
        <v>0.10000000000002274</v>
      </c>
      <c r="AI19" s="93">
        <f t="shared" si="3"/>
        <v>256.56100000000004</v>
      </c>
      <c r="AL19" s="18">
        <v>28.508</v>
      </c>
      <c r="AN19" s="18">
        <v>28.508</v>
      </c>
      <c r="AP19" s="18">
        <v>28.507</v>
      </c>
      <c r="AR19" s="18">
        <v>28.506</v>
      </c>
      <c r="AT19" s="18">
        <v>28.506</v>
      </c>
      <c r="AZ19" s="18">
        <v>28.507</v>
      </c>
      <c r="BB19" s="18">
        <v>28.507</v>
      </c>
      <c r="BD19" s="18">
        <v>28.506</v>
      </c>
      <c r="BF19" s="18">
        <v>28.506</v>
      </c>
    </row>
    <row r="20" spans="1:35" s="73" customFormat="1" ht="75">
      <c r="A20" s="68" t="s">
        <v>119</v>
      </c>
      <c r="B20" s="69"/>
      <c r="C20" s="70"/>
      <c r="D20" s="71"/>
      <c r="E20" s="71"/>
      <c r="F20" s="71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71"/>
      <c r="AE20" s="72"/>
      <c r="AG20" s="82">
        <f t="shared" si="1"/>
        <v>0</v>
      </c>
      <c r="AH20" s="83">
        <f t="shared" si="2"/>
        <v>0</v>
      </c>
      <c r="AI20" s="93">
        <f t="shared" si="3"/>
        <v>0</v>
      </c>
    </row>
    <row r="21" spans="1:58" s="73" customFormat="1" ht="20.25">
      <c r="A21" s="74" t="s">
        <v>32</v>
      </c>
      <c r="B21" s="74">
        <f>B22+B23</f>
        <v>792</v>
      </c>
      <c r="C21" s="71"/>
      <c r="D21" s="71"/>
      <c r="E21" s="71"/>
      <c r="F21" s="71"/>
      <c r="G21" s="86">
        <f aca="true" t="shared" si="5" ref="G21:AD21">G22+G23</f>
        <v>0</v>
      </c>
      <c r="H21" s="86">
        <f t="shared" si="5"/>
        <v>0</v>
      </c>
      <c r="I21" s="86">
        <f t="shared" si="5"/>
        <v>74.419</v>
      </c>
      <c r="J21" s="86">
        <f t="shared" si="5"/>
        <v>0</v>
      </c>
      <c r="K21" s="86">
        <f t="shared" si="5"/>
        <v>65.506</v>
      </c>
      <c r="L21" s="86">
        <f t="shared" si="5"/>
        <v>0</v>
      </c>
      <c r="M21" s="86">
        <f t="shared" si="5"/>
        <v>25.915</v>
      </c>
      <c r="N21" s="86">
        <f t="shared" si="5"/>
        <v>0</v>
      </c>
      <c r="O21" s="86">
        <f t="shared" si="5"/>
        <v>125.234</v>
      </c>
      <c r="P21" s="86">
        <f t="shared" si="5"/>
        <v>0</v>
      </c>
      <c r="Q21" s="86">
        <f t="shared" si="5"/>
        <v>125.232</v>
      </c>
      <c r="R21" s="86">
        <f t="shared" si="5"/>
        <v>0</v>
      </c>
      <c r="S21" s="86">
        <f t="shared" si="5"/>
        <v>125.232</v>
      </c>
      <c r="T21" s="86">
        <f t="shared" si="5"/>
        <v>0</v>
      </c>
      <c r="U21" s="86">
        <f t="shared" si="5"/>
        <v>62.62</v>
      </c>
      <c r="V21" s="86">
        <f t="shared" si="5"/>
        <v>0</v>
      </c>
      <c r="W21" s="86">
        <f t="shared" si="5"/>
        <v>62.62</v>
      </c>
      <c r="X21" s="86">
        <f t="shared" si="5"/>
        <v>0</v>
      </c>
      <c r="Y21" s="86">
        <f t="shared" si="5"/>
        <v>62.62</v>
      </c>
      <c r="Z21" s="86">
        <f t="shared" si="5"/>
        <v>0</v>
      </c>
      <c r="AA21" s="86">
        <f t="shared" si="5"/>
        <v>62.62</v>
      </c>
      <c r="AB21" s="86">
        <f t="shared" si="5"/>
        <v>0</v>
      </c>
      <c r="AC21" s="86">
        <f t="shared" si="5"/>
        <v>0</v>
      </c>
      <c r="AD21" s="71">
        <f t="shared" si="5"/>
        <v>0</v>
      </c>
      <c r="AE21" s="72"/>
      <c r="AG21" s="82">
        <f t="shared" si="1"/>
        <v>792.018</v>
      </c>
      <c r="AH21" s="83">
        <f t="shared" si="2"/>
        <v>-0.018000000000029104</v>
      </c>
      <c r="AI21" s="93">
        <f t="shared" si="3"/>
        <v>792.018</v>
      </c>
      <c r="AJ21" s="73">
        <v>0</v>
      </c>
      <c r="AK21" s="73">
        <v>0</v>
      </c>
      <c r="AL21" s="73">
        <v>74.419</v>
      </c>
      <c r="AM21" s="73">
        <v>0</v>
      </c>
      <c r="AN21" s="73">
        <v>65.506</v>
      </c>
      <c r="AO21" s="73">
        <v>0</v>
      </c>
      <c r="AP21" s="73">
        <v>25.915</v>
      </c>
      <c r="AQ21" s="73">
        <v>0</v>
      </c>
      <c r="AR21" s="73">
        <v>125.234</v>
      </c>
      <c r="AS21" s="73">
        <v>0</v>
      </c>
      <c r="AT21" s="73">
        <v>125.232</v>
      </c>
      <c r="AU21" s="73">
        <v>0</v>
      </c>
      <c r="AV21" s="73">
        <v>125.232</v>
      </c>
      <c r="AW21" s="73">
        <v>0</v>
      </c>
      <c r="AX21" s="73">
        <v>62.62</v>
      </c>
      <c r="AY21" s="73">
        <v>0</v>
      </c>
      <c r="AZ21" s="73">
        <v>62.62</v>
      </c>
      <c r="BA21" s="73">
        <v>0</v>
      </c>
      <c r="BB21" s="73">
        <v>62.62</v>
      </c>
      <c r="BC21" s="73">
        <v>0</v>
      </c>
      <c r="BD21" s="73">
        <v>62.62</v>
      </c>
      <c r="BE21" s="73">
        <v>0</v>
      </c>
      <c r="BF21" s="73">
        <v>0</v>
      </c>
    </row>
    <row r="22" spans="1:56" s="73" customFormat="1" ht="20.25">
      <c r="A22" s="69" t="s">
        <v>24</v>
      </c>
      <c r="B22" s="69">
        <v>626.2</v>
      </c>
      <c r="C22" s="70"/>
      <c r="D22" s="71"/>
      <c r="E22" s="71"/>
      <c r="F22" s="71"/>
      <c r="G22" s="86"/>
      <c r="H22" s="86"/>
      <c r="I22" s="86">
        <v>0</v>
      </c>
      <c r="J22" s="86"/>
      <c r="K22" s="86">
        <v>0</v>
      </c>
      <c r="L22" s="86"/>
      <c r="M22" s="86">
        <v>0</v>
      </c>
      <c r="N22" s="86"/>
      <c r="O22" s="86">
        <v>125.234</v>
      </c>
      <c r="P22" s="86"/>
      <c r="Q22" s="86">
        <v>125.232</v>
      </c>
      <c r="R22" s="86"/>
      <c r="S22" s="86">
        <v>125.232</v>
      </c>
      <c r="T22" s="86"/>
      <c r="U22" s="86">
        <v>62.62</v>
      </c>
      <c r="V22" s="86"/>
      <c r="W22" s="86">
        <v>62.62</v>
      </c>
      <c r="X22" s="86"/>
      <c r="Y22" s="86">
        <v>62.62</v>
      </c>
      <c r="Z22" s="86"/>
      <c r="AA22" s="86">
        <v>62.62</v>
      </c>
      <c r="AB22" s="86"/>
      <c r="AC22" s="86"/>
      <c r="AD22" s="71"/>
      <c r="AE22" s="72"/>
      <c r="AG22" s="82">
        <f t="shared" si="1"/>
        <v>626.178</v>
      </c>
      <c r="AH22" s="83">
        <f t="shared" si="2"/>
        <v>0.022000000000048203</v>
      </c>
      <c r="AI22" s="93">
        <f t="shared" si="3"/>
        <v>626.178</v>
      </c>
      <c r="AL22" s="73">
        <v>0</v>
      </c>
      <c r="AN22" s="73">
        <v>0</v>
      </c>
      <c r="AP22" s="73">
        <v>0</v>
      </c>
      <c r="AR22" s="73">
        <v>125.234</v>
      </c>
      <c r="AT22" s="73">
        <v>125.232</v>
      </c>
      <c r="AV22" s="73">
        <v>125.232</v>
      </c>
      <c r="AX22" s="73">
        <v>62.62</v>
      </c>
      <c r="AZ22" s="73">
        <v>62.62</v>
      </c>
      <c r="BB22" s="73">
        <v>62.62</v>
      </c>
      <c r="BD22" s="73">
        <v>62.62</v>
      </c>
    </row>
    <row r="23" spans="1:56" s="73" customFormat="1" ht="20.25">
      <c r="A23" s="69" t="s">
        <v>25</v>
      </c>
      <c r="B23" s="69">
        <v>165.8</v>
      </c>
      <c r="C23" s="70"/>
      <c r="D23" s="71"/>
      <c r="E23" s="71"/>
      <c r="F23" s="71"/>
      <c r="G23" s="86"/>
      <c r="H23" s="86"/>
      <c r="I23" s="86">
        <v>74.419</v>
      </c>
      <c r="J23" s="86"/>
      <c r="K23" s="86">
        <v>65.506</v>
      </c>
      <c r="L23" s="86"/>
      <c r="M23" s="86">
        <v>25.915</v>
      </c>
      <c r="N23" s="86"/>
      <c r="O23" s="86">
        <v>0</v>
      </c>
      <c r="P23" s="86"/>
      <c r="Q23" s="86">
        <v>0</v>
      </c>
      <c r="R23" s="86"/>
      <c r="S23" s="86">
        <v>0</v>
      </c>
      <c r="T23" s="86"/>
      <c r="U23" s="86">
        <v>0</v>
      </c>
      <c r="V23" s="86"/>
      <c r="W23" s="86">
        <v>0</v>
      </c>
      <c r="X23" s="86"/>
      <c r="Y23" s="86">
        <v>0</v>
      </c>
      <c r="Z23" s="86"/>
      <c r="AA23" s="86">
        <v>0</v>
      </c>
      <c r="AB23" s="86"/>
      <c r="AC23" s="86"/>
      <c r="AD23" s="71"/>
      <c r="AE23" s="72"/>
      <c r="AG23" s="82">
        <f t="shared" si="1"/>
        <v>165.84</v>
      </c>
      <c r="AH23" s="83">
        <f t="shared" si="2"/>
        <v>-0.03999999999999204</v>
      </c>
      <c r="AI23" s="93">
        <f t="shared" si="3"/>
        <v>165.84</v>
      </c>
      <c r="AL23" s="73">
        <v>74.419</v>
      </c>
      <c r="AN23" s="73">
        <v>65.506</v>
      </c>
      <c r="AP23" s="73">
        <v>25.915</v>
      </c>
      <c r="AR23" s="73">
        <v>0</v>
      </c>
      <c r="AT23" s="73">
        <v>0</v>
      </c>
      <c r="AV23" s="73">
        <v>0</v>
      </c>
      <c r="AX23" s="73">
        <v>0</v>
      </c>
      <c r="AZ23" s="73">
        <v>0</v>
      </c>
      <c r="BB23" s="73">
        <v>0</v>
      </c>
      <c r="BD23" s="73">
        <v>0</v>
      </c>
    </row>
    <row r="24" spans="1:35" s="18" customFormat="1" ht="96" customHeight="1">
      <c r="A24" s="45" t="s">
        <v>120</v>
      </c>
      <c r="B24" s="4"/>
      <c r="C24" s="3"/>
      <c r="D24" s="2"/>
      <c r="E24" s="2"/>
      <c r="F24" s="2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2"/>
      <c r="AE24" s="21"/>
      <c r="AG24" s="80">
        <f t="shared" si="1"/>
        <v>0</v>
      </c>
      <c r="AH24" s="81">
        <f t="shared" si="2"/>
        <v>0</v>
      </c>
      <c r="AI24" s="93">
        <f t="shared" si="3"/>
        <v>0</v>
      </c>
    </row>
    <row r="25" spans="1:58" s="18" customFormat="1" ht="20.25">
      <c r="A25" s="5" t="s">
        <v>32</v>
      </c>
      <c r="B25" s="5">
        <f>B26</f>
        <v>505.1</v>
      </c>
      <c r="C25" s="2"/>
      <c r="D25" s="2"/>
      <c r="E25" s="2"/>
      <c r="F25" s="2"/>
      <c r="G25" s="85">
        <f aca="true" t="shared" si="6" ref="G25:AD25">G26</f>
        <v>0</v>
      </c>
      <c r="H25" s="85">
        <f t="shared" si="6"/>
        <v>0</v>
      </c>
      <c r="I25" s="85">
        <f t="shared" si="6"/>
        <v>291.57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33.168</v>
      </c>
      <c r="N25" s="85">
        <f t="shared" si="6"/>
        <v>0</v>
      </c>
      <c r="O25" s="85">
        <f t="shared" si="6"/>
        <v>123.152</v>
      </c>
      <c r="P25" s="85">
        <f t="shared" si="6"/>
        <v>0</v>
      </c>
      <c r="Q25" s="85">
        <f t="shared" si="6"/>
        <v>7.568</v>
      </c>
      <c r="R25" s="85">
        <f t="shared" si="6"/>
        <v>0</v>
      </c>
      <c r="S25" s="85">
        <f t="shared" si="6"/>
        <v>34.5</v>
      </c>
      <c r="T25" s="85">
        <f t="shared" si="6"/>
        <v>0</v>
      </c>
      <c r="U25" s="85">
        <f t="shared" si="6"/>
        <v>7.57</v>
      </c>
      <c r="V25" s="85">
        <f t="shared" si="6"/>
        <v>0</v>
      </c>
      <c r="W25" s="85">
        <f t="shared" si="6"/>
        <v>0</v>
      </c>
      <c r="X25" s="85">
        <f t="shared" si="6"/>
        <v>0</v>
      </c>
      <c r="Y25" s="85">
        <f t="shared" si="6"/>
        <v>7.568</v>
      </c>
      <c r="Z25" s="85">
        <f t="shared" si="6"/>
        <v>0</v>
      </c>
      <c r="AA25" s="85">
        <f t="shared" si="6"/>
        <v>0</v>
      </c>
      <c r="AB25" s="85">
        <f t="shared" si="6"/>
        <v>0</v>
      </c>
      <c r="AC25" s="85">
        <f t="shared" si="6"/>
        <v>0</v>
      </c>
      <c r="AD25" s="2">
        <f t="shared" si="6"/>
        <v>0</v>
      </c>
      <c r="AE25" s="21"/>
      <c r="AG25" s="80">
        <f t="shared" si="1"/>
        <v>505.09599999999995</v>
      </c>
      <c r="AH25" s="81">
        <f t="shared" si="2"/>
        <v>0.004000000000075943</v>
      </c>
      <c r="AI25" s="93">
        <f t="shared" si="3"/>
        <v>505.09599999999995</v>
      </c>
      <c r="AJ25" s="18">
        <v>0</v>
      </c>
      <c r="AK25" s="18">
        <v>0</v>
      </c>
      <c r="AL25" s="18">
        <v>291.57</v>
      </c>
      <c r="AM25" s="18">
        <v>0</v>
      </c>
      <c r="AN25" s="18">
        <v>0</v>
      </c>
      <c r="AO25" s="18">
        <v>0</v>
      </c>
      <c r="AP25" s="18">
        <v>33.168</v>
      </c>
      <c r="AQ25" s="18">
        <v>0</v>
      </c>
      <c r="AR25" s="18">
        <v>123.152</v>
      </c>
      <c r="AS25" s="18">
        <v>0</v>
      </c>
      <c r="AT25" s="18">
        <v>7.568</v>
      </c>
      <c r="AU25" s="18">
        <v>0</v>
      </c>
      <c r="AV25" s="18">
        <v>34.5</v>
      </c>
      <c r="AW25" s="18">
        <v>0</v>
      </c>
      <c r="AX25" s="18">
        <v>7.57</v>
      </c>
      <c r="AY25" s="18">
        <v>0</v>
      </c>
      <c r="AZ25" s="18">
        <v>0</v>
      </c>
      <c r="BA25" s="18">
        <v>0</v>
      </c>
      <c r="BB25" s="18">
        <v>7.568</v>
      </c>
      <c r="BC25" s="18">
        <v>0</v>
      </c>
      <c r="BD25" s="18">
        <v>0</v>
      </c>
      <c r="BE25" s="18">
        <v>0</v>
      </c>
      <c r="BF25" s="18">
        <v>0</v>
      </c>
    </row>
    <row r="26" spans="1:54" s="18" customFormat="1" ht="20.25">
      <c r="A26" s="4" t="s">
        <v>25</v>
      </c>
      <c r="B26" s="4">
        <v>505.1</v>
      </c>
      <c r="C26" s="3"/>
      <c r="D26" s="2"/>
      <c r="E26" s="2"/>
      <c r="F26" s="2"/>
      <c r="G26" s="85"/>
      <c r="H26" s="85"/>
      <c r="I26" s="85">
        <v>291.57</v>
      </c>
      <c r="J26" s="85"/>
      <c r="K26" s="85"/>
      <c r="L26" s="85"/>
      <c r="M26" s="85">
        <v>33.168</v>
      </c>
      <c r="N26" s="85"/>
      <c r="O26" s="85">
        <v>123.152</v>
      </c>
      <c r="P26" s="85"/>
      <c r="Q26" s="85">
        <v>7.568</v>
      </c>
      <c r="R26" s="85"/>
      <c r="S26" s="85">
        <v>34.5</v>
      </c>
      <c r="T26" s="85"/>
      <c r="U26" s="85">
        <v>7.57</v>
      </c>
      <c r="V26" s="85"/>
      <c r="W26" s="85"/>
      <c r="X26" s="85"/>
      <c r="Y26" s="85">
        <v>7.568</v>
      </c>
      <c r="Z26" s="85"/>
      <c r="AA26" s="85"/>
      <c r="AB26" s="85"/>
      <c r="AC26" s="85"/>
      <c r="AD26" s="2"/>
      <c r="AE26" s="21"/>
      <c r="AG26" s="80">
        <f t="shared" si="1"/>
        <v>505.09599999999995</v>
      </c>
      <c r="AH26" s="81">
        <f t="shared" si="2"/>
        <v>0.004000000000075943</v>
      </c>
      <c r="AI26" s="93">
        <f t="shared" si="3"/>
        <v>505.09599999999995</v>
      </c>
      <c r="AL26" s="18">
        <v>291.57</v>
      </c>
      <c r="AP26" s="18">
        <v>33.168</v>
      </c>
      <c r="AR26" s="18">
        <v>123.152</v>
      </c>
      <c r="AT26" s="18">
        <v>7.568</v>
      </c>
      <c r="AV26" s="18">
        <v>34.5</v>
      </c>
      <c r="AX26" s="18">
        <v>7.57</v>
      </c>
      <c r="BB26" s="18">
        <v>7.568</v>
      </c>
    </row>
    <row r="27" spans="1:35" s="73" customFormat="1" ht="37.5">
      <c r="A27" s="68" t="s">
        <v>121</v>
      </c>
      <c r="B27" s="69"/>
      <c r="C27" s="70"/>
      <c r="D27" s="71"/>
      <c r="E27" s="71"/>
      <c r="F27" s="71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71"/>
      <c r="AE27" s="72"/>
      <c r="AG27" s="82">
        <f t="shared" si="1"/>
        <v>0</v>
      </c>
      <c r="AH27" s="83">
        <f t="shared" si="2"/>
        <v>0</v>
      </c>
      <c r="AI27" s="93">
        <f t="shared" si="3"/>
        <v>0</v>
      </c>
    </row>
    <row r="28" spans="1:58" s="73" customFormat="1" ht="20.25">
      <c r="A28" s="74" t="s">
        <v>32</v>
      </c>
      <c r="B28" s="74">
        <f>B29</f>
        <v>1054.1</v>
      </c>
      <c r="C28" s="71"/>
      <c r="D28" s="71"/>
      <c r="E28" s="71"/>
      <c r="F28" s="71"/>
      <c r="G28" s="86">
        <f aca="true" t="shared" si="7" ref="G28:AD28">G29</f>
        <v>0</v>
      </c>
      <c r="H28" s="86">
        <f t="shared" si="7"/>
        <v>0</v>
      </c>
      <c r="I28" s="86">
        <f t="shared" si="7"/>
        <v>0</v>
      </c>
      <c r="J28" s="86">
        <f t="shared" si="7"/>
        <v>0</v>
      </c>
      <c r="K28" s="86">
        <f t="shared" si="7"/>
        <v>0</v>
      </c>
      <c r="L28" s="86">
        <f t="shared" si="7"/>
        <v>0</v>
      </c>
      <c r="M28" s="86">
        <f t="shared" si="7"/>
        <v>0</v>
      </c>
      <c r="N28" s="86">
        <f t="shared" si="7"/>
        <v>0</v>
      </c>
      <c r="O28" s="86">
        <f t="shared" si="7"/>
        <v>0</v>
      </c>
      <c r="P28" s="86">
        <f t="shared" si="7"/>
        <v>0</v>
      </c>
      <c r="Q28" s="86">
        <f t="shared" si="7"/>
        <v>351.382</v>
      </c>
      <c r="R28" s="86">
        <f t="shared" si="7"/>
        <v>0</v>
      </c>
      <c r="S28" s="86">
        <f t="shared" si="7"/>
        <v>351.381</v>
      </c>
      <c r="T28" s="86">
        <f t="shared" si="7"/>
        <v>0</v>
      </c>
      <c r="U28" s="86">
        <f t="shared" si="7"/>
        <v>351.381</v>
      </c>
      <c r="V28" s="86">
        <f t="shared" si="7"/>
        <v>0</v>
      </c>
      <c r="W28" s="86">
        <f t="shared" si="7"/>
        <v>0</v>
      </c>
      <c r="X28" s="86">
        <f t="shared" si="7"/>
        <v>0</v>
      </c>
      <c r="Y28" s="86">
        <f t="shared" si="7"/>
        <v>0</v>
      </c>
      <c r="Z28" s="86">
        <f t="shared" si="7"/>
        <v>0</v>
      </c>
      <c r="AA28" s="86">
        <f t="shared" si="7"/>
        <v>0</v>
      </c>
      <c r="AB28" s="86">
        <f t="shared" si="7"/>
        <v>0</v>
      </c>
      <c r="AC28" s="86">
        <f t="shared" si="7"/>
        <v>0</v>
      </c>
      <c r="AD28" s="71">
        <f t="shared" si="7"/>
        <v>0</v>
      </c>
      <c r="AE28" s="72"/>
      <c r="AG28" s="82">
        <f t="shared" si="1"/>
        <v>1054.1439999999998</v>
      </c>
      <c r="AH28" s="83">
        <f t="shared" si="2"/>
        <v>-0.04399999999986903</v>
      </c>
      <c r="AI28" s="93">
        <f t="shared" si="3"/>
        <v>1054.1439999999998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351.382</v>
      </c>
      <c r="AU28" s="73">
        <v>0</v>
      </c>
      <c r="AV28" s="73">
        <v>351.381</v>
      </c>
      <c r="AW28" s="73">
        <v>0</v>
      </c>
      <c r="AX28" s="73">
        <v>351.381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0</v>
      </c>
    </row>
    <row r="29" spans="1:61" s="73" customFormat="1" ht="20.25">
      <c r="A29" s="69" t="s">
        <v>25</v>
      </c>
      <c r="B29" s="69">
        <v>1054.1</v>
      </c>
      <c r="C29" s="70"/>
      <c r="D29" s="71"/>
      <c r="E29" s="71"/>
      <c r="F29" s="71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>
        <v>351.382</v>
      </c>
      <c r="R29" s="86"/>
      <c r="S29" s="86">
        <v>351.381</v>
      </c>
      <c r="T29" s="86"/>
      <c r="U29" s="86">
        <v>351.381</v>
      </c>
      <c r="V29" s="86"/>
      <c r="W29" s="86"/>
      <c r="X29" s="86"/>
      <c r="Y29" s="86"/>
      <c r="Z29" s="86"/>
      <c r="AA29" s="86"/>
      <c r="AB29" s="86"/>
      <c r="AC29" s="86"/>
      <c r="AD29" s="71"/>
      <c r="AE29" s="72"/>
      <c r="AG29" s="82">
        <f t="shared" si="1"/>
        <v>1054.1439999999998</v>
      </c>
      <c r="AH29" s="83">
        <f>B29-AG29</f>
        <v>-0.04399999999986903</v>
      </c>
      <c r="AI29" s="93">
        <f t="shared" si="3"/>
        <v>1054.1439999999998</v>
      </c>
      <c r="AT29" s="73">
        <v>351.382</v>
      </c>
      <c r="AV29" s="73">
        <v>351.381</v>
      </c>
      <c r="AX29" s="73">
        <v>351.381</v>
      </c>
      <c r="BI29" s="67">
        <f>351.38+351.38+351.38</f>
        <v>1054.1399999999999</v>
      </c>
    </row>
    <row r="30" spans="1:61" s="18" customFormat="1" ht="19.5" customHeight="1">
      <c r="A30" s="45" t="s">
        <v>122</v>
      </c>
      <c r="B30" s="4"/>
      <c r="C30" s="3"/>
      <c r="D30" s="2"/>
      <c r="E30" s="2"/>
      <c r="F30" s="2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2"/>
      <c r="AE30" s="21"/>
      <c r="AG30" s="80">
        <f t="shared" si="1"/>
        <v>0</v>
      </c>
      <c r="AH30" s="81">
        <f t="shared" si="2"/>
        <v>0</v>
      </c>
      <c r="AI30" s="93">
        <f t="shared" si="3"/>
        <v>0</v>
      </c>
      <c r="BI30" s="67">
        <f>351.382+351.381+351.381</f>
        <v>1054.1439999999998</v>
      </c>
    </row>
    <row r="31" spans="1:58" s="18" customFormat="1" ht="20.25">
      <c r="A31" s="5" t="s">
        <v>32</v>
      </c>
      <c r="B31" s="5">
        <f>B32</f>
        <v>35</v>
      </c>
      <c r="C31" s="2"/>
      <c r="D31" s="2"/>
      <c r="E31" s="2"/>
      <c r="F31" s="2"/>
      <c r="G31" s="85">
        <f aca="true" t="shared" si="8" ref="G31:AD31">G32</f>
        <v>0</v>
      </c>
      <c r="H31" s="85">
        <f t="shared" si="8"/>
        <v>0</v>
      </c>
      <c r="I31" s="85">
        <f t="shared" si="8"/>
        <v>0</v>
      </c>
      <c r="J31" s="85">
        <f t="shared" si="8"/>
        <v>0</v>
      </c>
      <c r="K31" s="85">
        <f t="shared" si="8"/>
        <v>0</v>
      </c>
      <c r="L31" s="85">
        <f t="shared" si="8"/>
        <v>0</v>
      </c>
      <c r="M31" s="85">
        <f t="shared" si="8"/>
        <v>0</v>
      </c>
      <c r="N31" s="85">
        <f t="shared" si="8"/>
        <v>0</v>
      </c>
      <c r="O31" s="85">
        <f t="shared" si="8"/>
        <v>35</v>
      </c>
      <c r="P31" s="85">
        <f t="shared" si="8"/>
        <v>0</v>
      </c>
      <c r="Q31" s="85">
        <f t="shared" si="8"/>
        <v>0</v>
      </c>
      <c r="R31" s="85">
        <f t="shared" si="8"/>
        <v>0</v>
      </c>
      <c r="S31" s="85">
        <f t="shared" si="8"/>
        <v>0</v>
      </c>
      <c r="T31" s="85">
        <f t="shared" si="8"/>
        <v>0</v>
      </c>
      <c r="U31" s="85">
        <f t="shared" si="8"/>
        <v>0</v>
      </c>
      <c r="V31" s="85">
        <f t="shared" si="8"/>
        <v>0</v>
      </c>
      <c r="W31" s="85">
        <f t="shared" si="8"/>
        <v>0</v>
      </c>
      <c r="X31" s="85">
        <f t="shared" si="8"/>
        <v>0</v>
      </c>
      <c r="Y31" s="85">
        <f t="shared" si="8"/>
        <v>0</v>
      </c>
      <c r="Z31" s="85">
        <f t="shared" si="8"/>
        <v>0</v>
      </c>
      <c r="AA31" s="85">
        <f t="shared" si="8"/>
        <v>0</v>
      </c>
      <c r="AB31" s="85">
        <f t="shared" si="8"/>
        <v>0</v>
      </c>
      <c r="AC31" s="85">
        <f t="shared" si="8"/>
        <v>0</v>
      </c>
      <c r="AD31" s="2">
        <f t="shared" si="8"/>
        <v>0</v>
      </c>
      <c r="AE31" s="21"/>
      <c r="AG31" s="80">
        <f t="shared" si="1"/>
        <v>35</v>
      </c>
      <c r="AH31" s="81">
        <f t="shared" si="2"/>
        <v>0</v>
      </c>
      <c r="AI31" s="93">
        <f t="shared" si="3"/>
        <v>35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35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</row>
    <row r="32" spans="1:44" s="18" customFormat="1" ht="20.25">
      <c r="A32" s="4" t="s">
        <v>25</v>
      </c>
      <c r="B32" s="4">
        <v>35</v>
      </c>
      <c r="C32" s="3"/>
      <c r="D32" s="2"/>
      <c r="E32" s="2"/>
      <c r="F32" s="2"/>
      <c r="G32" s="85"/>
      <c r="H32" s="85"/>
      <c r="I32" s="85"/>
      <c r="J32" s="85"/>
      <c r="K32" s="85"/>
      <c r="L32" s="85"/>
      <c r="M32" s="85"/>
      <c r="N32" s="85"/>
      <c r="O32" s="85">
        <v>35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2"/>
      <c r="AE32" s="21"/>
      <c r="AG32" s="80">
        <f t="shared" si="1"/>
        <v>35</v>
      </c>
      <c r="AH32" s="81">
        <f t="shared" si="2"/>
        <v>0</v>
      </c>
      <c r="AI32" s="93">
        <f t="shared" si="3"/>
        <v>35</v>
      </c>
      <c r="AR32" s="18">
        <v>35</v>
      </c>
    </row>
    <row r="33" spans="1:35" s="18" customFormat="1" ht="56.25">
      <c r="A33" s="45" t="s">
        <v>123</v>
      </c>
      <c r="B33" s="4"/>
      <c r="C33" s="3"/>
      <c r="D33" s="2"/>
      <c r="E33" s="2"/>
      <c r="F33" s="2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2"/>
      <c r="AE33" s="21"/>
      <c r="AG33" s="80">
        <f t="shared" si="1"/>
        <v>0</v>
      </c>
      <c r="AH33" s="81">
        <f t="shared" si="2"/>
        <v>0</v>
      </c>
      <c r="AI33" s="93">
        <f t="shared" si="3"/>
        <v>0</v>
      </c>
    </row>
    <row r="34" spans="1:35" s="18" customFormat="1" ht="20.25">
      <c r="A34" s="5" t="s">
        <v>32</v>
      </c>
      <c r="B34" s="5">
        <f>B35</f>
        <v>0</v>
      </c>
      <c r="C34" s="2"/>
      <c r="D34" s="2"/>
      <c r="E34" s="2"/>
      <c r="F34" s="2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2"/>
      <c r="AE34" s="21"/>
      <c r="AG34" s="80">
        <f t="shared" si="1"/>
        <v>0</v>
      </c>
      <c r="AH34" s="81">
        <f t="shared" si="2"/>
        <v>0</v>
      </c>
      <c r="AI34" s="93">
        <f t="shared" si="3"/>
        <v>0</v>
      </c>
    </row>
    <row r="35" spans="1:35" s="18" customFormat="1" ht="20.25">
      <c r="A35" s="4" t="s">
        <v>25</v>
      </c>
      <c r="B35" s="4">
        <v>0</v>
      </c>
      <c r="C35" s="3"/>
      <c r="D35" s="2"/>
      <c r="E35" s="2"/>
      <c r="F35" s="2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2"/>
      <c r="AE35" s="21"/>
      <c r="AG35" s="80">
        <f t="shared" si="1"/>
        <v>0</v>
      </c>
      <c r="AH35" s="81">
        <f t="shared" si="2"/>
        <v>0</v>
      </c>
      <c r="AI35" s="93">
        <f t="shared" si="3"/>
        <v>0</v>
      </c>
    </row>
    <row r="36" spans="1:35" s="18" customFormat="1" ht="56.25">
      <c r="A36" s="5" t="s">
        <v>124</v>
      </c>
      <c r="B36" s="5"/>
      <c r="C36" s="2"/>
      <c r="D36" s="2"/>
      <c r="E36" s="2"/>
      <c r="F36" s="2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2"/>
      <c r="AE36" s="21"/>
      <c r="AG36" s="80">
        <f t="shared" si="1"/>
        <v>0</v>
      </c>
      <c r="AH36" s="81">
        <f t="shared" si="2"/>
        <v>0</v>
      </c>
      <c r="AI36" s="93">
        <f t="shared" si="3"/>
        <v>0</v>
      </c>
    </row>
    <row r="37" spans="1:35" s="18" customFormat="1" ht="20.25">
      <c r="A37" s="4" t="s">
        <v>22</v>
      </c>
      <c r="B37" s="4"/>
      <c r="C37" s="3"/>
      <c r="D37" s="2"/>
      <c r="E37" s="2"/>
      <c r="F37" s="2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2"/>
      <c r="AE37" s="21"/>
      <c r="AG37" s="80">
        <f t="shared" si="1"/>
        <v>0</v>
      </c>
      <c r="AH37" s="81">
        <f t="shared" si="2"/>
        <v>0</v>
      </c>
      <c r="AI37" s="93">
        <f t="shared" si="3"/>
        <v>0</v>
      </c>
    </row>
    <row r="38" spans="1:35" s="18" customFormat="1" ht="74.25" customHeight="1">
      <c r="A38" s="45" t="s">
        <v>125</v>
      </c>
      <c r="B38" s="4"/>
      <c r="C38" s="2"/>
      <c r="D38" s="2"/>
      <c r="E38" s="2"/>
      <c r="F38" s="2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2"/>
      <c r="AE38" s="21"/>
      <c r="AG38" s="80">
        <f t="shared" si="1"/>
        <v>0</v>
      </c>
      <c r="AH38" s="81">
        <f t="shared" si="2"/>
        <v>0</v>
      </c>
      <c r="AI38" s="93">
        <f t="shared" si="3"/>
        <v>0</v>
      </c>
    </row>
    <row r="39" spans="1:58" s="18" customFormat="1" ht="20.25">
      <c r="A39" s="5" t="s">
        <v>32</v>
      </c>
      <c r="B39" s="5">
        <f>B40</f>
        <v>8524.3</v>
      </c>
      <c r="C39" s="2"/>
      <c r="D39" s="2"/>
      <c r="E39" s="2"/>
      <c r="F39" s="2"/>
      <c r="G39" s="85">
        <f>G40</f>
        <v>0</v>
      </c>
      <c r="H39" s="85">
        <f aca="true" t="shared" si="9" ref="H39:AD39">H40</f>
        <v>0</v>
      </c>
      <c r="I39" s="85">
        <f t="shared" si="9"/>
        <v>613</v>
      </c>
      <c r="J39" s="85">
        <f t="shared" si="9"/>
        <v>0</v>
      </c>
      <c r="K39" s="85">
        <f t="shared" si="9"/>
        <v>613</v>
      </c>
      <c r="L39" s="85">
        <f t="shared" si="9"/>
        <v>0</v>
      </c>
      <c r="M39" s="85">
        <f t="shared" si="9"/>
        <v>613</v>
      </c>
      <c r="N39" s="85">
        <f t="shared" si="9"/>
        <v>0</v>
      </c>
      <c r="O39" s="85">
        <f t="shared" si="9"/>
        <v>767.5</v>
      </c>
      <c r="P39" s="85">
        <f t="shared" si="9"/>
        <v>0</v>
      </c>
      <c r="Q39" s="85">
        <f t="shared" si="9"/>
        <v>809.6</v>
      </c>
      <c r="R39" s="85">
        <f t="shared" si="9"/>
        <v>0</v>
      </c>
      <c r="S39" s="85">
        <f t="shared" si="9"/>
        <v>746.5</v>
      </c>
      <c r="T39" s="85">
        <f t="shared" si="9"/>
        <v>0</v>
      </c>
      <c r="U39" s="85">
        <f t="shared" si="9"/>
        <v>760.5</v>
      </c>
      <c r="V39" s="85">
        <f t="shared" si="9"/>
        <v>0</v>
      </c>
      <c r="W39" s="85">
        <f t="shared" si="9"/>
        <v>882.1</v>
      </c>
      <c r="X39" s="85">
        <f t="shared" si="9"/>
        <v>0</v>
      </c>
      <c r="Y39" s="85">
        <f t="shared" si="9"/>
        <v>837.6</v>
      </c>
      <c r="Z39" s="85">
        <f t="shared" si="9"/>
        <v>0</v>
      </c>
      <c r="AA39" s="85">
        <f t="shared" si="9"/>
        <v>627.1</v>
      </c>
      <c r="AB39" s="85">
        <f t="shared" si="9"/>
        <v>0</v>
      </c>
      <c r="AC39" s="85">
        <f t="shared" si="9"/>
        <v>1254.4</v>
      </c>
      <c r="AD39" s="2">
        <f t="shared" si="9"/>
        <v>0</v>
      </c>
      <c r="AE39" s="21"/>
      <c r="AG39" s="80">
        <f t="shared" si="1"/>
        <v>8524.300000000001</v>
      </c>
      <c r="AH39" s="81">
        <f t="shared" si="2"/>
        <v>0</v>
      </c>
      <c r="AI39" s="93">
        <f t="shared" si="3"/>
        <v>8524.300000000001</v>
      </c>
      <c r="AJ39" s="18">
        <v>0</v>
      </c>
      <c r="AK39" s="18">
        <v>0</v>
      </c>
      <c r="AL39" s="18">
        <v>613</v>
      </c>
      <c r="AM39" s="18">
        <v>0</v>
      </c>
      <c r="AN39" s="18">
        <v>613</v>
      </c>
      <c r="AO39" s="18">
        <v>0</v>
      </c>
      <c r="AP39" s="18">
        <v>613</v>
      </c>
      <c r="AQ39" s="18">
        <v>0</v>
      </c>
      <c r="AR39" s="18">
        <v>767.5</v>
      </c>
      <c r="AS39" s="18">
        <v>0</v>
      </c>
      <c r="AT39" s="18">
        <v>809.6</v>
      </c>
      <c r="AU39" s="18">
        <v>0</v>
      </c>
      <c r="AV39" s="18">
        <v>746.5</v>
      </c>
      <c r="AW39" s="18">
        <v>0</v>
      </c>
      <c r="AX39" s="18">
        <v>760.5</v>
      </c>
      <c r="AY39" s="18">
        <v>0</v>
      </c>
      <c r="AZ39" s="18">
        <v>882.1</v>
      </c>
      <c r="BA39" s="18">
        <v>0</v>
      </c>
      <c r="BB39" s="18">
        <v>837.6</v>
      </c>
      <c r="BC39" s="18">
        <v>0</v>
      </c>
      <c r="BD39" s="18">
        <v>627.1</v>
      </c>
      <c r="BE39" s="18">
        <v>0</v>
      </c>
      <c r="BF39" s="18">
        <v>1254.4</v>
      </c>
    </row>
    <row r="40" spans="1:58" s="17" customFormat="1" ht="20.25">
      <c r="A40" s="4" t="s">
        <v>25</v>
      </c>
      <c r="B40" s="4">
        <v>8524.3</v>
      </c>
      <c r="C40" s="3"/>
      <c r="D40" s="3"/>
      <c r="E40" s="3"/>
      <c r="F40" s="3"/>
      <c r="G40" s="87">
        <v>0</v>
      </c>
      <c r="H40" s="87"/>
      <c r="I40" s="87">
        <v>613</v>
      </c>
      <c r="J40" s="87"/>
      <c r="K40" s="87">
        <v>613</v>
      </c>
      <c r="L40" s="87"/>
      <c r="M40" s="87">
        <v>613</v>
      </c>
      <c r="N40" s="87"/>
      <c r="O40" s="87">
        <v>767.5</v>
      </c>
      <c r="P40" s="87"/>
      <c r="Q40" s="87">
        <v>809.6</v>
      </c>
      <c r="R40" s="87"/>
      <c r="S40" s="87">
        <v>746.5</v>
      </c>
      <c r="T40" s="87"/>
      <c r="U40" s="87">
        <v>760.5</v>
      </c>
      <c r="V40" s="87"/>
      <c r="W40" s="87">
        <v>882.1</v>
      </c>
      <c r="X40" s="87"/>
      <c r="Y40" s="87">
        <v>837.6</v>
      </c>
      <c r="Z40" s="87"/>
      <c r="AA40" s="87">
        <v>627.1</v>
      </c>
      <c r="AB40" s="87"/>
      <c r="AC40" s="87">
        <v>1254.4</v>
      </c>
      <c r="AD40" s="3"/>
      <c r="AE40" s="48"/>
      <c r="AG40" s="80">
        <f t="shared" si="1"/>
        <v>8524.300000000001</v>
      </c>
      <c r="AH40" s="81">
        <f t="shared" si="2"/>
        <v>0</v>
      </c>
      <c r="AI40" s="93">
        <f t="shared" si="3"/>
        <v>8524.300000000001</v>
      </c>
      <c r="AJ40" s="17">
        <v>0</v>
      </c>
      <c r="AL40" s="17">
        <v>613</v>
      </c>
      <c r="AN40" s="17">
        <v>613</v>
      </c>
      <c r="AP40" s="17">
        <v>613</v>
      </c>
      <c r="AR40" s="17">
        <v>767.5</v>
      </c>
      <c r="AT40" s="17">
        <v>809.6</v>
      </c>
      <c r="AV40" s="17">
        <v>746.5</v>
      </c>
      <c r="AX40" s="17">
        <v>760.5</v>
      </c>
      <c r="AZ40" s="17">
        <v>882.1</v>
      </c>
      <c r="BB40" s="17">
        <v>837.6</v>
      </c>
      <c r="BD40" s="17">
        <v>627.1</v>
      </c>
      <c r="BF40" s="17">
        <v>1254.4</v>
      </c>
    </row>
    <row r="41" spans="1:35" s="18" customFormat="1" ht="55.5" customHeight="1">
      <c r="A41" s="30" t="s">
        <v>126</v>
      </c>
      <c r="B41" s="30"/>
      <c r="C41" s="30"/>
      <c r="D41" s="30"/>
      <c r="E41" s="30"/>
      <c r="F41" s="30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30"/>
      <c r="AE41" s="30"/>
      <c r="AG41" s="80">
        <f t="shared" si="1"/>
        <v>0</v>
      </c>
      <c r="AH41" s="81">
        <f t="shared" si="2"/>
        <v>0</v>
      </c>
      <c r="AI41" s="93">
        <f t="shared" si="3"/>
        <v>0</v>
      </c>
    </row>
    <row r="42" spans="1:35" s="18" customFormat="1" ht="78" customHeight="1">
      <c r="A42" s="47" t="s">
        <v>127</v>
      </c>
      <c r="B42" s="5"/>
      <c r="C42" s="3"/>
      <c r="D42" s="2"/>
      <c r="E42" s="2"/>
      <c r="F42" s="2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2"/>
      <c r="AE42" s="21"/>
      <c r="AG42" s="80">
        <f t="shared" si="1"/>
        <v>0</v>
      </c>
      <c r="AH42" s="81">
        <f t="shared" si="2"/>
        <v>0</v>
      </c>
      <c r="AI42" s="93">
        <f t="shared" si="3"/>
        <v>0</v>
      </c>
    </row>
    <row r="43" spans="1:35" s="18" customFormat="1" ht="20.25">
      <c r="A43" s="4" t="s">
        <v>22</v>
      </c>
      <c r="B43" s="4"/>
      <c r="C43" s="3"/>
      <c r="D43" s="2"/>
      <c r="E43" s="2"/>
      <c r="F43" s="2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2"/>
      <c r="AE43" s="21"/>
      <c r="AG43" s="80">
        <f t="shared" si="1"/>
        <v>0</v>
      </c>
      <c r="AH43" s="81">
        <f t="shared" si="2"/>
        <v>0</v>
      </c>
      <c r="AI43" s="93">
        <f t="shared" si="3"/>
        <v>0</v>
      </c>
    </row>
    <row r="44" spans="1:35" s="18" customFormat="1" ht="75">
      <c r="A44" s="45" t="s">
        <v>128</v>
      </c>
      <c r="B44" s="4"/>
      <c r="C44" s="3"/>
      <c r="D44" s="2"/>
      <c r="E44" s="2"/>
      <c r="F44" s="2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2"/>
      <c r="AE44" s="21"/>
      <c r="AG44" s="80">
        <f t="shared" si="1"/>
        <v>0</v>
      </c>
      <c r="AH44" s="81">
        <f t="shared" si="2"/>
        <v>0</v>
      </c>
      <c r="AI44" s="93">
        <f t="shared" si="3"/>
        <v>0</v>
      </c>
    </row>
    <row r="45" spans="1:58" s="18" customFormat="1" ht="20.25">
      <c r="A45" s="5" t="s">
        <v>32</v>
      </c>
      <c r="B45" s="5">
        <f>B46</f>
        <v>50</v>
      </c>
      <c r="C45" s="2"/>
      <c r="D45" s="2"/>
      <c r="E45" s="2"/>
      <c r="F45" s="2"/>
      <c r="G45" s="85">
        <f aca="true" t="shared" si="10" ref="G45:AD45">G46</f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5">
        <f t="shared" si="10"/>
        <v>0</v>
      </c>
      <c r="M45" s="85">
        <f t="shared" si="10"/>
        <v>0</v>
      </c>
      <c r="N45" s="85">
        <f t="shared" si="10"/>
        <v>0</v>
      </c>
      <c r="O45" s="85">
        <f t="shared" si="10"/>
        <v>0</v>
      </c>
      <c r="P45" s="85">
        <f t="shared" si="10"/>
        <v>0</v>
      </c>
      <c r="Q45" s="85">
        <f t="shared" si="10"/>
        <v>0</v>
      </c>
      <c r="R45" s="85">
        <f t="shared" si="10"/>
        <v>0</v>
      </c>
      <c r="S45" s="85">
        <f t="shared" si="10"/>
        <v>0</v>
      </c>
      <c r="T45" s="85">
        <f t="shared" si="10"/>
        <v>0</v>
      </c>
      <c r="U45" s="85">
        <f t="shared" si="10"/>
        <v>0</v>
      </c>
      <c r="V45" s="85">
        <f t="shared" si="10"/>
        <v>0</v>
      </c>
      <c r="W45" s="85">
        <f t="shared" si="10"/>
        <v>0</v>
      </c>
      <c r="X45" s="85">
        <f t="shared" si="10"/>
        <v>0</v>
      </c>
      <c r="Y45" s="85">
        <f t="shared" si="10"/>
        <v>50</v>
      </c>
      <c r="Z45" s="85">
        <f t="shared" si="10"/>
        <v>0</v>
      </c>
      <c r="AA45" s="85">
        <f t="shared" si="10"/>
        <v>0</v>
      </c>
      <c r="AB45" s="85">
        <f t="shared" si="10"/>
        <v>0</v>
      </c>
      <c r="AC45" s="85">
        <f t="shared" si="10"/>
        <v>0</v>
      </c>
      <c r="AD45" s="2">
        <f t="shared" si="10"/>
        <v>0</v>
      </c>
      <c r="AE45" s="21"/>
      <c r="AG45" s="80">
        <f t="shared" si="1"/>
        <v>50</v>
      </c>
      <c r="AH45" s="81">
        <f t="shared" si="2"/>
        <v>0</v>
      </c>
      <c r="AI45" s="93">
        <f t="shared" si="3"/>
        <v>50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50</v>
      </c>
      <c r="BC45" s="18">
        <v>0</v>
      </c>
      <c r="BD45" s="18">
        <v>0</v>
      </c>
      <c r="BE45" s="18">
        <v>0</v>
      </c>
      <c r="BF45" s="18">
        <v>0</v>
      </c>
    </row>
    <row r="46" spans="1:54" s="18" customFormat="1" ht="20.25">
      <c r="A46" s="4" t="s">
        <v>24</v>
      </c>
      <c r="B46" s="4">
        <v>50</v>
      </c>
      <c r="C46" s="3"/>
      <c r="D46" s="2"/>
      <c r="E46" s="2"/>
      <c r="F46" s="2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>
        <v>50</v>
      </c>
      <c r="Z46" s="85"/>
      <c r="AA46" s="85"/>
      <c r="AB46" s="85"/>
      <c r="AC46" s="85"/>
      <c r="AD46" s="2"/>
      <c r="AE46" s="21"/>
      <c r="AG46" s="80">
        <f t="shared" si="1"/>
        <v>50</v>
      </c>
      <c r="AH46" s="81">
        <f t="shared" si="2"/>
        <v>0</v>
      </c>
      <c r="AI46" s="93">
        <f t="shared" si="3"/>
        <v>50</v>
      </c>
      <c r="BB46" s="18">
        <v>50</v>
      </c>
    </row>
    <row r="47" spans="1:35" s="18" customFormat="1" ht="40.5" customHeight="1">
      <c r="A47" s="30" t="s">
        <v>129</v>
      </c>
      <c r="B47" s="30"/>
      <c r="C47" s="30"/>
      <c r="D47" s="30"/>
      <c r="E47" s="30"/>
      <c r="F47" s="30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30"/>
      <c r="AE47" s="30"/>
      <c r="AG47" s="80">
        <f t="shared" si="1"/>
        <v>0</v>
      </c>
      <c r="AH47" s="81">
        <f t="shared" si="2"/>
        <v>0</v>
      </c>
      <c r="AI47" s="93">
        <f t="shared" si="3"/>
        <v>0</v>
      </c>
    </row>
    <row r="48" spans="1:35" s="18" customFormat="1" ht="75.75" customHeight="1">
      <c r="A48" s="47" t="s">
        <v>130</v>
      </c>
      <c r="B48" s="5"/>
      <c r="C48" s="3"/>
      <c r="D48" s="2"/>
      <c r="E48" s="2"/>
      <c r="F48" s="2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2"/>
      <c r="AE48" s="21"/>
      <c r="AG48" s="80">
        <f t="shared" si="1"/>
        <v>0</v>
      </c>
      <c r="AH48" s="81">
        <f t="shared" si="2"/>
        <v>0</v>
      </c>
      <c r="AI48" s="93">
        <f t="shared" si="3"/>
        <v>0</v>
      </c>
    </row>
    <row r="49" spans="1:35" s="18" customFormat="1" ht="20.25">
      <c r="A49" s="4" t="s">
        <v>22</v>
      </c>
      <c r="B49" s="4"/>
      <c r="C49" s="3"/>
      <c r="D49" s="2"/>
      <c r="E49" s="2"/>
      <c r="F49" s="2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2"/>
      <c r="AE49" s="21"/>
      <c r="AG49" s="80">
        <f t="shared" si="1"/>
        <v>0</v>
      </c>
      <c r="AH49" s="81">
        <f t="shared" si="2"/>
        <v>0</v>
      </c>
      <c r="AI49" s="93">
        <f t="shared" si="3"/>
        <v>0</v>
      </c>
    </row>
    <row r="50" spans="1:35" s="18" customFormat="1" ht="75.75" customHeight="1">
      <c r="A50" s="45" t="s">
        <v>131</v>
      </c>
      <c r="B50" s="4"/>
      <c r="C50" s="3"/>
      <c r="D50" s="2"/>
      <c r="E50" s="2"/>
      <c r="F50" s="2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2"/>
      <c r="AE50" s="21"/>
      <c r="AG50" s="80">
        <f t="shared" si="1"/>
        <v>0</v>
      </c>
      <c r="AH50" s="81">
        <f t="shared" si="2"/>
        <v>0</v>
      </c>
      <c r="AI50" s="93">
        <f t="shared" si="3"/>
        <v>0</v>
      </c>
    </row>
    <row r="51" spans="1:35" s="18" customFormat="1" ht="20.25">
      <c r="A51" s="5" t="s">
        <v>32</v>
      </c>
      <c r="B51" s="5">
        <f>B52</f>
        <v>0</v>
      </c>
      <c r="C51" s="2"/>
      <c r="D51" s="2"/>
      <c r="E51" s="2"/>
      <c r="F51" s="2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2"/>
      <c r="AE51" s="21"/>
      <c r="AG51" s="80">
        <f t="shared" si="1"/>
        <v>0</v>
      </c>
      <c r="AH51" s="81">
        <f t="shared" si="2"/>
        <v>0</v>
      </c>
      <c r="AI51" s="93">
        <f t="shared" si="3"/>
        <v>0</v>
      </c>
    </row>
    <row r="52" spans="1:35" s="18" customFormat="1" ht="20.25">
      <c r="A52" s="4" t="s">
        <v>25</v>
      </c>
      <c r="B52" s="4">
        <v>0</v>
      </c>
      <c r="C52" s="3"/>
      <c r="D52" s="2"/>
      <c r="E52" s="2"/>
      <c r="F52" s="2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2"/>
      <c r="AE52" s="21"/>
      <c r="AG52" s="80">
        <f t="shared" si="1"/>
        <v>0</v>
      </c>
      <c r="AH52" s="81">
        <f t="shared" si="2"/>
        <v>0</v>
      </c>
      <c r="AI52" s="93">
        <f t="shared" si="3"/>
        <v>0</v>
      </c>
    </row>
    <row r="53" spans="1:35" s="18" customFormat="1" ht="114.75" customHeight="1">
      <c r="A53" s="45" t="s">
        <v>132</v>
      </c>
      <c r="B53" s="4"/>
      <c r="C53" s="3"/>
      <c r="D53" s="2"/>
      <c r="E53" s="2"/>
      <c r="F53" s="2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2"/>
      <c r="AE53" s="21"/>
      <c r="AG53" s="80">
        <f t="shared" si="1"/>
        <v>0</v>
      </c>
      <c r="AH53" s="81">
        <f t="shared" si="2"/>
        <v>0</v>
      </c>
      <c r="AI53" s="93">
        <f t="shared" si="3"/>
        <v>0</v>
      </c>
    </row>
    <row r="54" spans="1:58" s="18" customFormat="1" ht="20.25">
      <c r="A54" s="5" t="s">
        <v>32</v>
      </c>
      <c r="B54" s="5">
        <f>B55</f>
        <v>10</v>
      </c>
      <c r="C54" s="2"/>
      <c r="D54" s="2"/>
      <c r="E54" s="2"/>
      <c r="F54" s="2"/>
      <c r="G54" s="85">
        <f aca="true" t="shared" si="11" ref="G54:AD54">G55</f>
        <v>0</v>
      </c>
      <c r="H54" s="85">
        <f t="shared" si="11"/>
        <v>0</v>
      </c>
      <c r="I54" s="85">
        <f t="shared" si="11"/>
        <v>0</v>
      </c>
      <c r="J54" s="85">
        <f t="shared" si="11"/>
        <v>0</v>
      </c>
      <c r="K54" s="85">
        <f t="shared" si="11"/>
        <v>0</v>
      </c>
      <c r="L54" s="85">
        <f t="shared" si="11"/>
        <v>0</v>
      </c>
      <c r="M54" s="85">
        <f t="shared" si="11"/>
        <v>10</v>
      </c>
      <c r="N54" s="85">
        <f t="shared" si="11"/>
        <v>0</v>
      </c>
      <c r="O54" s="85">
        <f t="shared" si="11"/>
        <v>0</v>
      </c>
      <c r="P54" s="85">
        <f t="shared" si="11"/>
        <v>0</v>
      </c>
      <c r="Q54" s="85">
        <f t="shared" si="11"/>
        <v>0</v>
      </c>
      <c r="R54" s="85">
        <f t="shared" si="11"/>
        <v>0</v>
      </c>
      <c r="S54" s="85">
        <f t="shared" si="11"/>
        <v>0</v>
      </c>
      <c r="T54" s="85">
        <f t="shared" si="11"/>
        <v>0</v>
      </c>
      <c r="U54" s="85">
        <f t="shared" si="11"/>
        <v>0</v>
      </c>
      <c r="V54" s="85">
        <f t="shared" si="11"/>
        <v>0</v>
      </c>
      <c r="W54" s="85">
        <f t="shared" si="11"/>
        <v>0</v>
      </c>
      <c r="X54" s="85">
        <f t="shared" si="11"/>
        <v>0</v>
      </c>
      <c r="Y54" s="85">
        <f t="shared" si="11"/>
        <v>0</v>
      </c>
      <c r="Z54" s="85">
        <f t="shared" si="11"/>
        <v>0</v>
      </c>
      <c r="AA54" s="85">
        <f t="shared" si="11"/>
        <v>0</v>
      </c>
      <c r="AB54" s="85">
        <f t="shared" si="11"/>
        <v>0</v>
      </c>
      <c r="AC54" s="85">
        <f t="shared" si="11"/>
        <v>0</v>
      </c>
      <c r="AD54" s="2">
        <f t="shared" si="11"/>
        <v>0</v>
      </c>
      <c r="AE54" s="21"/>
      <c r="AG54" s="80">
        <f t="shared" si="1"/>
        <v>10</v>
      </c>
      <c r="AH54" s="81">
        <f t="shared" si="2"/>
        <v>0</v>
      </c>
      <c r="AI54" s="93">
        <f t="shared" si="3"/>
        <v>10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10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</row>
    <row r="55" spans="1:58" s="18" customFormat="1" ht="20.25">
      <c r="A55" s="4" t="s">
        <v>25</v>
      </c>
      <c r="B55" s="4">
        <v>10</v>
      </c>
      <c r="C55" s="3"/>
      <c r="D55" s="2"/>
      <c r="E55" s="2"/>
      <c r="F55" s="2"/>
      <c r="G55" s="85">
        <v>0</v>
      </c>
      <c r="H55" s="85"/>
      <c r="I55" s="85">
        <v>0</v>
      </c>
      <c r="J55" s="85"/>
      <c r="K55" s="85">
        <v>0</v>
      </c>
      <c r="L55" s="85"/>
      <c r="M55" s="85">
        <v>10</v>
      </c>
      <c r="N55" s="85"/>
      <c r="O55" s="85">
        <v>0</v>
      </c>
      <c r="P55" s="85"/>
      <c r="Q55" s="85">
        <v>0</v>
      </c>
      <c r="R55" s="85"/>
      <c r="S55" s="85">
        <v>0</v>
      </c>
      <c r="T55" s="85"/>
      <c r="U55" s="85">
        <v>0</v>
      </c>
      <c r="V55" s="85"/>
      <c r="W55" s="85">
        <v>0</v>
      </c>
      <c r="X55" s="85"/>
      <c r="Y55" s="85">
        <v>0</v>
      </c>
      <c r="Z55" s="85"/>
      <c r="AA55" s="85">
        <v>0</v>
      </c>
      <c r="AB55" s="85"/>
      <c r="AC55" s="85">
        <v>0</v>
      </c>
      <c r="AD55" s="2"/>
      <c r="AE55" s="21"/>
      <c r="AG55" s="80">
        <f t="shared" si="1"/>
        <v>10</v>
      </c>
      <c r="AH55" s="81">
        <f t="shared" si="2"/>
        <v>0</v>
      </c>
      <c r="AI55" s="93">
        <f t="shared" si="3"/>
        <v>10</v>
      </c>
      <c r="AJ55" s="18">
        <v>0</v>
      </c>
      <c r="AL55" s="18">
        <v>0</v>
      </c>
      <c r="AN55" s="18">
        <v>0</v>
      </c>
      <c r="AP55" s="18">
        <v>10</v>
      </c>
      <c r="AR55" s="18">
        <v>0</v>
      </c>
      <c r="AT55" s="18">
        <v>0</v>
      </c>
      <c r="AV55" s="18">
        <v>0</v>
      </c>
      <c r="AX55" s="18">
        <v>0</v>
      </c>
      <c r="AZ55" s="18">
        <v>0</v>
      </c>
      <c r="BB55" s="18">
        <v>0</v>
      </c>
      <c r="BD55" s="18">
        <v>0</v>
      </c>
      <c r="BF55" s="18">
        <v>0</v>
      </c>
    </row>
    <row r="56" spans="1:35" s="18" customFormat="1" ht="97.5" customHeight="1">
      <c r="A56" s="45" t="s">
        <v>133</v>
      </c>
      <c r="B56" s="4"/>
      <c r="C56" s="3"/>
      <c r="D56" s="2"/>
      <c r="E56" s="2"/>
      <c r="F56" s="2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2"/>
      <c r="AE56" s="21"/>
      <c r="AG56" s="80">
        <f t="shared" si="1"/>
        <v>0</v>
      </c>
      <c r="AH56" s="81">
        <f t="shared" si="2"/>
        <v>0</v>
      </c>
      <c r="AI56" s="93">
        <f t="shared" si="3"/>
        <v>0</v>
      </c>
    </row>
    <row r="57" spans="1:35" s="18" customFormat="1" ht="20.25">
      <c r="A57" s="5" t="s">
        <v>32</v>
      </c>
      <c r="B57" s="5">
        <f>B58</f>
        <v>0</v>
      </c>
      <c r="C57" s="2"/>
      <c r="D57" s="2"/>
      <c r="E57" s="2"/>
      <c r="F57" s="2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2"/>
      <c r="AE57" s="21"/>
      <c r="AG57" s="80">
        <f t="shared" si="1"/>
        <v>0</v>
      </c>
      <c r="AH57" s="81">
        <f t="shared" si="2"/>
        <v>0</v>
      </c>
      <c r="AI57" s="93">
        <f t="shared" si="3"/>
        <v>0</v>
      </c>
    </row>
    <row r="58" spans="1:35" s="18" customFormat="1" ht="20.25">
      <c r="A58" s="4" t="s">
        <v>25</v>
      </c>
      <c r="B58" s="4">
        <v>0</v>
      </c>
      <c r="C58" s="3"/>
      <c r="D58" s="2"/>
      <c r="E58" s="2"/>
      <c r="F58" s="2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2"/>
      <c r="AE58" s="21"/>
      <c r="AG58" s="80">
        <f t="shared" si="1"/>
        <v>0</v>
      </c>
      <c r="AH58" s="81">
        <f t="shared" si="2"/>
        <v>0</v>
      </c>
      <c r="AI58" s="93">
        <f t="shared" si="3"/>
        <v>0</v>
      </c>
    </row>
    <row r="59" spans="1:35" s="18" customFormat="1" ht="152.25" customHeight="1">
      <c r="A59" s="45" t="s">
        <v>134</v>
      </c>
      <c r="B59" s="4"/>
      <c r="C59" s="3"/>
      <c r="D59" s="2"/>
      <c r="E59" s="2"/>
      <c r="F59" s="2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2"/>
      <c r="AE59" s="21"/>
      <c r="AG59" s="80">
        <f t="shared" si="1"/>
        <v>0</v>
      </c>
      <c r="AH59" s="81">
        <f t="shared" si="2"/>
        <v>0</v>
      </c>
      <c r="AI59" s="93">
        <f t="shared" si="3"/>
        <v>0</v>
      </c>
    </row>
    <row r="60" spans="1:58" s="18" customFormat="1" ht="20.25">
      <c r="A60" s="5" t="s">
        <v>32</v>
      </c>
      <c r="B60" s="5">
        <f>B61</f>
        <v>2969.5</v>
      </c>
      <c r="C60" s="2"/>
      <c r="D60" s="2"/>
      <c r="E60" s="2"/>
      <c r="F60" s="2"/>
      <c r="G60" s="85">
        <f aca="true" t="shared" si="12" ref="G60:AD60">G61</f>
        <v>507.612</v>
      </c>
      <c r="H60" s="85">
        <f t="shared" si="12"/>
        <v>0</v>
      </c>
      <c r="I60" s="85">
        <f t="shared" si="12"/>
        <v>205.861</v>
      </c>
      <c r="J60" s="85">
        <f t="shared" si="12"/>
        <v>0</v>
      </c>
      <c r="K60" s="85">
        <f t="shared" si="12"/>
        <v>90.978</v>
      </c>
      <c r="L60" s="85">
        <f t="shared" si="12"/>
        <v>0</v>
      </c>
      <c r="M60" s="85">
        <f t="shared" si="12"/>
        <v>152.096</v>
      </c>
      <c r="N60" s="85">
        <f t="shared" si="12"/>
        <v>0</v>
      </c>
      <c r="O60" s="85">
        <f t="shared" si="12"/>
        <v>280.49</v>
      </c>
      <c r="P60" s="85">
        <f t="shared" si="12"/>
        <v>0</v>
      </c>
      <c r="Q60" s="85">
        <f t="shared" si="12"/>
        <v>605.149</v>
      </c>
      <c r="R60" s="85">
        <f t="shared" si="12"/>
        <v>0</v>
      </c>
      <c r="S60" s="85">
        <f t="shared" si="12"/>
        <v>230.269</v>
      </c>
      <c r="T60" s="85">
        <f t="shared" si="12"/>
        <v>0</v>
      </c>
      <c r="U60" s="85">
        <f t="shared" si="12"/>
        <v>58.914</v>
      </c>
      <c r="V60" s="85">
        <f t="shared" si="12"/>
        <v>0</v>
      </c>
      <c r="W60" s="85">
        <f t="shared" si="12"/>
        <v>77.284</v>
      </c>
      <c r="X60" s="85">
        <f t="shared" si="12"/>
        <v>0</v>
      </c>
      <c r="Y60" s="85">
        <f t="shared" si="12"/>
        <v>156.421</v>
      </c>
      <c r="Z60" s="85">
        <f t="shared" si="12"/>
        <v>0</v>
      </c>
      <c r="AA60" s="85">
        <f t="shared" si="12"/>
        <v>78.431</v>
      </c>
      <c r="AB60" s="85">
        <f t="shared" si="12"/>
        <v>0</v>
      </c>
      <c r="AC60" s="85">
        <f t="shared" si="12"/>
        <v>525.995</v>
      </c>
      <c r="AD60" s="2">
        <f t="shared" si="12"/>
        <v>0</v>
      </c>
      <c r="AE60" s="21"/>
      <c r="AG60" s="80">
        <f t="shared" si="1"/>
        <v>2969.5</v>
      </c>
      <c r="AH60" s="81">
        <f t="shared" si="2"/>
        <v>0</v>
      </c>
      <c r="AI60" s="93">
        <f t="shared" si="3"/>
        <v>2969.5</v>
      </c>
      <c r="AJ60" s="18">
        <v>507.612</v>
      </c>
      <c r="AK60" s="18">
        <v>0</v>
      </c>
      <c r="AL60" s="18">
        <v>205.861</v>
      </c>
      <c r="AM60" s="18">
        <v>0</v>
      </c>
      <c r="AN60" s="18">
        <v>90.978</v>
      </c>
      <c r="AO60" s="18">
        <v>0</v>
      </c>
      <c r="AP60" s="18">
        <v>152.096</v>
      </c>
      <c r="AQ60" s="18">
        <v>0</v>
      </c>
      <c r="AR60" s="18">
        <v>280.49</v>
      </c>
      <c r="AS60" s="18">
        <v>0</v>
      </c>
      <c r="AT60" s="18">
        <v>605.149</v>
      </c>
      <c r="AU60" s="18">
        <v>0</v>
      </c>
      <c r="AV60" s="18">
        <v>230.269</v>
      </c>
      <c r="AW60" s="18">
        <v>0</v>
      </c>
      <c r="AX60" s="18">
        <v>58.914</v>
      </c>
      <c r="AY60" s="18">
        <v>0</v>
      </c>
      <c r="AZ60" s="18">
        <v>77.284</v>
      </c>
      <c r="BA60" s="18">
        <v>0</v>
      </c>
      <c r="BB60" s="18">
        <v>156.421</v>
      </c>
      <c r="BC60" s="18">
        <v>0</v>
      </c>
      <c r="BD60" s="18">
        <v>78.431</v>
      </c>
      <c r="BE60" s="18">
        <v>0</v>
      </c>
      <c r="BF60" s="18">
        <v>525.995</v>
      </c>
    </row>
    <row r="61" spans="1:58" s="18" customFormat="1" ht="20.25">
      <c r="A61" s="4" t="s">
        <v>24</v>
      </c>
      <c r="B61" s="4">
        <v>2969.5</v>
      </c>
      <c r="C61" s="3"/>
      <c r="D61" s="2"/>
      <c r="E61" s="2"/>
      <c r="F61" s="2"/>
      <c r="G61" s="85">
        <f>(408437+0+22000+5953+4737+27885+38600)/1000</f>
        <v>507.612</v>
      </c>
      <c r="H61" s="85"/>
      <c r="I61" s="85">
        <f>(60874+1500+123348+2078+3061+15000+0)/1000</f>
        <v>205.861</v>
      </c>
      <c r="J61" s="85"/>
      <c r="K61" s="85">
        <f>(60874+0+18384+2078+3061+6581+0)/1000</f>
        <v>90.978</v>
      </c>
      <c r="L61" s="85"/>
      <c r="M61" s="85">
        <f>(121748+0+18384+2078+3061+6825+0)/1000</f>
        <v>152.096</v>
      </c>
      <c r="N61" s="85"/>
      <c r="O61" s="85">
        <f>(262933+0+12418+2078+3061+0+0)/1000</f>
        <v>280.49</v>
      </c>
      <c r="P61" s="85"/>
      <c r="Q61" s="85">
        <f>(223410+315200+26819+2078+3061+6581+28000)/1000</f>
        <v>605.149</v>
      </c>
      <c r="R61" s="85"/>
      <c r="S61" s="85">
        <f>(76417+119100+22788+2078+3061+6825+0)/1000</f>
        <v>230.269</v>
      </c>
      <c r="T61" s="85"/>
      <c r="U61" s="85">
        <f>(45980+0+7795+2078+3061+0+0)/1000</f>
        <v>58.914</v>
      </c>
      <c r="V61" s="85"/>
      <c r="W61" s="85">
        <f>(60874+0+4690+2078+3061+6581+0)/1000</f>
        <v>77.284</v>
      </c>
      <c r="X61" s="85"/>
      <c r="Y61" s="85">
        <f>(121748+1500+6209+2078+3061+21825+0)/1000</f>
        <v>156.421</v>
      </c>
      <c r="Z61" s="85"/>
      <c r="AA61" s="85">
        <f>(60874+0+12418+2078+3061+0+0)/1000</f>
        <v>78.431</v>
      </c>
      <c r="AB61" s="85"/>
      <c r="AC61" s="85">
        <f>(323231+0+138347+2067+3053+59297+0)/1000</f>
        <v>525.995</v>
      </c>
      <c r="AD61" s="2"/>
      <c r="AE61" s="21"/>
      <c r="AG61" s="80">
        <f t="shared" si="1"/>
        <v>2969.5</v>
      </c>
      <c r="AH61" s="81">
        <f t="shared" si="2"/>
        <v>0</v>
      </c>
      <c r="AI61" s="93">
        <f t="shared" si="3"/>
        <v>2969.5</v>
      </c>
      <c r="AJ61" s="18">
        <v>507.612</v>
      </c>
      <c r="AL61" s="18">
        <v>205.861</v>
      </c>
      <c r="AN61" s="18">
        <v>90.978</v>
      </c>
      <c r="AP61" s="18">
        <v>152.096</v>
      </c>
      <c r="AR61" s="18">
        <v>280.49</v>
      </c>
      <c r="AT61" s="18">
        <v>605.149</v>
      </c>
      <c r="AV61" s="18">
        <v>230.269</v>
      </c>
      <c r="AX61" s="18">
        <v>58.914</v>
      </c>
      <c r="AZ61" s="18">
        <v>77.284</v>
      </c>
      <c r="BB61" s="18">
        <v>156.421</v>
      </c>
      <c r="BD61" s="18">
        <v>78.431</v>
      </c>
      <c r="BF61" s="18">
        <v>525.995</v>
      </c>
    </row>
    <row r="62" spans="1:35" s="18" customFormat="1" ht="56.25">
      <c r="A62" s="5" t="s">
        <v>135</v>
      </c>
      <c r="B62" s="5"/>
      <c r="C62" s="3"/>
      <c r="D62" s="2"/>
      <c r="E62" s="2"/>
      <c r="F62" s="2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2"/>
      <c r="AE62" s="21"/>
      <c r="AG62" s="80">
        <f t="shared" si="1"/>
        <v>0</v>
      </c>
      <c r="AH62" s="81">
        <f t="shared" si="2"/>
        <v>0</v>
      </c>
      <c r="AI62" s="93">
        <f t="shared" si="3"/>
        <v>0</v>
      </c>
    </row>
    <row r="63" spans="1:35" s="18" customFormat="1" ht="20.25">
      <c r="A63" s="4" t="s">
        <v>22</v>
      </c>
      <c r="B63" s="4"/>
      <c r="C63" s="3"/>
      <c r="D63" s="2"/>
      <c r="E63" s="2"/>
      <c r="F63" s="2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2"/>
      <c r="AE63" s="21"/>
      <c r="AG63" s="80">
        <f t="shared" si="1"/>
        <v>0</v>
      </c>
      <c r="AH63" s="81">
        <f t="shared" si="2"/>
        <v>0</v>
      </c>
      <c r="AI63" s="93">
        <f t="shared" si="3"/>
        <v>0</v>
      </c>
    </row>
    <row r="64" spans="1:35" s="18" customFormat="1" ht="60" customHeight="1">
      <c r="A64" s="45" t="s">
        <v>136</v>
      </c>
      <c r="B64" s="4"/>
      <c r="C64" s="3"/>
      <c r="D64" s="2"/>
      <c r="E64" s="2"/>
      <c r="F64" s="2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2"/>
      <c r="AE64" s="21"/>
      <c r="AG64" s="80">
        <f t="shared" si="1"/>
        <v>0</v>
      </c>
      <c r="AH64" s="81">
        <f t="shared" si="2"/>
        <v>0</v>
      </c>
      <c r="AI64" s="93">
        <f t="shared" si="3"/>
        <v>0</v>
      </c>
    </row>
    <row r="65" spans="1:35" s="18" customFormat="1" ht="20.25">
      <c r="A65" s="5" t="s">
        <v>32</v>
      </c>
      <c r="B65" s="5">
        <f>B66</f>
        <v>0</v>
      </c>
      <c r="C65" s="2"/>
      <c r="D65" s="2"/>
      <c r="E65" s="2"/>
      <c r="F65" s="2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2"/>
      <c r="AE65" s="21"/>
      <c r="AG65" s="80">
        <f t="shared" si="1"/>
        <v>0</v>
      </c>
      <c r="AH65" s="81">
        <f t="shared" si="2"/>
        <v>0</v>
      </c>
      <c r="AI65" s="93">
        <f t="shared" si="3"/>
        <v>0</v>
      </c>
    </row>
    <row r="66" spans="1:35" s="18" customFormat="1" ht="20.25">
      <c r="A66" s="4" t="s">
        <v>25</v>
      </c>
      <c r="B66" s="4">
        <v>0</v>
      </c>
      <c r="C66" s="3"/>
      <c r="D66" s="2"/>
      <c r="E66" s="2"/>
      <c r="F66" s="2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2"/>
      <c r="AE66" s="21"/>
      <c r="AG66" s="80">
        <f t="shared" si="1"/>
        <v>0</v>
      </c>
      <c r="AH66" s="81">
        <f t="shared" si="2"/>
        <v>0</v>
      </c>
      <c r="AI66" s="93">
        <f t="shared" si="3"/>
        <v>0</v>
      </c>
    </row>
    <row r="67" spans="1:35" s="18" customFormat="1" ht="174.75" customHeight="1">
      <c r="A67" s="46" t="s">
        <v>137</v>
      </c>
      <c r="B67" s="22"/>
      <c r="C67" s="3"/>
      <c r="D67" s="2"/>
      <c r="E67" s="2"/>
      <c r="F67" s="2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2"/>
      <c r="AE67" s="21"/>
      <c r="AG67" s="80">
        <f t="shared" si="1"/>
        <v>0</v>
      </c>
      <c r="AH67" s="81">
        <f t="shared" si="2"/>
        <v>0</v>
      </c>
      <c r="AI67" s="93">
        <f t="shared" si="3"/>
        <v>0</v>
      </c>
    </row>
    <row r="68" spans="1:35" s="18" customFormat="1" ht="20.25">
      <c r="A68" s="5" t="s">
        <v>32</v>
      </c>
      <c r="B68" s="5">
        <f>B69</f>
        <v>0</v>
      </c>
      <c r="C68" s="2"/>
      <c r="D68" s="2"/>
      <c r="E68" s="2"/>
      <c r="F68" s="2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2"/>
      <c r="AE68" s="21"/>
      <c r="AG68" s="80">
        <f t="shared" si="1"/>
        <v>0</v>
      </c>
      <c r="AH68" s="81">
        <f t="shared" si="2"/>
        <v>0</v>
      </c>
      <c r="AI68" s="93">
        <f t="shared" si="3"/>
        <v>0</v>
      </c>
    </row>
    <row r="69" spans="1:35" s="18" customFormat="1" ht="20.25">
      <c r="A69" s="4" t="s">
        <v>25</v>
      </c>
      <c r="B69" s="4">
        <v>0</v>
      </c>
      <c r="C69" s="3"/>
      <c r="D69" s="2"/>
      <c r="E69" s="2"/>
      <c r="F69" s="2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2"/>
      <c r="AE69" s="21"/>
      <c r="AG69" s="80">
        <f t="shared" si="1"/>
        <v>0</v>
      </c>
      <c r="AH69" s="81">
        <f t="shared" si="2"/>
        <v>0</v>
      </c>
      <c r="AI69" s="93">
        <f t="shared" si="3"/>
        <v>0</v>
      </c>
    </row>
    <row r="70" spans="1:58" s="49" customFormat="1" ht="20.25">
      <c r="A70" s="5" t="s">
        <v>33</v>
      </c>
      <c r="B70" s="5">
        <f>B71+B72</f>
        <v>22107.2</v>
      </c>
      <c r="C70" s="2"/>
      <c r="D70" s="2"/>
      <c r="E70" s="2"/>
      <c r="F70" s="2"/>
      <c r="G70" s="89">
        <f>G71+G72</f>
        <v>507.612</v>
      </c>
      <c r="H70" s="89">
        <f aca="true" t="shared" si="13" ref="H70:AD70">H71+H72</f>
        <v>0</v>
      </c>
      <c r="I70" s="89">
        <f t="shared" si="13"/>
        <v>1213.35</v>
      </c>
      <c r="J70" s="89">
        <f t="shared" si="13"/>
        <v>0</v>
      </c>
      <c r="K70" s="89">
        <f>K71+K72</f>
        <v>797.9839999999999</v>
      </c>
      <c r="L70" s="89">
        <f t="shared" si="13"/>
        <v>0</v>
      </c>
      <c r="M70" s="89">
        <f t="shared" si="13"/>
        <v>862.679</v>
      </c>
      <c r="N70" s="89">
        <f t="shared" si="13"/>
        <v>0</v>
      </c>
      <c r="O70" s="89">
        <f t="shared" si="13"/>
        <v>1359.876</v>
      </c>
      <c r="P70" s="89">
        <f t="shared" si="13"/>
        <v>0</v>
      </c>
      <c r="Q70" s="89">
        <f t="shared" si="13"/>
        <v>4564.331</v>
      </c>
      <c r="R70" s="89">
        <f t="shared" si="13"/>
        <v>0</v>
      </c>
      <c r="S70" s="89">
        <f t="shared" si="13"/>
        <v>4124.782</v>
      </c>
      <c r="T70" s="89">
        <f t="shared" si="13"/>
        <v>0</v>
      </c>
      <c r="U70" s="89">
        <f t="shared" si="13"/>
        <v>3877.785</v>
      </c>
      <c r="V70" s="89">
        <f t="shared" si="13"/>
        <v>0</v>
      </c>
      <c r="W70" s="89">
        <f t="shared" si="13"/>
        <v>1050.504</v>
      </c>
      <c r="X70" s="89">
        <f t="shared" si="13"/>
        <v>0</v>
      </c>
      <c r="Y70" s="89">
        <f t="shared" si="13"/>
        <v>1142.709</v>
      </c>
      <c r="Z70" s="89">
        <f t="shared" si="13"/>
        <v>0</v>
      </c>
      <c r="AA70" s="89">
        <f t="shared" si="13"/>
        <v>796.6510000000001</v>
      </c>
      <c r="AB70" s="89">
        <f t="shared" si="13"/>
        <v>0</v>
      </c>
      <c r="AC70" s="89">
        <f t="shared" si="13"/>
        <v>1808.895</v>
      </c>
      <c r="AD70" s="51">
        <f t="shared" si="13"/>
        <v>0</v>
      </c>
      <c r="AE70" s="21"/>
      <c r="AG70" s="80">
        <f t="shared" si="1"/>
        <v>22107.158000000003</v>
      </c>
      <c r="AH70" s="81">
        <f t="shared" si="2"/>
        <v>0.04199999999764259</v>
      </c>
      <c r="AI70" s="93">
        <f t="shared" si="3"/>
        <v>22107.234</v>
      </c>
      <c r="AJ70" s="49">
        <v>507.612</v>
      </c>
      <c r="AK70" s="49">
        <v>0</v>
      </c>
      <c r="AL70" s="49">
        <v>1213.358</v>
      </c>
      <c r="AM70" s="49">
        <v>0</v>
      </c>
      <c r="AN70" s="49">
        <v>797.992</v>
      </c>
      <c r="AO70" s="49">
        <v>0</v>
      </c>
      <c r="AP70" s="49">
        <v>862.686</v>
      </c>
      <c r="AQ70" s="49">
        <v>0</v>
      </c>
      <c r="AR70" s="49">
        <v>1359.882</v>
      </c>
      <c r="AS70" s="49">
        <v>0</v>
      </c>
      <c r="AT70" s="49">
        <v>4564.309</v>
      </c>
      <c r="AU70" s="49">
        <v>0</v>
      </c>
      <c r="AV70" s="49">
        <v>4124.754</v>
      </c>
      <c r="AW70" s="49">
        <v>0</v>
      </c>
      <c r="AX70" s="49">
        <v>3877.856</v>
      </c>
      <c r="AY70" s="49">
        <v>0</v>
      </c>
      <c r="AZ70" s="49">
        <v>1050.511</v>
      </c>
      <c r="BA70" s="49">
        <v>0</v>
      </c>
      <c r="BB70" s="49">
        <v>1142.7160000000001</v>
      </c>
      <c r="BC70" s="49">
        <v>0</v>
      </c>
      <c r="BD70" s="49">
        <v>796.6569999999999</v>
      </c>
      <c r="BE70" s="49">
        <v>0</v>
      </c>
      <c r="BF70" s="49">
        <v>1808.9010000000003</v>
      </c>
    </row>
    <row r="71" spans="1:58" s="18" customFormat="1" ht="20.25">
      <c r="A71" s="4" t="s">
        <v>24</v>
      </c>
      <c r="B71" s="4">
        <f>B15+B22+B46+B61</f>
        <v>4374.8</v>
      </c>
      <c r="C71" s="3"/>
      <c r="D71" s="2"/>
      <c r="E71" s="2"/>
      <c r="F71" s="2"/>
      <c r="G71" s="90">
        <f>G15+G22+G46+G61</f>
        <v>507.612</v>
      </c>
      <c r="H71" s="90">
        <f aca="true" t="shared" si="14" ref="H71:AD71">H15+H22+H46+H61</f>
        <v>0</v>
      </c>
      <c r="I71" s="90">
        <f t="shared" si="14"/>
        <v>205.861</v>
      </c>
      <c r="J71" s="90">
        <f t="shared" si="14"/>
        <v>0</v>
      </c>
      <c r="K71" s="90">
        <f t="shared" si="14"/>
        <v>90.978</v>
      </c>
      <c r="L71" s="90">
        <f t="shared" si="14"/>
        <v>0</v>
      </c>
      <c r="M71" s="90">
        <f t="shared" si="14"/>
        <v>152.096</v>
      </c>
      <c r="N71" s="90">
        <f t="shared" si="14"/>
        <v>0</v>
      </c>
      <c r="O71" s="90">
        <f t="shared" si="14"/>
        <v>405.724</v>
      </c>
      <c r="P71" s="90">
        <f t="shared" si="14"/>
        <v>0</v>
      </c>
      <c r="Q71" s="90">
        <f t="shared" si="14"/>
        <v>730.381</v>
      </c>
      <c r="R71" s="90">
        <f t="shared" si="14"/>
        <v>0</v>
      </c>
      <c r="S71" s="90">
        <f t="shared" si="14"/>
        <v>596.4010000000001</v>
      </c>
      <c r="T71" s="90">
        <f t="shared" si="14"/>
        <v>0</v>
      </c>
      <c r="U71" s="90">
        <f t="shared" si="14"/>
        <v>609.7339999999999</v>
      </c>
      <c r="V71" s="90">
        <f t="shared" si="14"/>
        <v>0</v>
      </c>
      <c r="W71" s="90">
        <f t="shared" si="14"/>
        <v>139.904</v>
      </c>
      <c r="X71" s="90">
        <f t="shared" si="14"/>
        <v>0</v>
      </c>
      <c r="Y71" s="90">
        <f t="shared" si="14"/>
        <v>269.041</v>
      </c>
      <c r="Z71" s="90">
        <f t="shared" si="14"/>
        <v>0</v>
      </c>
      <c r="AA71" s="90">
        <f t="shared" si="14"/>
        <v>141.051</v>
      </c>
      <c r="AB71" s="90">
        <f t="shared" si="14"/>
        <v>0</v>
      </c>
      <c r="AC71" s="90">
        <f t="shared" si="14"/>
        <v>525.995</v>
      </c>
      <c r="AD71" s="4">
        <f t="shared" si="14"/>
        <v>0</v>
      </c>
      <c r="AE71" s="21"/>
      <c r="AG71" s="80">
        <f t="shared" si="1"/>
        <v>4374.778</v>
      </c>
      <c r="AH71" s="81">
        <f t="shared" si="2"/>
        <v>0.021999999999934516</v>
      </c>
      <c r="AI71" s="93">
        <f t="shared" si="3"/>
        <v>4374.780000000001</v>
      </c>
      <c r="AJ71" s="18">
        <v>507.612</v>
      </c>
      <c r="AK71" s="18">
        <v>0</v>
      </c>
      <c r="AL71" s="18">
        <v>205.861</v>
      </c>
      <c r="AM71" s="18">
        <v>0</v>
      </c>
      <c r="AN71" s="18">
        <v>90.978</v>
      </c>
      <c r="AO71" s="18">
        <v>0</v>
      </c>
      <c r="AP71" s="18">
        <v>152.096</v>
      </c>
      <c r="AQ71" s="18">
        <v>0</v>
      </c>
      <c r="AR71" s="18">
        <v>405.724</v>
      </c>
      <c r="AS71" s="18">
        <v>0</v>
      </c>
      <c r="AT71" s="18">
        <v>730.381</v>
      </c>
      <c r="AU71" s="18">
        <v>0</v>
      </c>
      <c r="AV71" s="18">
        <v>596.371</v>
      </c>
      <c r="AW71" s="18">
        <v>0</v>
      </c>
      <c r="AX71" s="18">
        <v>609.766</v>
      </c>
      <c r="AY71" s="18">
        <v>0</v>
      </c>
      <c r="AZ71" s="18">
        <v>139.904</v>
      </c>
      <c r="BA71" s="18">
        <v>0</v>
      </c>
      <c r="BB71" s="18">
        <v>269.041</v>
      </c>
      <c r="BC71" s="18">
        <v>0</v>
      </c>
      <c r="BD71" s="18">
        <v>141.051</v>
      </c>
      <c r="BE71" s="18">
        <v>0</v>
      </c>
      <c r="BF71" s="18">
        <v>525.995</v>
      </c>
    </row>
    <row r="72" spans="1:58" s="18" customFormat="1" ht="20.2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90">
        <f>G16+G19+G23+G26+G29+G32+G40+G55</f>
        <v>0</v>
      </c>
      <c r="H72" s="90">
        <f aca="true" t="shared" si="15" ref="H72:AD72">H16+H19+H23+H26+H29+H32+H40+H55</f>
        <v>0</v>
      </c>
      <c r="I72" s="90">
        <f t="shared" si="15"/>
        <v>1007.489</v>
      </c>
      <c r="J72" s="90">
        <f t="shared" si="15"/>
        <v>0</v>
      </c>
      <c r="K72" s="90">
        <f t="shared" si="15"/>
        <v>707.006</v>
      </c>
      <c r="L72" s="90">
        <f t="shared" si="15"/>
        <v>0</v>
      </c>
      <c r="M72" s="90">
        <f t="shared" si="15"/>
        <v>710.583</v>
      </c>
      <c r="N72" s="90">
        <f t="shared" si="15"/>
        <v>0</v>
      </c>
      <c r="O72" s="90">
        <f t="shared" si="15"/>
        <v>954.152</v>
      </c>
      <c r="P72" s="90">
        <f t="shared" si="15"/>
        <v>0</v>
      </c>
      <c r="Q72" s="90">
        <f t="shared" si="15"/>
        <v>3833.9500000000003</v>
      </c>
      <c r="R72" s="90">
        <f t="shared" si="15"/>
        <v>0</v>
      </c>
      <c r="S72" s="90">
        <f t="shared" si="15"/>
        <v>3528.381</v>
      </c>
      <c r="T72" s="90">
        <f t="shared" si="15"/>
        <v>0</v>
      </c>
      <c r="U72" s="90">
        <f t="shared" si="15"/>
        <v>3268.051</v>
      </c>
      <c r="V72" s="90">
        <f t="shared" si="15"/>
        <v>0</v>
      </c>
      <c r="W72" s="90">
        <f t="shared" si="15"/>
        <v>910.6</v>
      </c>
      <c r="X72" s="90">
        <f t="shared" si="15"/>
        <v>0</v>
      </c>
      <c r="Y72" s="90">
        <f t="shared" si="15"/>
        <v>873.668</v>
      </c>
      <c r="Z72" s="90">
        <f t="shared" si="15"/>
        <v>0</v>
      </c>
      <c r="AA72" s="90">
        <f t="shared" si="15"/>
        <v>655.6</v>
      </c>
      <c r="AB72" s="90">
        <f t="shared" si="15"/>
        <v>0</v>
      </c>
      <c r="AC72" s="90">
        <f t="shared" si="15"/>
        <v>1282.9</v>
      </c>
      <c r="AD72" s="50">
        <f t="shared" si="15"/>
        <v>0</v>
      </c>
      <c r="AE72" s="21"/>
      <c r="AG72" s="80">
        <f t="shared" si="1"/>
        <v>17732.38</v>
      </c>
      <c r="AH72" s="81">
        <f t="shared" si="2"/>
        <v>0.020000000000436557</v>
      </c>
      <c r="AI72" s="93">
        <f t="shared" si="3"/>
        <v>17732.453999999998</v>
      </c>
      <c r="AJ72" s="18">
        <v>0</v>
      </c>
      <c r="AK72" s="18">
        <v>0</v>
      </c>
      <c r="AL72" s="18">
        <v>1007.497</v>
      </c>
      <c r="AM72" s="18">
        <v>0</v>
      </c>
      <c r="AN72" s="18">
        <v>707.014</v>
      </c>
      <c r="AO72" s="18">
        <v>0</v>
      </c>
      <c r="AP72" s="18">
        <v>710.59</v>
      </c>
      <c r="AQ72" s="18">
        <v>0</v>
      </c>
      <c r="AR72" s="18">
        <v>954.158</v>
      </c>
      <c r="AS72" s="18">
        <v>0</v>
      </c>
      <c r="AT72" s="18">
        <v>3833.928</v>
      </c>
      <c r="AU72" s="18">
        <v>0</v>
      </c>
      <c r="AV72" s="18">
        <v>3528.383</v>
      </c>
      <c r="AW72" s="18">
        <v>0</v>
      </c>
      <c r="AX72" s="18">
        <v>3268.09</v>
      </c>
      <c r="AY72" s="18">
        <v>0</v>
      </c>
      <c r="AZ72" s="18">
        <v>910.607</v>
      </c>
      <c r="BA72" s="18">
        <v>0</v>
      </c>
      <c r="BB72" s="18">
        <v>873.6750000000001</v>
      </c>
      <c r="BC72" s="18">
        <v>0</v>
      </c>
      <c r="BD72" s="18">
        <v>655.606</v>
      </c>
      <c r="BE72" s="18">
        <v>0</v>
      </c>
      <c r="BF72" s="18">
        <v>1282.9060000000002</v>
      </c>
    </row>
    <row r="73" spans="1:34" s="18" customFormat="1" ht="20.2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  <c r="AG73" s="79"/>
      <c r="AH73" s="79"/>
    </row>
    <row r="74" spans="1:34" s="18" customFormat="1" ht="20.2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  <c r="AG74" s="79"/>
      <c r="AH74" s="79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84"/>
      <c r="AH76" s="84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84"/>
      <c r="AH77" s="84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84"/>
      <c r="AH78" s="84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93"/>
  <sheetViews>
    <sheetView zoomScale="50" zoomScaleNormal="50" zoomScalePageLayoutView="0" workbookViewId="0" topLeftCell="A1">
      <selection activeCell="AM26" sqref="AM26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16384" width="9.140625" style="1" customWidth="1"/>
  </cols>
  <sheetData>
    <row r="1" spans="1:18" ht="26.25" customHeight="1">
      <c r="A1" s="26"/>
      <c r="F1" s="183"/>
      <c r="G1" s="183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83" t="s">
        <v>27</v>
      </c>
      <c r="O2" s="183"/>
      <c r="P2" s="183"/>
      <c r="Q2" s="183"/>
      <c r="R2" s="183"/>
    </row>
    <row r="3" spans="1:31" ht="26.25" customHeight="1">
      <c r="A3" s="23"/>
      <c r="N3" s="186" t="s">
        <v>35</v>
      </c>
      <c r="O3" s="186"/>
      <c r="P3" s="186"/>
      <c r="Q3" s="186"/>
      <c r="R3" s="186"/>
      <c r="AE3" s="8"/>
    </row>
    <row r="4" spans="1:31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</row>
    <row r="5" spans="1:31" s="11" customFormat="1" ht="18.75" customHeight="1">
      <c r="A5" s="185" t="s">
        <v>5</v>
      </c>
      <c r="B5" s="187" t="s">
        <v>23</v>
      </c>
      <c r="C5" s="187" t="s">
        <v>19</v>
      </c>
      <c r="D5" s="187" t="s">
        <v>20</v>
      </c>
      <c r="E5" s="184" t="s">
        <v>15</v>
      </c>
      <c r="F5" s="184"/>
      <c r="G5" s="184" t="s">
        <v>0</v>
      </c>
      <c r="H5" s="184"/>
      <c r="I5" s="184" t="s">
        <v>1</v>
      </c>
      <c r="J5" s="184"/>
      <c r="K5" s="184" t="s">
        <v>2</v>
      </c>
      <c r="L5" s="184"/>
      <c r="M5" s="184" t="s">
        <v>3</v>
      </c>
      <c r="N5" s="184"/>
      <c r="O5" s="184" t="s">
        <v>4</v>
      </c>
      <c r="P5" s="184"/>
      <c r="Q5" s="184" t="s">
        <v>6</v>
      </c>
      <c r="R5" s="184"/>
      <c r="S5" s="184" t="s">
        <v>7</v>
      </c>
      <c r="T5" s="184"/>
      <c r="U5" s="184" t="s">
        <v>8</v>
      </c>
      <c r="V5" s="184"/>
      <c r="W5" s="184" t="s">
        <v>9</v>
      </c>
      <c r="X5" s="184"/>
      <c r="Y5" s="184" t="s">
        <v>10</v>
      </c>
      <c r="Z5" s="184"/>
      <c r="AA5" s="184" t="s">
        <v>11</v>
      </c>
      <c r="AB5" s="184"/>
      <c r="AC5" s="184" t="s">
        <v>12</v>
      </c>
      <c r="AD5" s="184"/>
      <c r="AE5" s="185" t="s">
        <v>21</v>
      </c>
    </row>
    <row r="6" spans="1:31" s="13" customFormat="1" ht="84" customHeight="1">
      <c r="A6" s="185"/>
      <c r="B6" s="188"/>
      <c r="C6" s="188"/>
      <c r="D6" s="188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85"/>
    </row>
    <row r="7" spans="1:31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</row>
    <row r="8" spans="1:31" s="17" customFormat="1" ht="18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8.7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</row>
    <row r="12" spans="1:31" s="18" customFormat="1" ht="18.7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</row>
    <row r="13" spans="1:31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</row>
    <row r="14" spans="1:31" s="18" customFormat="1" ht="18.75">
      <c r="A14" s="5" t="s">
        <v>32</v>
      </c>
      <c r="B14" s="5">
        <f>B15+B16</f>
        <v>7910.6</v>
      </c>
      <c r="C14" s="2"/>
      <c r="D14" s="2"/>
      <c r="E14" s="2"/>
      <c r="F14" s="2"/>
      <c r="G14" s="2">
        <f>G15+G16</f>
        <v>0</v>
      </c>
      <c r="H14" s="2">
        <f aca="true" t="shared" si="0" ref="H14:AD14">H15+H16</f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2636.872</v>
      </c>
      <c r="R14" s="2">
        <f t="shared" si="0"/>
        <v>0</v>
      </c>
      <c r="S14" s="2">
        <f t="shared" si="0"/>
        <v>2636.872</v>
      </c>
      <c r="T14" s="2">
        <f t="shared" si="0"/>
        <v>0</v>
      </c>
      <c r="U14" s="2">
        <f t="shared" si="0"/>
        <v>2636.871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0</v>
      </c>
      <c r="AB14" s="2">
        <f t="shared" si="0"/>
        <v>0</v>
      </c>
      <c r="AC14" s="2">
        <f t="shared" si="0"/>
        <v>0</v>
      </c>
      <c r="AD14" s="2">
        <f t="shared" si="0"/>
        <v>0</v>
      </c>
      <c r="AE14" s="21"/>
    </row>
    <row r="15" spans="1:31" s="18" customFormat="1" ht="18.75">
      <c r="A15" s="4" t="s">
        <v>24</v>
      </c>
      <c r="B15" s="4">
        <v>729.1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0</v>
      </c>
      <c r="R15" s="2"/>
      <c r="S15" s="2">
        <v>240.87</v>
      </c>
      <c r="T15" s="2"/>
      <c r="U15" s="2">
        <v>488.232</v>
      </c>
      <c r="V15" s="2"/>
      <c r="W15" s="2"/>
      <c r="X15" s="2"/>
      <c r="Y15" s="2"/>
      <c r="Z15" s="2"/>
      <c r="AA15" s="2"/>
      <c r="AB15" s="2"/>
      <c r="AC15" s="2"/>
      <c r="AD15" s="2"/>
      <c r="AE15" s="21"/>
    </row>
    <row r="16" spans="1:31" s="18" customFormat="1" ht="18.75">
      <c r="A16" s="4" t="s">
        <v>25</v>
      </c>
      <c r="B16" s="4">
        <v>7181.5</v>
      </c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2636.872</v>
      </c>
      <c r="R16" s="2"/>
      <c r="S16" s="2">
        <v>2396.002</v>
      </c>
      <c r="T16" s="2"/>
      <c r="U16" s="2">
        <v>2148.639</v>
      </c>
      <c r="V16" s="2"/>
      <c r="W16" s="2"/>
      <c r="X16" s="2"/>
      <c r="Y16" s="2"/>
      <c r="Z16" s="2"/>
      <c r="AA16" s="2"/>
      <c r="AB16" s="2"/>
      <c r="AC16" s="2"/>
      <c r="AD16" s="2"/>
      <c r="AE16" s="21"/>
    </row>
    <row r="17" spans="1:31" s="18" customFormat="1" ht="78.75" customHeight="1">
      <c r="A17" s="46" t="s">
        <v>118</v>
      </c>
      <c r="B17" s="2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1"/>
    </row>
    <row r="18" spans="1:31" s="18" customFormat="1" ht="18.75">
      <c r="A18" s="5" t="s">
        <v>32</v>
      </c>
      <c r="B18" s="5">
        <f>B19</f>
        <v>256.6</v>
      </c>
      <c r="C18" s="2"/>
      <c r="D18" s="2"/>
      <c r="E18" s="2"/>
      <c r="F18" s="2"/>
      <c r="G18" s="2">
        <f>G19</f>
        <v>0</v>
      </c>
      <c r="H18" s="2">
        <f aca="true" t="shared" si="1" ref="H18:AD18">H19</f>
        <v>0</v>
      </c>
      <c r="I18" s="2">
        <f t="shared" si="1"/>
        <v>28.508</v>
      </c>
      <c r="J18" s="2">
        <f t="shared" si="1"/>
        <v>0</v>
      </c>
      <c r="K18" s="2">
        <f t="shared" si="1"/>
        <v>28.508</v>
      </c>
      <c r="L18" s="2">
        <f t="shared" si="1"/>
        <v>0</v>
      </c>
      <c r="M18" s="2">
        <f t="shared" si="1"/>
        <v>28.507</v>
      </c>
      <c r="N18" s="2">
        <f t="shared" si="1"/>
        <v>0</v>
      </c>
      <c r="O18" s="2">
        <f t="shared" si="1"/>
        <v>28.506</v>
      </c>
      <c r="P18" s="2">
        <f t="shared" si="1"/>
        <v>0</v>
      </c>
      <c r="Q18" s="2">
        <f t="shared" si="1"/>
        <v>28.506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28.507</v>
      </c>
      <c r="X18" s="2">
        <f t="shared" si="1"/>
        <v>0</v>
      </c>
      <c r="Y18" s="2">
        <f t="shared" si="1"/>
        <v>28.507</v>
      </c>
      <c r="Z18" s="2">
        <f t="shared" si="1"/>
        <v>0</v>
      </c>
      <c r="AA18" s="2">
        <f t="shared" si="1"/>
        <v>28.506</v>
      </c>
      <c r="AB18" s="2">
        <f t="shared" si="1"/>
        <v>0</v>
      </c>
      <c r="AC18" s="2">
        <f t="shared" si="1"/>
        <v>28.506</v>
      </c>
      <c r="AD18" s="2">
        <f t="shared" si="1"/>
        <v>0</v>
      </c>
      <c r="AE18" s="21"/>
    </row>
    <row r="19" spans="1:31" s="18" customFormat="1" ht="18.75">
      <c r="A19" s="4" t="s">
        <v>25</v>
      </c>
      <c r="B19" s="4">
        <v>256.6</v>
      </c>
      <c r="C19" s="3"/>
      <c r="D19" s="2"/>
      <c r="E19" s="2"/>
      <c r="F19" s="2"/>
      <c r="G19" s="2"/>
      <c r="H19" s="2"/>
      <c r="I19" s="2">
        <v>28.508</v>
      </c>
      <c r="J19" s="2"/>
      <c r="K19" s="2">
        <v>28.508</v>
      </c>
      <c r="L19" s="2"/>
      <c r="M19" s="2">
        <v>28.507</v>
      </c>
      <c r="N19" s="2"/>
      <c r="O19" s="2">
        <v>28.506</v>
      </c>
      <c r="P19" s="2"/>
      <c r="Q19" s="2">
        <v>28.506</v>
      </c>
      <c r="R19" s="2"/>
      <c r="S19" s="2"/>
      <c r="T19" s="2"/>
      <c r="U19" s="2"/>
      <c r="V19" s="2"/>
      <c r="W19" s="2">
        <v>28.507</v>
      </c>
      <c r="X19" s="2"/>
      <c r="Y19" s="2">
        <v>28.507</v>
      </c>
      <c r="Z19" s="2"/>
      <c r="AA19" s="2">
        <v>28.506</v>
      </c>
      <c r="AB19" s="2"/>
      <c r="AC19" s="2">
        <v>28.506</v>
      </c>
      <c r="AD19" s="2"/>
      <c r="AE19" s="21"/>
    </row>
    <row r="20" spans="1:31" s="18" customFormat="1" ht="75">
      <c r="A20" s="45" t="s">
        <v>119</v>
      </c>
      <c r="B20" s="4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1"/>
    </row>
    <row r="21" spans="1:31" s="18" customFormat="1" ht="18.75">
      <c r="A21" s="5" t="s">
        <v>32</v>
      </c>
      <c r="B21" s="5">
        <f>B22+B23</f>
        <v>792</v>
      </c>
      <c r="C21" s="2"/>
      <c r="D21" s="2"/>
      <c r="E21" s="2"/>
      <c r="F21" s="2"/>
      <c r="G21" s="2">
        <f aca="true" t="shared" si="2" ref="G21:AD21">G22+G23</f>
        <v>0</v>
      </c>
      <c r="H21" s="2">
        <f t="shared" si="2"/>
        <v>0</v>
      </c>
      <c r="I21" s="2">
        <f t="shared" si="2"/>
        <v>74.419</v>
      </c>
      <c r="J21" s="2">
        <f t="shared" si="2"/>
        <v>0</v>
      </c>
      <c r="K21" s="2">
        <f t="shared" si="2"/>
        <v>65.506</v>
      </c>
      <c r="L21" s="2">
        <f t="shared" si="2"/>
        <v>0</v>
      </c>
      <c r="M21" s="2">
        <f t="shared" si="2"/>
        <v>25.915</v>
      </c>
      <c r="N21" s="2">
        <f t="shared" si="2"/>
        <v>0</v>
      </c>
      <c r="O21" s="2">
        <f t="shared" si="2"/>
        <v>125.234</v>
      </c>
      <c r="P21" s="2">
        <f t="shared" si="2"/>
        <v>0</v>
      </c>
      <c r="Q21" s="2">
        <f t="shared" si="2"/>
        <v>125.232</v>
      </c>
      <c r="R21" s="2">
        <f t="shared" si="2"/>
        <v>0</v>
      </c>
      <c r="S21" s="2">
        <f t="shared" si="2"/>
        <v>125.232</v>
      </c>
      <c r="T21" s="2">
        <f t="shared" si="2"/>
        <v>0</v>
      </c>
      <c r="U21" s="2">
        <f t="shared" si="2"/>
        <v>62.62</v>
      </c>
      <c r="V21" s="2">
        <f t="shared" si="2"/>
        <v>0</v>
      </c>
      <c r="W21" s="2">
        <f t="shared" si="2"/>
        <v>62.62</v>
      </c>
      <c r="X21" s="2">
        <f t="shared" si="2"/>
        <v>0</v>
      </c>
      <c r="Y21" s="2">
        <f t="shared" si="2"/>
        <v>62.62</v>
      </c>
      <c r="Z21" s="2">
        <f t="shared" si="2"/>
        <v>0</v>
      </c>
      <c r="AA21" s="2">
        <f t="shared" si="2"/>
        <v>62.62</v>
      </c>
      <c r="AB21" s="2">
        <f t="shared" si="2"/>
        <v>0</v>
      </c>
      <c r="AC21" s="2">
        <f t="shared" si="2"/>
        <v>0</v>
      </c>
      <c r="AD21" s="2">
        <f t="shared" si="2"/>
        <v>0</v>
      </c>
      <c r="AE21" s="21"/>
    </row>
    <row r="22" spans="1:31" s="18" customFormat="1" ht="18.75">
      <c r="A22" s="4" t="s">
        <v>24</v>
      </c>
      <c r="B22" s="4">
        <v>626.2</v>
      </c>
      <c r="C22" s="3"/>
      <c r="D22" s="2"/>
      <c r="E22" s="2"/>
      <c r="F22" s="2"/>
      <c r="G22" s="2"/>
      <c r="H22" s="2"/>
      <c r="I22" s="2">
        <v>0</v>
      </c>
      <c r="J22" s="2"/>
      <c r="K22" s="2">
        <v>0</v>
      </c>
      <c r="L22" s="2"/>
      <c r="M22" s="2">
        <v>0</v>
      </c>
      <c r="N22" s="2"/>
      <c r="O22" s="2">
        <v>125.234</v>
      </c>
      <c r="P22" s="2"/>
      <c r="Q22" s="2">
        <v>125.232</v>
      </c>
      <c r="R22" s="2"/>
      <c r="S22" s="2">
        <v>125.232</v>
      </c>
      <c r="T22" s="2"/>
      <c r="U22" s="2">
        <v>62.62</v>
      </c>
      <c r="V22" s="2"/>
      <c r="W22" s="2">
        <v>62.62</v>
      </c>
      <c r="X22" s="2"/>
      <c r="Y22" s="2">
        <v>62.62</v>
      </c>
      <c r="Z22" s="2"/>
      <c r="AA22" s="2">
        <v>62.62</v>
      </c>
      <c r="AB22" s="2"/>
      <c r="AC22" s="2"/>
      <c r="AD22" s="2"/>
      <c r="AE22" s="21"/>
    </row>
    <row r="23" spans="1:31" s="18" customFormat="1" ht="18.75">
      <c r="A23" s="4" t="s">
        <v>25</v>
      </c>
      <c r="B23" s="4">
        <v>165.8</v>
      </c>
      <c r="C23" s="3"/>
      <c r="D23" s="2"/>
      <c r="E23" s="2"/>
      <c r="F23" s="2"/>
      <c r="G23" s="2"/>
      <c r="H23" s="2"/>
      <c r="I23" s="2">
        <v>74.419</v>
      </c>
      <c r="J23" s="2"/>
      <c r="K23" s="2">
        <v>65.506</v>
      </c>
      <c r="L23" s="2"/>
      <c r="M23" s="2">
        <v>25.915</v>
      </c>
      <c r="N23" s="2"/>
      <c r="O23" s="2">
        <v>0</v>
      </c>
      <c r="P23" s="2"/>
      <c r="Q23" s="2">
        <v>0</v>
      </c>
      <c r="R23" s="2"/>
      <c r="S23" s="2">
        <v>0</v>
      </c>
      <c r="T23" s="2"/>
      <c r="U23" s="2">
        <v>0</v>
      </c>
      <c r="V23" s="2"/>
      <c r="W23" s="2">
        <v>0</v>
      </c>
      <c r="X23" s="2"/>
      <c r="Y23" s="2">
        <v>0</v>
      </c>
      <c r="Z23" s="2"/>
      <c r="AA23" s="2">
        <v>0</v>
      </c>
      <c r="AB23" s="2"/>
      <c r="AC23" s="2"/>
      <c r="AD23" s="2"/>
      <c r="AE23" s="21"/>
    </row>
    <row r="24" spans="1:31" s="18" customFormat="1" ht="96" customHeight="1">
      <c r="A24" s="45" t="s">
        <v>120</v>
      </c>
      <c r="B24" s="4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1"/>
    </row>
    <row r="25" spans="1:31" s="18" customFormat="1" ht="18.75">
      <c r="A25" s="5" t="s">
        <v>32</v>
      </c>
      <c r="B25" s="5">
        <f>B26</f>
        <v>505.1</v>
      </c>
      <c r="C25" s="2"/>
      <c r="D25" s="2"/>
      <c r="E25" s="2"/>
      <c r="F25" s="2"/>
      <c r="G25" s="2">
        <f aca="true" t="shared" si="3" ref="G25:AD25">G26</f>
        <v>0</v>
      </c>
      <c r="H25" s="2">
        <f t="shared" si="3"/>
        <v>0</v>
      </c>
      <c r="I25" s="2">
        <f t="shared" si="3"/>
        <v>291.57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33.168</v>
      </c>
      <c r="N25" s="2">
        <f t="shared" si="3"/>
        <v>0</v>
      </c>
      <c r="O25" s="2">
        <f t="shared" si="3"/>
        <v>123.152</v>
      </c>
      <c r="P25" s="2">
        <f t="shared" si="3"/>
        <v>0</v>
      </c>
      <c r="Q25" s="2">
        <f t="shared" si="3"/>
        <v>7.568</v>
      </c>
      <c r="R25" s="2">
        <f t="shared" si="3"/>
        <v>0</v>
      </c>
      <c r="S25" s="2">
        <f t="shared" si="3"/>
        <v>34.5</v>
      </c>
      <c r="T25" s="2">
        <f t="shared" si="3"/>
        <v>0</v>
      </c>
      <c r="U25" s="2">
        <f t="shared" si="3"/>
        <v>7.57</v>
      </c>
      <c r="V25" s="2">
        <f t="shared" si="3"/>
        <v>0</v>
      </c>
      <c r="W25" s="2">
        <f t="shared" si="3"/>
        <v>0</v>
      </c>
      <c r="X25" s="2">
        <f t="shared" si="3"/>
        <v>0</v>
      </c>
      <c r="Y25" s="2">
        <f t="shared" si="3"/>
        <v>7.568</v>
      </c>
      <c r="Z25" s="2">
        <f t="shared" si="3"/>
        <v>0</v>
      </c>
      <c r="AA25" s="2">
        <f t="shared" si="3"/>
        <v>0</v>
      </c>
      <c r="AB25" s="2">
        <f t="shared" si="3"/>
        <v>0</v>
      </c>
      <c r="AC25" s="2">
        <f t="shared" si="3"/>
        <v>0</v>
      </c>
      <c r="AD25" s="2">
        <f t="shared" si="3"/>
        <v>0</v>
      </c>
      <c r="AE25" s="21"/>
    </row>
    <row r="26" spans="1:31" s="18" customFormat="1" ht="18.75">
      <c r="A26" s="4" t="s">
        <v>25</v>
      </c>
      <c r="B26" s="4">
        <v>505.1</v>
      </c>
      <c r="C26" s="3"/>
      <c r="D26" s="2"/>
      <c r="E26" s="2"/>
      <c r="F26" s="2"/>
      <c r="G26" s="2"/>
      <c r="H26" s="2"/>
      <c r="I26" s="2">
        <v>291.57</v>
      </c>
      <c r="J26" s="2"/>
      <c r="K26" s="2"/>
      <c r="L26" s="2"/>
      <c r="M26" s="2">
        <v>33.168</v>
      </c>
      <c r="N26" s="2"/>
      <c r="O26" s="2">
        <v>123.152</v>
      </c>
      <c r="P26" s="2"/>
      <c r="Q26" s="2">
        <v>7.568</v>
      </c>
      <c r="R26" s="2"/>
      <c r="S26" s="2">
        <v>34.5</v>
      </c>
      <c r="T26" s="2"/>
      <c r="U26" s="2">
        <v>7.57</v>
      </c>
      <c r="V26" s="2"/>
      <c r="W26" s="2"/>
      <c r="X26" s="2"/>
      <c r="Y26" s="2">
        <v>7.568</v>
      </c>
      <c r="Z26" s="2"/>
      <c r="AA26" s="2"/>
      <c r="AB26" s="2"/>
      <c r="AC26" s="2"/>
      <c r="AD26" s="2"/>
      <c r="AE26" s="21"/>
    </row>
    <row r="27" spans="1:31" s="18" customFormat="1" ht="37.5">
      <c r="A27" s="45" t="s">
        <v>121</v>
      </c>
      <c r="B27" s="4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1"/>
    </row>
    <row r="28" spans="1:31" s="18" customFormat="1" ht="18.75">
      <c r="A28" s="5" t="s">
        <v>32</v>
      </c>
      <c r="B28" s="5">
        <f>B29</f>
        <v>1054.1</v>
      </c>
      <c r="C28" s="2"/>
      <c r="D28" s="2"/>
      <c r="E28" s="2"/>
      <c r="F28" s="2"/>
      <c r="G28" s="2">
        <f aca="true" t="shared" si="4" ref="G28:AD28">G29</f>
        <v>0</v>
      </c>
      <c r="H28" s="2">
        <f t="shared" si="4"/>
        <v>0</v>
      </c>
      <c r="I28" s="2">
        <f t="shared" si="4"/>
        <v>0</v>
      </c>
      <c r="J28" s="2">
        <f t="shared" si="4"/>
        <v>0</v>
      </c>
      <c r="K28" s="2">
        <f t="shared" si="4"/>
        <v>0</v>
      </c>
      <c r="L28" s="2">
        <f t="shared" si="4"/>
        <v>0</v>
      </c>
      <c r="M28" s="2">
        <f t="shared" si="4"/>
        <v>0</v>
      </c>
      <c r="N28" s="2">
        <f t="shared" si="4"/>
        <v>0</v>
      </c>
      <c r="O28" s="2">
        <f t="shared" si="4"/>
        <v>0</v>
      </c>
      <c r="P28" s="2">
        <f t="shared" si="4"/>
        <v>0</v>
      </c>
      <c r="Q28" s="2">
        <f t="shared" si="4"/>
        <v>351.382</v>
      </c>
      <c r="R28" s="2">
        <f t="shared" si="4"/>
        <v>0</v>
      </c>
      <c r="S28" s="2">
        <f t="shared" si="4"/>
        <v>351.381</v>
      </c>
      <c r="T28" s="2">
        <f t="shared" si="4"/>
        <v>0</v>
      </c>
      <c r="U28" s="2">
        <f t="shared" si="4"/>
        <v>351.381</v>
      </c>
      <c r="V28" s="2">
        <f t="shared" si="4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  <c r="Z28" s="2">
        <f t="shared" si="4"/>
        <v>0</v>
      </c>
      <c r="AA28" s="2">
        <f t="shared" si="4"/>
        <v>0</v>
      </c>
      <c r="AB28" s="2">
        <f t="shared" si="4"/>
        <v>0</v>
      </c>
      <c r="AC28" s="2">
        <f t="shared" si="4"/>
        <v>0</v>
      </c>
      <c r="AD28" s="2">
        <f t="shared" si="4"/>
        <v>0</v>
      </c>
      <c r="AE28" s="21"/>
    </row>
    <row r="29" spans="1:31" s="18" customFormat="1" ht="18.75">
      <c r="A29" s="4" t="s">
        <v>25</v>
      </c>
      <c r="B29" s="4">
        <v>1054.1</v>
      </c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351.382</v>
      </c>
      <c r="R29" s="2"/>
      <c r="S29" s="2">
        <v>351.381</v>
      </c>
      <c r="T29" s="2"/>
      <c r="U29" s="2">
        <v>351.381</v>
      </c>
      <c r="V29" s="2"/>
      <c r="W29" s="2"/>
      <c r="X29" s="2"/>
      <c r="Y29" s="2"/>
      <c r="Z29" s="2"/>
      <c r="AA29" s="2"/>
      <c r="AB29" s="2"/>
      <c r="AC29" s="2"/>
      <c r="AD29" s="2"/>
      <c r="AE29" s="21"/>
    </row>
    <row r="30" spans="1:31" s="18" customFormat="1" ht="19.5" customHeight="1">
      <c r="A30" s="45" t="s">
        <v>122</v>
      </c>
      <c r="B30" s="4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1"/>
    </row>
    <row r="31" spans="1:31" s="18" customFormat="1" ht="18.75">
      <c r="A31" s="5" t="s">
        <v>32</v>
      </c>
      <c r="B31" s="5">
        <f>B32</f>
        <v>35</v>
      </c>
      <c r="C31" s="2"/>
      <c r="D31" s="2"/>
      <c r="E31" s="2"/>
      <c r="F31" s="2"/>
      <c r="G31" s="2">
        <f aca="true" t="shared" si="5" ref="G31:AD31">G32</f>
        <v>0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0</v>
      </c>
      <c r="O31" s="2">
        <f t="shared" si="5"/>
        <v>35</v>
      </c>
      <c r="P31" s="2">
        <f t="shared" si="5"/>
        <v>0</v>
      </c>
      <c r="Q31" s="2">
        <f t="shared" si="5"/>
        <v>0</v>
      </c>
      <c r="R31" s="2">
        <f t="shared" si="5"/>
        <v>0</v>
      </c>
      <c r="S31" s="2">
        <f t="shared" si="5"/>
        <v>0</v>
      </c>
      <c r="T31" s="2">
        <f t="shared" si="5"/>
        <v>0</v>
      </c>
      <c r="U31" s="2">
        <f t="shared" si="5"/>
        <v>0</v>
      </c>
      <c r="V31" s="2">
        <f t="shared" si="5"/>
        <v>0</v>
      </c>
      <c r="W31" s="2">
        <f t="shared" si="5"/>
        <v>0</v>
      </c>
      <c r="X31" s="2">
        <f t="shared" si="5"/>
        <v>0</v>
      </c>
      <c r="Y31" s="2">
        <f t="shared" si="5"/>
        <v>0</v>
      </c>
      <c r="Z31" s="2">
        <f t="shared" si="5"/>
        <v>0</v>
      </c>
      <c r="AA31" s="2">
        <f t="shared" si="5"/>
        <v>0</v>
      </c>
      <c r="AB31" s="2">
        <f t="shared" si="5"/>
        <v>0</v>
      </c>
      <c r="AC31" s="2">
        <f t="shared" si="5"/>
        <v>0</v>
      </c>
      <c r="AD31" s="2">
        <f t="shared" si="5"/>
        <v>0</v>
      </c>
      <c r="AE31" s="21"/>
    </row>
    <row r="32" spans="1:31" s="18" customFormat="1" ht="18.75">
      <c r="A32" s="4" t="s">
        <v>25</v>
      </c>
      <c r="B32" s="4">
        <v>35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35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1"/>
    </row>
    <row r="33" spans="1:31" s="18" customFormat="1" ht="56.25">
      <c r="A33" s="45" t="s">
        <v>123</v>
      </c>
      <c r="B33" s="4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1"/>
    </row>
    <row r="34" spans="1:31" s="18" customFormat="1" ht="18.75">
      <c r="A34" s="5" t="s">
        <v>32</v>
      </c>
      <c r="B34" s="5">
        <f>B35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1"/>
    </row>
    <row r="35" spans="1:31" s="18" customFormat="1" ht="18.75">
      <c r="A35" s="4" t="s">
        <v>25</v>
      </c>
      <c r="B35" s="4">
        <v>0</v>
      </c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1"/>
    </row>
    <row r="36" spans="1:31" s="18" customFormat="1" ht="56.25">
      <c r="A36" s="5" t="s">
        <v>124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1"/>
    </row>
    <row r="37" spans="1:31" s="18" customFormat="1" ht="18.75">
      <c r="A37" s="4" t="s">
        <v>22</v>
      </c>
      <c r="B37" s="4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1"/>
    </row>
    <row r="38" spans="1:31" s="18" customFormat="1" ht="74.25" customHeight="1">
      <c r="A38" s="45" t="s">
        <v>125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1"/>
    </row>
    <row r="39" spans="1:31" s="18" customFormat="1" ht="18.75">
      <c r="A39" s="5" t="s">
        <v>32</v>
      </c>
      <c r="B39" s="5">
        <f>B40</f>
        <v>8524.3</v>
      </c>
      <c r="C39" s="2"/>
      <c r="D39" s="2"/>
      <c r="E39" s="2"/>
      <c r="F39" s="2"/>
      <c r="G39" s="2">
        <f>G40</f>
        <v>0</v>
      </c>
      <c r="H39" s="2">
        <f aca="true" t="shared" si="6" ref="H39:AD39">H40</f>
        <v>0</v>
      </c>
      <c r="I39" s="2">
        <f t="shared" si="6"/>
        <v>613</v>
      </c>
      <c r="J39" s="2">
        <f t="shared" si="6"/>
        <v>0</v>
      </c>
      <c r="K39" s="2">
        <f t="shared" si="6"/>
        <v>613</v>
      </c>
      <c r="L39" s="2">
        <f t="shared" si="6"/>
        <v>0</v>
      </c>
      <c r="M39" s="2">
        <f t="shared" si="6"/>
        <v>613</v>
      </c>
      <c r="N39" s="2">
        <f t="shared" si="6"/>
        <v>0</v>
      </c>
      <c r="O39" s="2">
        <f t="shared" si="6"/>
        <v>767.5</v>
      </c>
      <c r="P39" s="2">
        <f t="shared" si="6"/>
        <v>0</v>
      </c>
      <c r="Q39" s="2">
        <f t="shared" si="6"/>
        <v>809.6</v>
      </c>
      <c r="R39" s="2">
        <f t="shared" si="6"/>
        <v>0</v>
      </c>
      <c r="S39" s="2">
        <f t="shared" si="6"/>
        <v>746.5</v>
      </c>
      <c r="T39" s="2">
        <f t="shared" si="6"/>
        <v>0</v>
      </c>
      <c r="U39" s="2">
        <f t="shared" si="6"/>
        <v>760.5</v>
      </c>
      <c r="V39" s="2">
        <f t="shared" si="6"/>
        <v>0</v>
      </c>
      <c r="W39" s="2">
        <f t="shared" si="6"/>
        <v>882.1</v>
      </c>
      <c r="X39" s="2">
        <f t="shared" si="6"/>
        <v>0</v>
      </c>
      <c r="Y39" s="2">
        <f t="shared" si="6"/>
        <v>837.6</v>
      </c>
      <c r="Z39" s="2">
        <f t="shared" si="6"/>
        <v>0</v>
      </c>
      <c r="AA39" s="2">
        <f t="shared" si="6"/>
        <v>627.1</v>
      </c>
      <c r="AB39" s="2">
        <f t="shared" si="6"/>
        <v>0</v>
      </c>
      <c r="AC39" s="2">
        <f t="shared" si="6"/>
        <v>1254.4</v>
      </c>
      <c r="AD39" s="2">
        <f t="shared" si="6"/>
        <v>0</v>
      </c>
      <c r="AE39" s="21"/>
    </row>
    <row r="40" spans="1:31" s="17" customFormat="1" ht="18.75">
      <c r="A40" s="4" t="s">
        <v>25</v>
      </c>
      <c r="B40" s="4">
        <v>8524.3</v>
      </c>
      <c r="C40" s="3"/>
      <c r="D40" s="3"/>
      <c r="E40" s="3"/>
      <c r="F40" s="3"/>
      <c r="G40" s="3">
        <v>0</v>
      </c>
      <c r="H40" s="3"/>
      <c r="I40" s="3">
        <v>613</v>
      </c>
      <c r="J40" s="3"/>
      <c r="K40" s="3">
        <v>613</v>
      </c>
      <c r="L40" s="3"/>
      <c r="M40" s="3">
        <v>613</v>
      </c>
      <c r="N40" s="3"/>
      <c r="O40" s="3">
        <v>767.5</v>
      </c>
      <c r="P40" s="3"/>
      <c r="Q40" s="3">
        <v>809.6</v>
      </c>
      <c r="R40" s="3"/>
      <c r="S40" s="3">
        <v>746.5</v>
      </c>
      <c r="T40" s="3"/>
      <c r="U40" s="3">
        <v>760.5</v>
      </c>
      <c r="V40" s="3"/>
      <c r="W40" s="3">
        <v>882.1</v>
      </c>
      <c r="X40" s="3"/>
      <c r="Y40" s="3">
        <v>837.6</v>
      </c>
      <c r="Z40" s="3"/>
      <c r="AA40" s="3">
        <v>627.1</v>
      </c>
      <c r="AB40" s="3"/>
      <c r="AC40" s="3">
        <v>1254.4</v>
      </c>
      <c r="AD40" s="3"/>
      <c r="AE40" s="48"/>
    </row>
    <row r="41" spans="1:31" s="18" customFormat="1" ht="55.5" customHeight="1">
      <c r="A41" s="30" t="s">
        <v>126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8" customFormat="1" ht="78" customHeight="1">
      <c r="A42" s="47" t="s">
        <v>127</v>
      </c>
      <c r="B42" s="5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1"/>
    </row>
    <row r="43" spans="1:31" s="18" customFormat="1" ht="18.75">
      <c r="A43" s="4" t="s">
        <v>22</v>
      </c>
      <c r="B43" s="4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1"/>
    </row>
    <row r="44" spans="1:31" s="18" customFormat="1" ht="75">
      <c r="A44" s="45" t="s">
        <v>128</v>
      </c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1"/>
    </row>
    <row r="45" spans="1:31" s="18" customFormat="1" ht="18.75">
      <c r="A45" s="5" t="s">
        <v>32</v>
      </c>
      <c r="B45" s="5">
        <f>B46</f>
        <v>50</v>
      </c>
      <c r="C45" s="2"/>
      <c r="D45" s="2"/>
      <c r="E45" s="2"/>
      <c r="F45" s="2"/>
      <c r="G45" s="2">
        <f aca="true" t="shared" si="7" ref="G45:AD45">G46</f>
        <v>0</v>
      </c>
      <c r="H45" s="2">
        <f t="shared" si="7"/>
        <v>0</v>
      </c>
      <c r="I45" s="2">
        <f t="shared" si="7"/>
        <v>0</v>
      </c>
      <c r="J45" s="2">
        <f t="shared" si="7"/>
        <v>0</v>
      </c>
      <c r="K45" s="2">
        <f t="shared" si="7"/>
        <v>0</v>
      </c>
      <c r="L45" s="2">
        <f t="shared" si="7"/>
        <v>0</v>
      </c>
      <c r="M45" s="2">
        <f t="shared" si="7"/>
        <v>0</v>
      </c>
      <c r="N45" s="2">
        <f t="shared" si="7"/>
        <v>0</v>
      </c>
      <c r="O45" s="2">
        <f t="shared" si="7"/>
        <v>0</v>
      </c>
      <c r="P45" s="2">
        <f t="shared" si="7"/>
        <v>0</v>
      </c>
      <c r="Q45" s="2">
        <f t="shared" si="7"/>
        <v>0</v>
      </c>
      <c r="R45" s="2">
        <f t="shared" si="7"/>
        <v>0</v>
      </c>
      <c r="S45" s="2">
        <f t="shared" si="7"/>
        <v>0</v>
      </c>
      <c r="T45" s="2">
        <f t="shared" si="7"/>
        <v>0</v>
      </c>
      <c r="U45" s="2">
        <f t="shared" si="7"/>
        <v>0</v>
      </c>
      <c r="V45" s="2">
        <f t="shared" si="7"/>
        <v>0</v>
      </c>
      <c r="W45" s="2">
        <f t="shared" si="7"/>
        <v>0</v>
      </c>
      <c r="X45" s="2">
        <f t="shared" si="7"/>
        <v>0</v>
      </c>
      <c r="Y45" s="2">
        <f t="shared" si="7"/>
        <v>50</v>
      </c>
      <c r="Z45" s="2">
        <f t="shared" si="7"/>
        <v>0</v>
      </c>
      <c r="AA45" s="2">
        <f t="shared" si="7"/>
        <v>0</v>
      </c>
      <c r="AB45" s="2">
        <f t="shared" si="7"/>
        <v>0</v>
      </c>
      <c r="AC45" s="2">
        <f t="shared" si="7"/>
        <v>0</v>
      </c>
      <c r="AD45" s="2">
        <f t="shared" si="7"/>
        <v>0</v>
      </c>
      <c r="AE45" s="21"/>
    </row>
    <row r="46" spans="1:31" s="18" customFormat="1" ht="18.75">
      <c r="A46" s="4" t="s">
        <v>24</v>
      </c>
      <c r="B46" s="4">
        <v>50</v>
      </c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50</v>
      </c>
      <c r="Z46" s="2"/>
      <c r="AA46" s="2"/>
      <c r="AB46" s="2"/>
      <c r="AC46" s="2"/>
      <c r="AD46" s="2"/>
      <c r="AE46" s="21"/>
    </row>
    <row r="47" spans="1:31" s="18" customFormat="1" ht="40.5" customHeight="1">
      <c r="A47" s="30" t="s">
        <v>129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8" customFormat="1" ht="75.75" customHeight="1">
      <c r="A48" s="47" t="s">
        <v>130</v>
      </c>
      <c r="B48" s="5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1"/>
    </row>
    <row r="49" spans="1:31" s="18" customFormat="1" ht="18.75">
      <c r="A49" s="4" t="s">
        <v>22</v>
      </c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1"/>
    </row>
    <row r="50" spans="1:31" s="18" customFormat="1" ht="75.75" customHeight="1">
      <c r="A50" s="45" t="s">
        <v>131</v>
      </c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1"/>
    </row>
    <row r="51" spans="1:31" s="18" customFormat="1" ht="18.75">
      <c r="A51" s="5" t="s">
        <v>32</v>
      </c>
      <c r="B51" s="5">
        <f>B52</f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1"/>
    </row>
    <row r="52" spans="1:31" s="18" customFormat="1" ht="18.75">
      <c r="A52" s="4" t="s">
        <v>25</v>
      </c>
      <c r="B52" s="4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1"/>
    </row>
    <row r="53" spans="1:31" s="18" customFormat="1" ht="114.75" customHeight="1">
      <c r="A53" s="45" t="s">
        <v>132</v>
      </c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1"/>
    </row>
    <row r="54" spans="1:31" s="18" customFormat="1" ht="18.75">
      <c r="A54" s="5" t="s">
        <v>32</v>
      </c>
      <c r="B54" s="5">
        <f>B55</f>
        <v>10</v>
      </c>
      <c r="C54" s="2"/>
      <c r="D54" s="2"/>
      <c r="E54" s="2"/>
      <c r="F54" s="2"/>
      <c r="G54" s="2">
        <f aca="true" t="shared" si="8" ref="G54:AD54">G55</f>
        <v>0</v>
      </c>
      <c r="H54" s="2">
        <f t="shared" si="8"/>
        <v>0</v>
      </c>
      <c r="I54" s="2">
        <f t="shared" si="8"/>
        <v>0</v>
      </c>
      <c r="J54" s="2">
        <f t="shared" si="8"/>
        <v>0</v>
      </c>
      <c r="K54" s="2">
        <f t="shared" si="8"/>
        <v>0</v>
      </c>
      <c r="L54" s="2">
        <f t="shared" si="8"/>
        <v>0</v>
      </c>
      <c r="M54" s="2">
        <f t="shared" si="8"/>
        <v>10</v>
      </c>
      <c r="N54" s="2">
        <f t="shared" si="8"/>
        <v>0</v>
      </c>
      <c r="O54" s="2">
        <f t="shared" si="8"/>
        <v>0</v>
      </c>
      <c r="P54" s="2">
        <f t="shared" si="8"/>
        <v>0</v>
      </c>
      <c r="Q54" s="2">
        <f t="shared" si="8"/>
        <v>0</v>
      </c>
      <c r="R54" s="2">
        <f t="shared" si="8"/>
        <v>0</v>
      </c>
      <c r="S54" s="2">
        <f t="shared" si="8"/>
        <v>0</v>
      </c>
      <c r="T54" s="2">
        <f t="shared" si="8"/>
        <v>0</v>
      </c>
      <c r="U54" s="2">
        <f t="shared" si="8"/>
        <v>0</v>
      </c>
      <c r="V54" s="2">
        <f t="shared" si="8"/>
        <v>0</v>
      </c>
      <c r="W54" s="2">
        <f t="shared" si="8"/>
        <v>0</v>
      </c>
      <c r="X54" s="2">
        <f t="shared" si="8"/>
        <v>0</v>
      </c>
      <c r="Y54" s="2">
        <f t="shared" si="8"/>
        <v>0</v>
      </c>
      <c r="Z54" s="2">
        <f t="shared" si="8"/>
        <v>0</v>
      </c>
      <c r="AA54" s="2">
        <f t="shared" si="8"/>
        <v>0</v>
      </c>
      <c r="AB54" s="2">
        <f t="shared" si="8"/>
        <v>0</v>
      </c>
      <c r="AC54" s="2">
        <f t="shared" si="8"/>
        <v>0</v>
      </c>
      <c r="AD54" s="2">
        <f t="shared" si="8"/>
        <v>0</v>
      </c>
      <c r="AE54" s="21"/>
    </row>
    <row r="55" spans="1:31" s="18" customFormat="1" ht="18.75">
      <c r="A55" s="4" t="s">
        <v>25</v>
      </c>
      <c r="B55" s="4">
        <v>10</v>
      </c>
      <c r="C55" s="3"/>
      <c r="D55" s="2"/>
      <c r="E55" s="2"/>
      <c r="F55" s="2"/>
      <c r="G55" s="2">
        <v>0</v>
      </c>
      <c r="H55" s="2"/>
      <c r="I55" s="2">
        <v>0</v>
      </c>
      <c r="J55" s="2"/>
      <c r="K55" s="2">
        <v>0</v>
      </c>
      <c r="L55" s="2"/>
      <c r="M55" s="2">
        <v>10</v>
      </c>
      <c r="N55" s="2"/>
      <c r="O55" s="2">
        <v>0</v>
      </c>
      <c r="P55" s="2"/>
      <c r="Q55" s="2">
        <v>0</v>
      </c>
      <c r="R55" s="2"/>
      <c r="S55" s="2">
        <v>0</v>
      </c>
      <c r="T55" s="2"/>
      <c r="U55" s="2">
        <v>0</v>
      </c>
      <c r="V55" s="2"/>
      <c r="W55" s="2">
        <v>0</v>
      </c>
      <c r="X55" s="2"/>
      <c r="Y55" s="2">
        <v>0</v>
      </c>
      <c r="Z55" s="2"/>
      <c r="AA55" s="2">
        <v>0</v>
      </c>
      <c r="AB55" s="2"/>
      <c r="AC55" s="2">
        <v>0</v>
      </c>
      <c r="AD55" s="2"/>
      <c r="AE55" s="21"/>
    </row>
    <row r="56" spans="1:31" s="18" customFormat="1" ht="97.5" customHeight="1">
      <c r="A56" s="45" t="s">
        <v>133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1"/>
    </row>
    <row r="57" spans="1:31" s="18" customFormat="1" ht="18.75">
      <c r="A57" s="5" t="s">
        <v>32</v>
      </c>
      <c r="B57" s="5">
        <f>B58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1"/>
    </row>
    <row r="58" spans="1:31" s="18" customFormat="1" ht="18.75">
      <c r="A58" s="4" t="s">
        <v>25</v>
      </c>
      <c r="B58" s="4">
        <v>0</v>
      </c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1"/>
    </row>
    <row r="59" spans="1:31" s="18" customFormat="1" ht="152.25" customHeight="1">
      <c r="A59" s="45" t="s">
        <v>134</v>
      </c>
      <c r="B59" s="4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1"/>
    </row>
    <row r="60" spans="1:31" s="18" customFormat="1" ht="18.75">
      <c r="A60" s="5" t="s">
        <v>32</v>
      </c>
      <c r="B60" s="5">
        <f>B61</f>
        <v>2969.5</v>
      </c>
      <c r="C60" s="2"/>
      <c r="D60" s="2"/>
      <c r="E60" s="2"/>
      <c r="F60" s="2"/>
      <c r="G60" s="2">
        <f aca="true" t="shared" si="9" ref="G60:AD60">G61</f>
        <v>507.612</v>
      </c>
      <c r="H60" s="2">
        <f t="shared" si="9"/>
        <v>0</v>
      </c>
      <c r="I60" s="2">
        <f t="shared" si="9"/>
        <v>205.861</v>
      </c>
      <c r="J60" s="2">
        <f t="shared" si="9"/>
        <v>0</v>
      </c>
      <c r="K60" s="2">
        <f t="shared" si="9"/>
        <v>90.978</v>
      </c>
      <c r="L60" s="2">
        <f t="shared" si="9"/>
        <v>0</v>
      </c>
      <c r="M60" s="2">
        <f t="shared" si="9"/>
        <v>152.096</v>
      </c>
      <c r="N60" s="2">
        <f t="shared" si="9"/>
        <v>0</v>
      </c>
      <c r="O60" s="2">
        <f t="shared" si="9"/>
        <v>280.49</v>
      </c>
      <c r="P60" s="2">
        <f t="shared" si="9"/>
        <v>0</v>
      </c>
      <c r="Q60" s="2">
        <f t="shared" si="9"/>
        <v>605.149</v>
      </c>
      <c r="R60" s="2">
        <f t="shared" si="9"/>
        <v>0</v>
      </c>
      <c r="S60" s="2">
        <f t="shared" si="9"/>
        <v>230.269</v>
      </c>
      <c r="T60" s="2">
        <f t="shared" si="9"/>
        <v>0</v>
      </c>
      <c r="U60" s="2">
        <f t="shared" si="9"/>
        <v>58.914</v>
      </c>
      <c r="V60" s="2">
        <f t="shared" si="9"/>
        <v>0</v>
      </c>
      <c r="W60" s="2">
        <f t="shared" si="9"/>
        <v>77.284</v>
      </c>
      <c r="X60" s="2">
        <f t="shared" si="9"/>
        <v>0</v>
      </c>
      <c r="Y60" s="2">
        <f t="shared" si="9"/>
        <v>156.421</v>
      </c>
      <c r="Z60" s="2">
        <f t="shared" si="9"/>
        <v>0</v>
      </c>
      <c r="AA60" s="2">
        <f t="shared" si="9"/>
        <v>78.431</v>
      </c>
      <c r="AB60" s="2">
        <f t="shared" si="9"/>
        <v>0</v>
      </c>
      <c r="AC60" s="2">
        <f t="shared" si="9"/>
        <v>525.995</v>
      </c>
      <c r="AD60" s="2">
        <f t="shared" si="9"/>
        <v>0</v>
      </c>
      <c r="AE60" s="21"/>
    </row>
    <row r="61" spans="1:31" s="18" customFormat="1" ht="18.75">
      <c r="A61" s="4" t="s">
        <v>24</v>
      </c>
      <c r="B61" s="4">
        <v>2969.5</v>
      </c>
      <c r="C61" s="3"/>
      <c r="D61" s="2"/>
      <c r="E61" s="2"/>
      <c r="F61" s="2"/>
      <c r="G61" s="2">
        <f>(408437+0+22000+5953+4737+27885+38600)/1000</f>
        <v>507.612</v>
      </c>
      <c r="H61" s="2"/>
      <c r="I61" s="2">
        <f>(60874+1500+123348+2078+3061+15000+0)/1000</f>
        <v>205.861</v>
      </c>
      <c r="J61" s="2"/>
      <c r="K61" s="2">
        <f>(60874+0+18384+2078+3061+6581+0)/1000</f>
        <v>90.978</v>
      </c>
      <c r="L61" s="2"/>
      <c r="M61" s="2">
        <f>(121748+0+18384+2078+3061+6825+0)/1000</f>
        <v>152.096</v>
      </c>
      <c r="N61" s="2"/>
      <c r="O61" s="2">
        <f>(262933+0+12418+2078+3061+0+0)/1000</f>
        <v>280.49</v>
      </c>
      <c r="P61" s="2"/>
      <c r="Q61" s="2">
        <f>(223410+315200+26819+2078+3061+6581+28000)/1000</f>
        <v>605.149</v>
      </c>
      <c r="R61" s="2"/>
      <c r="S61" s="2">
        <f>(76417+119100+22788+2078+3061+6825+0)/1000</f>
        <v>230.269</v>
      </c>
      <c r="T61" s="2"/>
      <c r="U61" s="2">
        <f>(45980+0+7795+2078+3061+0+0)/1000</f>
        <v>58.914</v>
      </c>
      <c r="V61" s="2"/>
      <c r="W61" s="2">
        <f>(60874+0+4690+2078+3061+6581+0)/1000</f>
        <v>77.284</v>
      </c>
      <c r="X61" s="2"/>
      <c r="Y61" s="2">
        <f>(121748+1500+6209+2078+3061+21825+0)/1000</f>
        <v>156.421</v>
      </c>
      <c r="Z61" s="2"/>
      <c r="AA61" s="2">
        <f>(60874+0+12418+2078+3061+0+0)/1000</f>
        <v>78.431</v>
      </c>
      <c r="AB61" s="2"/>
      <c r="AC61" s="2">
        <f>(323231+0+138347+2067+3053+59297+0)/1000</f>
        <v>525.995</v>
      </c>
      <c r="AD61" s="2"/>
      <c r="AE61" s="21"/>
    </row>
    <row r="62" spans="1:31" s="18" customFormat="1" ht="56.25">
      <c r="A62" s="5" t="s">
        <v>135</v>
      </c>
      <c r="B62" s="5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1"/>
    </row>
    <row r="63" spans="1:31" s="18" customFormat="1" ht="18.75">
      <c r="A63" s="4" t="s">
        <v>22</v>
      </c>
      <c r="B63" s="4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1"/>
    </row>
    <row r="64" spans="1:31" s="18" customFormat="1" ht="60" customHeight="1">
      <c r="A64" s="45" t="s">
        <v>136</v>
      </c>
      <c r="B64" s="4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1"/>
    </row>
    <row r="65" spans="1:31" s="18" customFormat="1" ht="18.75">
      <c r="A65" s="5" t="s">
        <v>32</v>
      </c>
      <c r="B65" s="5">
        <f>B66</f>
        <v>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1"/>
    </row>
    <row r="66" spans="1:31" s="18" customFormat="1" ht="18.75">
      <c r="A66" s="4" t="s">
        <v>25</v>
      </c>
      <c r="B66" s="4">
        <v>0</v>
      </c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1"/>
    </row>
    <row r="67" spans="1:31" s="18" customFormat="1" ht="174.75" customHeight="1">
      <c r="A67" s="46" t="s">
        <v>137</v>
      </c>
      <c r="B67" s="2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1"/>
    </row>
    <row r="68" spans="1:31" s="18" customFormat="1" ht="18.75">
      <c r="A68" s="5" t="s">
        <v>32</v>
      </c>
      <c r="B68" s="5">
        <f>B69</f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1"/>
    </row>
    <row r="69" spans="1:31" s="18" customFormat="1" ht="18.75">
      <c r="A69" s="4" t="s">
        <v>25</v>
      </c>
      <c r="B69" s="4">
        <v>0</v>
      </c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1"/>
    </row>
    <row r="70" spans="1:31" s="49" customFormat="1" ht="18.75">
      <c r="A70" s="5" t="s">
        <v>33</v>
      </c>
      <c r="B70" s="5">
        <f>B71+B72</f>
        <v>22107.2</v>
      </c>
      <c r="C70" s="2"/>
      <c r="D70" s="2"/>
      <c r="E70" s="2"/>
      <c r="F70" s="2"/>
      <c r="G70" s="51">
        <f>G71+G72</f>
        <v>507.612</v>
      </c>
      <c r="H70" s="51">
        <f aca="true" t="shared" si="10" ref="H70:AD70">H71+H72</f>
        <v>0</v>
      </c>
      <c r="I70" s="51">
        <f t="shared" si="10"/>
        <v>1213.358</v>
      </c>
      <c r="J70" s="51">
        <f t="shared" si="10"/>
        <v>0</v>
      </c>
      <c r="K70" s="51">
        <f>K71+K72</f>
        <v>797.992</v>
      </c>
      <c r="L70" s="51">
        <f t="shared" si="10"/>
        <v>0</v>
      </c>
      <c r="M70" s="51">
        <f t="shared" si="10"/>
        <v>862.686</v>
      </c>
      <c r="N70" s="51">
        <f t="shared" si="10"/>
        <v>0</v>
      </c>
      <c r="O70" s="51">
        <f t="shared" si="10"/>
        <v>1359.882</v>
      </c>
      <c r="P70" s="51">
        <f t="shared" si="10"/>
        <v>0</v>
      </c>
      <c r="Q70" s="51">
        <f t="shared" si="10"/>
        <v>4564.309</v>
      </c>
      <c r="R70" s="51">
        <f t="shared" si="10"/>
        <v>0</v>
      </c>
      <c r="S70" s="51">
        <f t="shared" si="10"/>
        <v>4124.754</v>
      </c>
      <c r="T70" s="51">
        <f t="shared" si="10"/>
        <v>0</v>
      </c>
      <c r="U70" s="51">
        <f t="shared" si="10"/>
        <v>3877.856</v>
      </c>
      <c r="V70" s="51">
        <f t="shared" si="10"/>
        <v>0</v>
      </c>
      <c r="W70" s="51">
        <f t="shared" si="10"/>
        <v>1050.511</v>
      </c>
      <c r="X70" s="51">
        <f t="shared" si="10"/>
        <v>0</v>
      </c>
      <c r="Y70" s="51">
        <f t="shared" si="10"/>
        <v>1142.7160000000001</v>
      </c>
      <c r="Z70" s="51">
        <f t="shared" si="10"/>
        <v>0</v>
      </c>
      <c r="AA70" s="51">
        <f t="shared" si="10"/>
        <v>796.6569999999999</v>
      </c>
      <c r="AB70" s="51">
        <f t="shared" si="10"/>
        <v>0</v>
      </c>
      <c r="AC70" s="51">
        <f t="shared" si="10"/>
        <v>1808.9010000000003</v>
      </c>
      <c r="AD70" s="51">
        <f t="shared" si="10"/>
        <v>0</v>
      </c>
      <c r="AE70" s="21"/>
    </row>
    <row r="71" spans="1:31" s="18" customFormat="1" ht="18.75">
      <c r="A71" s="4" t="s">
        <v>24</v>
      </c>
      <c r="B71" s="4">
        <f>B15+B22+B46+B61</f>
        <v>4374.8</v>
      </c>
      <c r="C71" s="3"/>
      <c r="D71" s="2"/>
      <c r="E71" s="2"/>
      <c r="F71" s="2"/>
      <c r="G71" s="4">
        <f>G15+G22+G46+G61</f>
        <v>507.612</v>
      </c>
      <c r="H71" s="4">
        <f aca="true" t="shared" si="11" ref="H71:AD71">H15+H22+H46+H61</f>
        <v>0</v>
      </c>
      <c r="I71" s="4">
        <f t="shared" si="11"/>
        <v>205.861</v>
      </c>
      <c r="J71" s="4">
        <f t="shared" si="11"/>
        <v>0</v>
      </c>
      <c r="K71" s="4">
        <f t="shared" si="11"/>
        <v>90.978</v>
      </c>
      <c r="L71" s="4">
        <f t="shared" si="11"/>
        <v>0</v>
      </c>
      <c r="M71" s="4">
        <f t="shared" si="11"/>
        <v>152.096</v>
      </c>
      <c r="N71" s="4">
        <f t="shared" si="11"/>
        <v>0</v>
      </c>
      <c r="O71" s="4">
        <f t="shared" si="11"/>
        <v>405.724</v>
      </c>
      <c r="P71" s="4">
        <f t="shared" si="11"/>
        <v>0</v>
      </c>
      <c r="Q71" s="4">
        <f t="shared" si="11"/>
        <v>730.381</v>
      </c>
      <c r="R71" s="4">
        <f t="shared" si="11"/>
        <v>0</v>
      </c>
      <c r="S71" s="4">
        <f t="shared" si="11"/>
        <v>596.371</v>
      </c>
      <c r="T71" s="4">
        <f t="shared" si="11"/>
        <v>0</v>
      </c>
      <c r="U71" s="4">
        <f t="shared" si="11"/>
        <v>609.766</v>
      </c>
      <c r="V71" s="4">
        <f t="shared" si="11"/>
        <v>0</v>
      </c>
      <c r="W71" s="4">
        <f t="shared" si="11"/>
        <v>139.904</v>
      </c>
      <c r="X71" s="4">
        <f t="shared" si="11"/>
        <v>0</v>
      </c>
      <c r="Y71" s="4">
        <f t="shared" si="11"/>
        <v>269.041</v>
      </c>
      <c r="Z71" s="4">
        <f t="shared" si="11"/>
        <v>0</v>
      </c>
      <c r="AA71" s="4">
        <f t="shared" si="11"/>
        <v>141.051</v>
      </c>
      <c r="AB71" s="4">
        <f t="shared" si="11"/>
        <v>0</v>
      </c>
      <c r="AC71" s="4">
        <f t="shared" si="11"/>
        <v>525.995</v>
      </c>
      <c r="AD71" s="4">
        <f t="shared" si="11"/>
        <v>0</v>
      </c>
      <c r="AE71" s="21"/>
    </row>
    <row r="72" spans="1:31" s="18" customFormat="1" ht="18.7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50">
        <f>G16+G19+G23+G26+G29+G32+G40+G55</f>
        <v>0</v>
      </c>
      <c r="H72" s="50">
        <f aca="true" t="shared" si="12" ref="H72:AD72">H16+H19+H23+H26+H29+H32+H40+H55</f>
        <v>0</v>
      </c>
      <c r="I72" s="50">
        <f t="shared" si="12"/>
        <v>1007.497</v>
      </c>
      <c r="J72" s="50">
        <f t="shared" si="12"/>
        <v>0</v>
      </c>
      <c r="K72" s="50">
        <f t="shared" si="12"/>
        <v>707.014</v>
      </c>
      <c r="L72" s="50">
        <f t="shared" si="12"/>
        <v>0</v>
      </c>
      <c r="M72" s="50">
        <f t="shared" si="12"/>
        <v>710.59</v>
      </c>
      <c r="N72" s="50">
        <f t="shared" si="12"/>
        <v>0</v>
      </c>
      <c r="O72" s="50">
        <f t="shared" si="12"/>
        <v>954.158</v>
      </c>
      <c r="P72" s="50">
        <f t="shared" si="12"/>
        <v>0</v>
      </c>
      <c r="Q72" s="50">
        <f t="shared" si="12"/>
        <v>3833.928</v>
      </c>
      <c r="R72" s="50">
        <f t="shared" si="12"/>
        <v>0</v>
      </c>
      <c r="S72" s="50">
        <f t="shared" si="12"/>
        <v>3528.383</v>
      </c>
      <c r="T72" s="50">
        <f t="shared" si="12"/>
        <v>0</v>
      </c>
      <c r="U72" s="50">
        <f t="shared" si="12"/>
        <v>3268.09</v>
      </c>
      <c r="V72" s="50">
        <f t="shared" si="12"/>
        <v>0</v>
      </c>
      <c r="W72" s="50">
        <f t="shared" si="12"/>
        <v>910.607</v>
      </c>
      <c r="X72" s="50">
        <f t="shared" si="12"/>
        <v>0</v>
      </c>
      <c r="Y72" s="50">
        <f t="shared" si="12"/>
        <v>873.6750000000001</v>
      </c>
      <c r="Z72" s="50">
        <f t="shared" si="12"/>
        <v>0</v>
      </c>
      <c r="AA72" s="50">
        <f t="shared" si="12"/>
        <v>655.606</v>
      </c>
      <c r="AB72" s="50">
        <f t="shared" si="12"/>
        <v>0</v>
      </c>
      <c r="AC72" s="50">
        <f t="shared" si="12"/>
        <v>1282.9060000000002</v>
      </c>
      <c r="AD72" s="50">
        <f t="shared" si="12"/>
        <v>0</v>
      </c>
      <c r="AE72" s="21"/>
    </row>
    <row r="73" spans="1:31" s="18" customFormat="1" ht="18.7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</row>
    <row r="74" spans="1:31" s="18" customFormat="1" ht="18.7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Мороз Ольга Евгеньевна</cp:lastModifiedBy>
  <cp:lastPrinted>2016-03-04T12:28:26Z</cp:lastPrinted>
  <dcterms:created xsi:type="dcterms:W3CDTF">1996-10-08T23:32:33Z</dcterms:created>
  <dcterms:modified xsi:type="dcterms:W3CDTF">2016-03-15T13:08:15Z</dcterms:modified>
  <cp:category/>
  <cp:version/>
  <cp:contentType/>
  <cp:contentStatus/>
</cp:coreProperties>
</file>