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2445" windowWidth="19320" windowHeight="10260" tabRatio="597" firstSheet="2" activeTab="4"/>
  </bookViews>
  <sheets>
    <sheet name="Лист1" sheetId="2" state="hidden" r:id="rId1"/>
    <sheet name="Лист2" sheetId="3" state="hidden" r:id="rId2"/>
    <sheet name="титульный лист" sheetId="13" r:id="rId3"/>
    <sheet name="сетевой 2018 " sheetId="15" r:id="rId4"/>
    <sheet name="сетевой 2018  для размещения " sheetId="16" r:id="rId5"/>
  </sheets>
  <definedNames>
    <definedName name="_xlnm.Print_Titles" localSheetId="3">'сетевой 2018 '!$A:$A,'сетевой 2018 '!$4:$5</definedName>
    <definedName name="_xlnm.Print_Titles" localSheetId="4">'сетевой 2018  для размещения '!$A:$A,'сетевой 2018  для размещения '!$4:$5</definedName>
    <definedName name="_xlnm.Print_Area" localSheetId="3">'сетевой 2018 '!$A:$AF</definedName>
    <definedName name="_xlnm.Print_Area" localSheetId="4">'сетевой 2018  для размещения '!$A:$AF</definedName>
  </definedNames>
  <calcPr calcId="145621"/>
</workbook>
</file>

<file path=xl/calcChain.xml><?xml version="1.0" encoding="utf-8"?>
<calcChain xmlns="http://schemas.openxmlformats.org/spreadsheetml/2006/main">
  <c r="X36" i="15"/>
  <c r="D81" i="16" l="1"/>
  <c r="AD68"/>
  <c r="AB68"/>
  <c r="C68"/>
  <c r="AC60"/>
  <c r="AC59"/>
  <c r="D62"/>
  <c r="D60"/>
  <c r="D59"/>
  <c r="AC32"/>
  <c r="AC31"/>
  <c r="D31"/>
  <c r="D27"/>
  <c r="AC27"/>
  <c r="AC26"/>
  <c r="D26"/>
  <c r="D26" i="15"/>
  <c r="AC32" l="1"/>
  <c r="AC31" l="1"/>
  <c r="AC27"/>
  <c r="AC26"/>
  <c r="E68" i="16"/>
  <c r="E81"/>
  <c r="C81"/>
  <c r="E62" l="1"/>
  <c r="E60"/>
  <c r="E59"/>
  <c r="C62"/>
  <c r="C60"/>
  <c r="C59"/>
  <c r="E46"/>
  <c r="C46"/>
  <c r="E44"/>
  <c r="C44"/>
  <c r="C34"/>
  <c r="E34"/>
  <c r="E32"/>
  <c r="E31"/>
  <c r="C32"/>
  <c r="C31"/>
  <c r="E27"/>
  <c r="E26"/>
  <c r="C27"/>
  <c r="C26"/>
  <c r="E20"/>
  <c r="E18"/>
  <c r="E16"/>
  <c r="E15"/>
  <c r="C20"/>
  <c r="C18"/>
  <c r="C16"/>
  <c r="C15"/>
  <c r="AD68" i="15"/>
  <c r="AB68"/>
  <c r="AC60"/>
  <c r="AC59"/>
  <c r="E81" l="1"/>
  <c r="E68"/>
  <c r="E62"/>
  <c r="E60"/>
  <c r="E59"/>
  <c r="D59"/>
  <c r="E46"/>
  <c r="E44"/>
  <c r="E34"/>
  <c r="E32"/>
  <c r="E31"/>
  <c r="E27"/>
  <c r="E26"/>
  <c r="E20"/>
  <c r="E18"/>
  <c r="E16"/>
  <c r="E15"/>
  <c r="D81"/>
  <c r="C81"/>
  <c r="C68"/>
  <c r="C62"/>
  <c r="C60"/>
  <c r="C59"/>
  <c r="D60"/>
  <c r="D62"/>
  <c r="C34"/>
  <c r="C32"/>
  <c r="C31"/>
  <c r="D31" l="1"/>
  <c r="D27"/>
  <c r="C27"/>
  <c r="C26"/>
  <c r="C20"/>
  <c r="C18"/>
  <c r="C16"/>
  <c r="C15"/>
  <c r="Z32" i="16" l="1"/>
  <c r="X32"/>
  <c r="V34"/>
  <c r="V32"/>
  <c r="T32"/>
  <c r="R32"/>
  <c r="P34"/>
  <c r="P32"/>
  <c r="J34"/>
  <c r="Z31" l="1"/>
  <c r="Z30" s="1"/>
  <c r="E94"/>
  <c r="E93" s="1"/>
  <c r="C94"/>
  <c r="B94"/>
  <c r="B93" s="1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D93"/>
  <c r="C93"/>
  <c r="E90"/>
  <c r="C90"/>
  <c r="C89" s="1"/>
  <c r="B90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E89"/>
  <c r="D89"/>
  <c r="B89"/>
  <c r="E87"/>
  <c r="C87"/>
  <c r="C86" s="1"/>
  <c r="B87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F86"/>
  <c r="E86"/>
  <c r="D86"/>
  <c r="B86"/>
  <c r="E84"/>
  <c r="C84"/>
  <c r="C78" s="1"/>
  <c r="B84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E83"/>
  <c r="D83"/>
  <c r="C83"/>
  <c r="B83"/>
  <c r="AD81"/>
  <c r="AB81"/>
  <c r="Z81"/>
  <c r="X81"/>
  <c r="X80" s="1"/>
  <c r="V81"/>
  <c r="T81"/>
  <c r="S81"/>
  <c r="R81"/>
  <c r="R80" s="1"/>
  <c r="P81"/>
  <c r="P77" s="1"/>
  <c r="O81"/>
  <c r="N81"/>
  <c r="N77" s="1"/>
  <c r="L81"/>
  <c r="L80" s="1"/>
  <c r="J81"/>
  <c r="J77" s="1"/>
  <c r="I81"/>
  <c r="H81"/>
  <c r="H80" s="1"/>
  <c r="D80"/>
  <c r="AE80"/>
  <c r="AC80"/>
  <c r="AB80"/>
  <c r="AA80"/>
  <c r="Y80"/>
  <c r="W80"/>
  <c r="U80"/>
  <c r="T80"/>
  <c r="Q80"/>
  <c r="O80"/>
  <c r="M80"/>
  <c r="K80"/>
  <c r="I80"/>
  <c r="AE78"/>
  <c r="AD78"/>
  <c r="AC78"/>
  <c r="AB78"/>
  <c r="AA78"/>
  <c r="Z78"/>
  <c r="Y78"/>
  <c r="X78"/>
  <c r="W78"/>
  <c r="V78"/>
  <c r="U78"/>
  <c r="T78"/>
  <c r="S78"/>
  <c r="R78"/>
  <c r="Q78"/>
  <c r="Q76" s="1"/>
  <c r="P78"/>
  <c r="O78"/>
  <c r="N78"/>
  <c r="M78"/>
  <c r="M76" s="1"/>
  <c r="L78"/>
  <c r="K78"/>
  <c r="J78"/>
  <c r="I78"/>
  <c r="H78"/>
  <c r="E78"/>
  <c r="D78"/>
  <c r="B78"/>
  <c r="AE77"/>
  <c r="AC77"/>
  <c r="AB77"/>
  <c r="AA77"/>
  <c r="Y77"/>
  <c r="Y76" s="1"/>
  <c r="W77"/>
  <c r="U77"/>
  <c r="T77"/>
  <c r="Q77"/>
  <c r="O77"/>
  <c r="O76" s="1"/>
  <c r="M77"/>
  <c r="K77"/>
  <c r="I77"/>
  <c r="I76" s="1"/>
  <c r="AE76"/>
  <c r="AB76"/>
  <c r="W76"/>
  <c r="T76"/>
  <c r="E74"/>
  <c r="E73" s="1"/>
  <c r="D74"/>
  <c r="C74"/>
  <c r="C73" s="1"/>
  <c r="B74"/>
  <c r="B73" s="1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F73"/>
  <c r="D73"/>
  <c r="X68"/>
  <c r="V68"/>
  <c r="T68"/>
  <c r="P68"/>
  <c r="N68"/>
  <c r="L68"/>
  <c r="J68"/>
  <c r="D68" s="1"/>
  <c r="AE65"/>
  <c r="AE71" s="1"/>
  <c r="AD65"/>
  <c r="AC65"/>
  <c r="AC71" s="1"/>
  <c r="T65"/>
  <c r="T71" s="1"/>
  <c r="M65"/>
  <c r="M71" s="1"/>
  <c r="K65"/>
  <c r="K71" s="1"/>
  <c r="J65"/>
  <c r="I65"/>
  <c r="I71" s="1"/>
  <c r="H65"/>
  <c r="AE64"/>
  <c r="AE70" s="1"/>
  <c r="AD64"/>
  <c r="AD70" s="1"/>
  <c r="AC64"/>
  <c r="AC70" s="1"/>
  <c r="Z64"/>
  <c r="Z70" s="1"/>
  <c r="S64"/>
  <c r="S70" s="1"/>
  <c r="R64"/>
  <c r="R70" s="1"/>
  <c r="Q64"/>
  <c r="Q70" s="1"/>
  <c r="P64"/>
  <c r="P70" s="1"/>
  <c r="O64"/>
  <c r="O70" s="1"/>
  <c r="N64"/>
  <c r="N70" s="1"/>
  <c r="M64"/>
  <c r="M70" s="1"/>
  <c r="L64"/>
  <c r="L70" s="1"/>
  <c r="K64"/>
  <c r="K70" s="1"/>
  <c r="J64"/>
  <c r="J70" s="1"/>
  <c r="I64"/>
  <c r="I70" s="1"/>
  <c r="H64"/>
  <c r="H70" s="1"/>
  <c r="M63"/>
  <c r="K63"/>
  <c r="I63"/>
  <c r="AB62"/>
  <c r="AA62"/>
  <c r="Z62"/>
  <c r="Y62"/>
  <c r="X62"/>
  <c r="W62"/>
  <c r="V62"/>
  <c r="U62"/>
  <c r="T62"/>
  <c r="S62"/>
  <c r="R62"/>
  <c r="Q62"/>
  <c r="P62"/>
  <c r="O62"/>
  <c r="N62"/>
  <c r="L62"/>
  <c r="B62"/>
  <c r="F62" s="1"/>
  <c r="AB60"/>
  <c r="AB65" s="1"/>
  <c r="AA60"/>
  <c r="AA65" s="1"/>
  <c r="AA71" s="1"/>
  <c r="Z60"/>
  <c r="Y60"/>
  <c r="Y65" s="1"/>
  <c r="Y71" s="1"/>
  <c r="X60"/>
  <c r="X65" s="1"/>
  <c r="W60"/>
  <c r="W65" s="1"/>
  <c r="W71" s="1"/>
  <c r="V60"/>
  <c r="U60"/>
  <c r="U65" s="1"/>
  <c r="U71" s="1"/>
  <c r="T60"/>
  <c r="S60"/>
  <c r="S65" s="1"/>
  <c r="S71" s="1"/>
  <c r="S69" s="1"/>
  <c r="R60"/>
  <c r="Q60"/>
  <c r="Q65" s="1"/>
  <c r="Q71" s="1"/>
  <c r="Q69" s="1"/>
  <c r="P60"/>
  <c r="P65" s="1"/>
  <c r="P71" s="1"/>
  <c r="P69" s="1"/>
  <c r="O60"/>
  <c r="O65" s="1"/>
  <c r="O71" s="1"/>
  <c r="O69" s="1"/>
  <c r="N60"/>
  <c r="D65"/>
  <c r="AB59"/>
  <c r="AB64" s="1"/>
  <c r="AB70" s="1"/>
  <c r="AA59"/>
  <c r="Y59"/>
  <c r="Y64" s="1"/>
  <c r="Y70" s="1"/>
  <c r="X59"/>
  <c r="W59"/>
  <c r="W64" s="1"/>
  <c r="W70" s="1"/>
  <c r="V59"/>
  <c r="V64" s="1"/>
  <c r="V70" s="1"/>
  <c r="U59"/>
  <c r="U64" s="1"/>
  <c r="U70" s="1"/>
  <c r="T59"/>
  <c r="D64"/>
  <c r="D70" s="1"/>
  <c r="AE58"/>
  <c r="AD58"/>
  <c r="AC58"/>
  <c r="AB58"/>
  <c r="Z58"/>
  <c r="W58"/>
  <c r="T58"/>
  <c r="S58"/>
  <c r="R58"/>
  <c r="Q58"/>
  <c r="P58"/>
  <c r="O58"/>
  <c r="N58"/>
  <c r="M58"/>
  <c r="L58"/>
  <c r="K58"/>
  <c r="J58"/>
  <c r="I58"/>
  <c r="H58"/>
  <c r="E51"/>
  <c r="E50" s="1"/>
  <c r="D51"/>
  <c r="D50" s="1"/>
  <c r="C51"/>
  <c r="B5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C50"/>
  <c r="B50"/>
  <c r="AE48"/>
  <c r="AD48"/>
  <c r="AC48"/>
  <c r="AC47" s="1"/>
  <c r="AB48"/>
  <c r="AA48"/>
  <c r="Z48"/>
  <c r="Z47" s="1"/>
  <c r="Y48"/>
  <c r="Y47" s="1"/>
  <c r="X48"/>
  <c r="Q48"/>
  <c r="Q47" s="1"/>
  <c r="P48"/>
  <c r="O48"/>
  <c r="O47" s="1"/>
  <c r="M48"/>
  <c r="M47" s="1"/>
  <c r="L48"/>
  <c r="K48"/>
  <c r="J48"/>
  <c r="J47" s="1"/>
  <c r="I48"/>
  <c r="I47" s="1"/>
  <c r="H48"/>
  <c r="H47" s="1"/>
  <c r="AE47"/>
  <c r="AD47"/>
  <c r="AB47"/>
  <c r="AA47"/>
  <c r="X47"/>
  <c r="P47"/>
  <c r="L47"/>
  <c r="K47"/>
  <c r="W46"/>
  <c r="V46"/>
  <c r="U46"/>
  <c r="U48" s="1"/>
  <c r="U47" s="1"/>
  <c r="T46"/>
  <c r="S46"/>
  <c r="R46"/>
  <c r="N46"/>
  <c r="G46"/>
  <c r="D46"/>
  <c r="B46"/>
  <c r="W44"/>
  <c r="V44"/>
  <c r="V48" s="1"/>
  <c r="V47" s="1"/>
  <c r="U44"/>
  <c r="T44"/>
  <c r="T48" s="1"/>
  <c r="T47" s="1"/>
  <c r="S44"/>
  <c r="R44"/>
  <c r="D44"/>
  <c r="D48" s="1"/>
  <c r="D47" s="1"/>
  <c r="E42"/>
  <c r="F42" s="1"/>
  <c r="C42"/>
  <c r="B42"/>
  <c r="E40"/>
  <c r="F40" s="1"/>
  <c r="C40"/>
  <c r="B40"/>
  <c r="AE37"/>
  <c r="AD37"/>
  <c r="AC37"/>
  <c r="AC35" s="1"/>
  <c r="AB37"/>
  <c r="Z37"/>
  <c r="V37"/>
  <c r="T37"/>
  <c r="R37"/>
  <c r="R35" s="1"/>
  <c r="M37"/>
  <c r="I37"/>
  <c r="H37"/>
  <c r="AE36"/>
  <c r="AE35" s="1"/>
  <c r="AD36"/>
  <c r="AC36"/>
  <c r="AB36"/>
  <c r="Z36"/>
  <c r="T36"/>
  <c r="S36"/>
  <c r="R36"/>
  <c r="P36"/>
  <c r="N36"/>
  <c r="K36"/>
  <c r="I36"/>
  <c r="H36"/>
  <c r="H53" s="1"/>
  <c r="AB35"/>
  <c r="AA34"/>
  <c r="Y34"/>
  <c r="U34"/>
  <c r="S34"/>
  <c r="O34"/>
  <c r="D34"/>
  <c r="AA32"/>
  <c r="AA37" s="1"/>
  <c r="Y32"/>
  <c r="Y37" s="1"/>
  <c r="Y35" s="1"/>
  <c r="X37"/>
  <c r="W32"/>
  <c r="W37" s="1"/>
  <c r="U32"/>
  <c r="S32"/>
  <c r="S37" s="1"/>
  <c r="Q32"/>
  <c r="Q37" s="1"/>
  <c r="P37"/>
  <c r="O32"/>
  <c r="O37" s="1"/>
  <c r="N32"/>
  <c r="N37" s="1"/>
  <c r="M32"/>
  <c r="L32"/>
  <c r="L37" s="1"/>
  <c r="K32"/>
  <c r="K37" s="1"/>
  <c r="J32"/>
  <c r="B32" s="1"/>
  <c r="D32"/>
  <c r="D37" s="1"/>
  <c r="AA31"/>
  <c r="AA36" s="1"/>
  <c r="AA35" s="1"/>
  <c r="Y31"/>
  <c r="Y36" s="1"/>
  <c r="X31"/>
  <c r="X36" s="1"/>
  <c r="W31"/>
  <c r="W36" s="1"/>
  <c r="W35" s="1"/>
  <c r="V31"/>
  <c r="V36" s="1"/>
  <c r="V35" s="1"/>
  <c r="U31"/>
  <c r="U36" s="1"/>
  <c r="S31"/>
  <c r="Q31"/>
  <c r="Q36" s="1"/>
  <c r="O31"/>
  <c r="O36" s="1"/>
  <c r="N31"/>
  <c r="M31"/>
  <c r="M36" s="1"/>
  <c r="M35" s="1"/>
  <c r="L31"/>
  <c r="J31"/>
  <c r="J36" s="1"/>
  <c r="D36"/>
  <c r="AE30"/>
  <c r="AD30"/>
  <c r="AC30"/>
  <c r="AB30"/>
  <c r="Y30"/>
  <c r="W30"/>
  <c r="U30"/>
  <c r="T30"/>
  <c r="R30"/>
  <c r="P30"/>
  <c r="M30"/>
  <c r="I30"/>
  <c r="H30"/>
  <c r="D30"/>
  <c r="AB27"/>
  <c r="AA27"/>
  <c r="Z27"/>
  <c r="Y27"/>
  <c r="Y25" s="1"/>
  <c r="X27"/>
  <c r="R27"/>
  <c r="R25" s="1"/>
  <c r="Q27"/>
  <c r="P27"/>
  <c r="O27"/>
  <c r="N27"/>
  <c r="M27"/>
  <c r="M25" s="1"/>
  <c r="L27"/>
  <c r="K27"/>
  <c r="J27"/>
  <c r="AB26"/>
  <c r="AA26"/>
  <c r="Z26"/>
  <c r="X26"/>
  <c r="Q26"/>
  <c r="Q25" s="1"/>
  <c r="P26"/>
  <c r="O26"/>
  <c r="N26"/>
  <c r="M26"/>
  <c r="L26"/>
  <c r="J26"/>
  <c r="AE25"/>
  <c r="AD25"/>
  <c r="AC25"/>
  <c r="Z25"/>
  <c r="W25"/>
  <c r="V25"/>
  <c r="U25"/>
  <c r="T25"/>
  <c r="S25"/>
  <c r="O25"/>
  <c r="I25"/>
  <c r="H25"/>
  <c r="AE23"/>
  <c r="AD23"/>
  <c r="AC23"/>
  <c r="AB23"/>
  <c r="AB54" s="1"/>
  <c r="AA23"/>
  <c r="Z23"/>
  <c r="Y23"/>
  <c r="X23"/>
  <c r="P23"/>
  <c r="M23"/>
  <c r="K23"/>
  <c r="J23"/>
  <c r="I23"/>
  <c r="I54" s="1"/>
  <c r="I11" s="1"/>
  <c r="I97" s="1"/>
  <c r="H23"/>
  <c r="H54" s="1"/>
  <c r="AE22"/>
  <c r="AD22"/>
  <c r="AD21" s="1"/>
  <c r="AC22"/>
  <c r="AC53" s="1"/>
  <c r="AC10" s="1"/>
  <c r="AC96" s="1"/>
  <c r="AB22"/>
  <c r="AA22"/>
  <c r="AA21" s="1"/>
  <c r="Z22"/>
  <c r="Z21" s="1"/>
  <c r="Y22"/>
  <c r="Y53" s="1"/>
  <c r="Y10" s="1"/>
  <c r="Y96" s="1"/>
  <c r="X22"/>
  <c r="S22"/>
  <c r="R22"/>
  <c r="Q22"/>
  <c r="P22"/>
  <c r="O22"/>
  <c r="N22"/>
  <c r="M22"/>
  <c r="L22"/>
  <c r="K22"/>
  <c r="K53" s="1"/>
  <c r="J22"/>
  <c r="J21" s="1"/>
  <c r="I22"/>
  <c r="I53" s="1"/>
  <c r="H22"/>
  <c r="AB21"/>
  <c r="P21"/>
  <c r="K21"/>
  <c r="H21"/>
  <c r="Q20"/>
  <c r="L20"/>
  <c r="B20" s="1"/>
  <c r="D20"/>
  <c r="U18"/>
  <c r="S18"/>
  <c r="Q18"/>
  <c r="O18"/>
  <c r="O23" s="1"/>
  <c r="N18"/>
  <c r="D18"/>
  <c r="B18"/>
  <c r="W16"/>
  <c r="W23" s="1"/>
  <c r="V16"/>
  <c r="V23" s="1"/>
  <c r="U16"/>
  <c r="U14" s="1"/>
  <c r="T16"/>
  <c r="T23" s="1"/>
  <c r="S16"/>
  <c r="S23" s="1"/>
  <c r="R16"/>
  <c r="R23" s="1"/>
  <c r="N16"/>
  <c r="D16"/>
  <c r="Y15"/>
  <c r="Y14" s="1"/>
  <c r="W15"/>
  <c r="E22" s="1"/>
  <c r="V15"/>
  <c r="V22" s="1"/>
  <c r="U15"/>
  <c r="U22" s="1"/>
  <c r="U53" s="1"/>
  <c r="U10" s="1"/>
  <c r="T15"/>
  <c r="T22" s="1"/>
  <c r="T53" s="1"/>
  <c r="D15"/>
  <c r="D22" s="1"/>
  <c r="C22"/>
  <c r="AE14"/>
  <c r="AD14"/>
  <c r="AC14"/>
  <c r="AB14"/>
  <c r="AA14"/>
  <c r="Z14"/>
  <c r="X14"/>
  <c r="S14"/>
  <c r="R14"/>
  <c r="Q14"/>
  <c r="P14"/>
  <c r="O14"/>
  <c r="N14"/>
  <c r="M14"/>
  <c r="L14"/>
  <c r="K14"/>
  <c r="J14"/>
  <c r="I14"/>
  <c r="H14"/>
  <c r="I10"/>
  <c r="AC76" l="1"/>
  <c r="AC63"/>
  <c r="D35"/>
  <c r="J37"/>
  <c r="N35"/>
  <c r="T14"/>
  <c r="B15"/>
  <c r="B22" s="1"/>
  <c r="D14"/>
  <c r="I52"/>
  <c r="M53"/>
  <c r="M10" s="1"/>
  <c r="M96" s="1"/>
  <c r="M21"/>
  <c r="AE21"/>
  <c r="L25"/>
  <c r="P25"/>
  <c r="AA53"/>
  <c r="B27"/>
  <c r="N25"/>
  <c r="AA25"/>
  <c r="O30"/>
  <c r="X30"/>
  <c r="N30"/>
  <c r="U35"/>
  <c r="X35"/>
  <c r="U37"/>
  <c r="R53"/>
  <c r="E37"/>
  <c r="T35"/>
  <c r="G42"/>
  <c r="B60"/>
  <c r="B65" s="1"/>
  <c r="AE63"/>
  <c r="J76"/>
  <c r="P76"/>
  <c r="U69"/>
  <c r="D53"/>
  <c r="D10" s="1"/>
  <c r="G18"/>
  <c r="D23"/>
  <c r="O53"/>
  <c r="O10" s="1"/>
  <c r="S53"/>
  <c r="S10" s="1"/>
  <c r="N53"/>
  <c r="X53"/>
  <c r="J30"/>
  <c r="V30"/>
  <c r="AA30"/>
  <c r="AB53"/>
  <c r="AD54"/>
  <c r="F46"/>
  <c r="C65"/>
  <c r="C71" s="1"/>
  <c r="R65"/>
  <c r="V65"/>
  <c r="Z65"/>
  <c r="Z63" s="1"/>
  <c r="G62"/>
  <c r="L65"/>
  <c r="N76"/>
  <c r="AB25"/>
  <c r="Y69"/>
  <c r="U76"/>
  <c r="AE53"/>
  <c r="K25"/>
  <c r="D25"/>
  <c r="Z54"/>
  <c r="S30"/>
  <c r="H35"/>
  <c r="B44"/>
  <c r="B48" s="1"/>
  <c r="B47" s="1"/>
  <c r="I69"/>
  <c r="B68"/>
  <c r="F68" s="1"/>
  <c r="L77"/>
  <c r="L76" s="1"/>
  <c r="R77"/>
  <c r="R76" s="1"/>
  <c r="X77"/>
  <c r="X76" s="1"/>
  <c r="K76"/>
  <c r="AA76"/>
  <c r="Z35"/>
  <c r="F32"/>
  <c r="J35"/>
  <c r="B31"/>
  <c r="B36" s="1"/>
  <c r="I96"/>
  <c r="I9"/>
  <c r="I8" s="1"/>
  <c r="I7" s="1"/>
  <c r="V21"/>
  <c r="V53"/>
  <c r="P35"/>
  <c r="P54"/>
  <c r="P11" s="1"/>
  <c r="P97" s="1"/>
  <c r="O96"/>
  <c r="O9"/>
  <c r="O8" s="1"/>
  <c r="O7" s="1"/>
  <c r="G22"/>
  <c r="F22"/>
  <c r="D54"/>
  <c r="N10"/>
  <c r="H10"/>
  <c r="H52"/>
  <c r="V54"/>
  <c r="U96"/>
  <c r="AE10"/>
  <c r="Q35"/>
  <c r="AB10"/>
  <c r="AB52"/>
  <c r="G44"/>
  <c r="F44"/>
  <c r="F20"/>
  <c r="G20"/>
  <c r="T54"/>
  <c r="T11" s="1"/>
  <c r="T97" s="1"/>
  <c r="F27"/>
  <c r="G27"/>
  <c r="E25"/>
  <c r="R10"/>
  <c r="K10"/>
  <c r="C48"/>
  <c r="C47" s="1"/>
  <c r="E48"/>
  <c r="N48"/>
  <c r="N47" s="1"/>
  <c r="R48"/>
  <c r="R47" s="1"/>
  <c r="V14"/>
  <c r="N23"/>
  <c r="N54" s="1"/>
  <c r="N52" s="1"/>
  <c r="B16"/>
  <c r="D21"/>
  <c r="I21"/>
  <c r="O21"/>
  <c r="T21"/>
  <c r="Y21"/>
  <c r="R21"/>
  <c r="W22"/>
  <c r="K54"/>
  <c r="K11" s="1"/>
  <c r="K97" s="1"/>
  <c r="U23"/>
  <c r="U54" s="1"/>
  <c r="U11" s="1"/>
  <c r="U97" s="1"/>
  <c r="B26"/>
  <c r="B25" s="1"/>
  <c r="L30"/>
  <c r="Q30"/>
  <c r="C36"/>
  <c r="G32"/>
  <c r="E36"/>
  <c r="K35"/>
  <c r="J53"/>
  <c r="Z53"/>
  <c r="R71"/>
  <c r="R69" s="1"/>
  <c r="R63"/>
  <c r="V63"/>
  <c r="V71"/>
  <c r="V69" s="1"/>
  <c r="G15"/>
  <c r="F16"/>
  <c r="E14"/>
  <c r="F18"/>
  <c r="X54"/>
  <c r="W14"/>
  <c r="F15"/>
  <c r="U21"/>
  <c r="L23"/>
  <c r="Q23"/>
  <c r="AA54"/>
  <c r="AA11" s="1"/>
  <c r="AA97" s="1"/>
  <c r="AE54"/>
  <c r="AE11" s="1"/>
  <c r="AE97" s="1"/>
  <c r="J25"/>
  <c r="B34"/>
  <c r="B37" s="1"/>
  <c r="L36"/>
  <c r="L35" s="1"/>
  <c r="S48"/>
  <c r="S47" s="1"/>
  <c r="W48"/>
  <c r="W47" s="1"/>
  <c r="P53"/>
  <c r="M54"/>
  <c r="M11" s="1"/>
  <c r="T64"/>
  <c r="T70" s="1"/>
  <c r="T69" s="1"/>
  <c r="B59"/>
  <c r="B58" s="1"/>
  <c r="X58"/>
  <c r="X64"/>
  <c r="X70" s="1"/>
  <c r="X10" s="1"/>
  <c r="S54"/>
  <c r="S11" s="1"/>
  <c r="S97" s="1"/>
  <c r="S35"/>
  <c r="G16"/>
  <c r="S21"/>
  <c r="X21"/>
  <c r="AC21"/>
  <c r="Q53"/>
  <c r="E23"/>
  <c r="E21" s="1"/>
  <c r="O54"/>
  <c r="O11" s="1"/>
  <c r="O97" s="1"/>
  <c r="Y54"/>
  <c r="Y11" s="1"/>
  <c r="Y97" s="1"/>
  <c r="AC54"/>
  <c r="AC11" s="1"/>
  <c r="AC97" s="1"/>
  <c r="X25"/>
  <c r="K30"/>
  <c r="I35"/>
  <c r="AD35"/>
  <c r="O35"/>
  <c r="G40"/>
  <c r="AD53"/>
  <c r="J54"/>
  <c r="D63"/>
  <c r="D71"/>
  <c r="D69" s="1"/>
  <c r="D58"/>
  <c r="V58"/>
  <c r="Q63"/>
  <c r="Y63"/>
  <c r="J71"/>
  <c r="J69" s="1"/>
  <c r="J63"/>
  <c r="N65"/>
  <c r="P80"/>
  <c r="D77"/>
  <c r="D76" s="1"/>
  <c r="AA64"/>
  <c r="AA70" s="1"/>
  <c r="AA69" s="1"/>
  <c r="AA58"/>
  <c r="S63"/>
  <c r="P63"/>
  <c r="AD63"/>
  <c r="AD71"/>
  <c r="AD69" s="1"/>
  <c r="H77"/>
  <c r="H76" s="1"/>
  <c r="B81"/>
  <c r="S80"/>
  <c r="S77"/>
  <c r="S76" s="1"/>
  <c r="Z77"/>
  <c r="Z76" s="1"/>
  <c r="Z80"/>
  <c r="U63"/>
  <c r="H63"/>
  <c r="L63"/>
  <c r="H71"/>
  <c r="H69" s="1"/>
  <c r="X71"/>
  <c r="X69" s="1"/>
  <c r="J80"/>
  <c r="N80"/>
  <c r="W69"/>
  <c r="O63"/>
  <c r="W63"/>
  <c r="T63"/>
  <c r="AB63"/>
  <c r="G68"/>
  <c r="L71"/>
  <c r="L69" s="1"/>
  <c r="AB71"/>
  <c r="AB69" s="1"/>
  <c r="V77"/>
  <c r="V76" s="1"/>
  <c r="V80"/>
  <c r="AD77"/>
  <c r="AD76" s="1"/>
  <c r="AD80"/>
  <c r="U58"/>
  <c r="Y58"/>
  <c r="K69"/>
  <c r="AE69"/>
  <c r="M69"/>
  <c r="AC69"/>
  <c r="B71" l="1"/>
  <c r="AC52"/>
  <c r="D52"/>
  <c r="X63"/>
  <c r="U52"/>
  <c r="Z71"/>
  <c r="S52"/>
  <c r="AA10"/>
  <c r="E30"/>
  <c r="C53"/>
  <c r="B30"/>
  <c r="F31"/>
  <c r="X96"/>
  <c r="F37"/>
  <c r="B35"/>
  <c r="AA96"/>
  <c r="AA95" s="1"/>
  <c r="AA9"/>
  <c r="AA8" s="1"/>
  <c r="AA7" s="1"/>
  <c r="U95"/>
  <c r="T10"/>
  <c r="E65"/>
  <c r="G60"/>
  <c r="E58"/>
  <c r="F60"/>
  <c r="AD10"/>
  <c r="AD52"/>
  <c r="Q52"/>
  <c r="Q10"/>
  <c r="Q21"/>
  <c r="Q54"/>
  <c r="Q11" s="1"/>
  <c r="Q97" s="1"/>
  <c r="X11"/>
  <c r="X97" s="1"/>
  <c r="J10"/>
  <c r="J52"/>
  <c r="N21"/>
  <c r="C14"/>
  <c r="G14" s="1"/>
  <c r="C23"/>
  <c r="G48"/>
  <c r="E47"/>
  <c r="F48"/>
  <c r="AC9"/>
  <c r="AC8" s="1"/>
  <c r="AC7" s="1"/>
  <c r="AD11"/>
  <c r="AD97" s="1"/>
  <c r="U9"/>
  <c r="U8" s="1"/>
  <c r="U7" s="1"/>
  <c r="T52"/>
  <c r="S96"/>
  <c r="S9"/>
  <c r="S8" s="1"/>
  <c r="S7" s="1"/>
  <c r="Y52"/>
  <c r="B53"/>
  <c r="C80"/>
  <c r="C77"/>
  <c r="C76" s="1"/>
  <c r="M97"/>
  <c r="M9"/>
  <c r="M8" s="1"/>
  <c r="M7" s="1"/>
  <c r="L21"/>
  <c r="L54"/>
  <c r="L11" s="1"/>
  <c r="L97" s="1"/>
  <c r="C37"/>
  <c r="C35" s="1"/>
  <c r="C30"/>
  <c r="G30" s="1"/>
  <c r="G81"/>
  <c r="E80"/>
  <c r="F81"/>
  <c r="E77"/>
  <c r="AA63"/>
  <c r="E64"/>
  <c r="G59"/>
  <c r="F59"/>
  <c r="B64"/>
  <c r="Y9"/>
  <c r="Y8" s="1"/>
  <c r="Y7" s="1"/>
  <c r="C64"/>
  <c r="C58"/>
  <c r="P10"/>
  <c r="P52"/>
  <c r="G34"/>
  <c r="F34"/>
  <c r="G31"/>
  <c r="F26"/>
  <c r="W21"/>
  <c r="W53"/>
  <c r="B23"/>
  <c r="F23" s="1"/>
  <c r="B14"/>
  <c r="F14" s="1"/>
  <c r="K96"/>
  <c r="K9"/>
  <c r="K8" s="1"/>
  <c r="K7" s="1"/>
  <c r="R96"/>
  <c r="AC95"/>
  <c r="AA52"/>
  <c r="AB96"/>
  <c r="AE96"/>
  <c r="AE95" s="1"/>
  <c r="AE9"/>
  <c r="AE8" s="1"/>
  <c r="AE7" s="1"/>
  <c r="V11"/>
  <c r="V97" s="1"/>
  <c r="Y95"/>
  <c r="C25"/>
  <c r="N96"/>
  <c r="O52"/>
  <c r="O95"/>
  <c r="H96"/>
  <c r="V10"/>
  <c r="V52"/>
  <c r="B77"/>
  <c r="B76" s="1"/>
  <c r="B80"/>
  <c r="N63"/>
  <c r="N71"/>
  <c r="N69" s="1"/>
  <c r="J11"/>
  <c r="J97" s="1"/>
  <c r="G23"/>
  <c r="E54"/>
  <c r="L53"/>
  <c r="W54"/>
  <c r="W11" s="1"/>
  <c r="W97" s="1"/>
  <c r="Z10"/>
  <c r="Z52"/>
  <c r="F36"/>
  <c r="G36"/>
  <c r="E35"/>
  <c r="N11"/>
  <c r="N97" s="1"/>
  <c r="K52"/>
  <c r="F25"/>
  <c r="G25"/>
  <c r="M52"/>
  <c r="AE52"/>
  <c r="R54"/>
  <c r="D96"/>
  <c r="X52"/>
  <c r="G26"/>
  <c r="D11"/>
  <c r="D97" s="1"/>
  <c r="E53"/>
  <c r="AB11"/>
  <c r="AB97" s="1"/>
  <c r="H11"/>
  <c r="H97" s="1"/>
  <c r="I95"/>
  <c r="AA62" i="15"/>
  <c r="AA60"/>
  <c r="AA59"/>
  <c r="B115"/>
  <c r="C111"/>
  <c r="C110"/>
  <c r="AA34"/>
  <c r="AA32"/>
  <c r="AA31"/>
  <c r="D32"/>
  <c r="AA27"/>
  <c r="AA26"/>
  <c r="C46"/>
  <c r="C44"/>
  <c r="B20"/>
  <c r="F30" i="16" l="1"/>
  <c r="AB9"/>
  <c r="AB8" s="1"/>
  <c r="AB7" s="1"/>
  <c r="Z69"/>
  <c r="Z11"/>
  <c r="Z97" s="1"/>
  <c r="H9"/>
  <c r="H8" s="1"/>
  <c r="H7" s="1"/>
  <c r="D9"/>
  <c r="D8" s="1"/>
  <c r="D7" s="1"/>
  <c r="G53"/>
  <c r="E52"/>
  <c r="F53"/>
  <c r="F58"/>
  <c r="G58"/>
  <c r="D95"/>
  <c r="B70"/>
  <c r="B69" s="1"/>
  <c r="B63"/>
  <c r="G47"/>
  <c r="F47"/>
  <c r="R11"/>
  <c r="R52"/>
  <c r="H95"/>
  <c r="N95"/>
  <c r="W52"/>
  <c r="W10"/>
  <c r="F77"/>
  <c r="G77"/>
  <c r="E76"/>
  <c r="AD96"/>
  <c r="AD9"/>
  <c r="AD8" s="1"/>
  <c r="AD7" s="1"/>
  <c r="E71"/>
  <c r="G65"/>
  <c r="E63"/>
  <c r="F65"/>
  <c r="X95"/>
  <c r="G35"/>
  <c r="F35"/>
  <c r="Z96"/>
  <c r="L10"/>
  <c r="L52"/>
  <c r="K95"/>
  <c r="C70"/>
  <c r="C63"/>
  <c r="G37"/>
  <c r="M95"/>
  <c r="S95"/>
  <c r="C54"/>
  <c r="G54" s="1"/>
  <c r="C21"/>
  <c r="J96"/>
  <c r="J9"/>
  <c r="J8" s="1"/>
  <c r="J7" s="1"/>
  <c r="Q96"/>
  <c r="Q9"/>
  <c r="Q8" s="1"/>
  <c r="Q7" s="1"/>
  <c r="V96"/>
  <c r="V9"/>
  <c r="V8" s="1"/>
  <c r="V7" s="1"/>
  <c r="N9"/>
  <c r="N8" s="1"/>
  <c r="N7" s="1"/>
  <c r="B54"/>
  <c r="B11" s="1"/>
  <c r="B97" s="1"/>
  <c r="B21"/>
  <c r="F21" s="1"/>
  <c r="P96"/>
  <c r="P9"/>
  <c r="P8" s="1"/>
  <c r="P7" s="1"/>
  <c r="T96"/>
  <c r="T9"/>
  <c r="T8" s="1"/>
  <c r="T7" s="1"/>
  <c r="X9"/>
  <c r="X8" s="1"/>
  <c r="X7" s="1"/>
  <c r="F54"/>
  <c r="E70"/>
  <c r="G64"/>
  <c r="F64"/>
  <c r="G80"/>
  <c r="F80"/>
  <c r="B10"/>
  <c r="B52"/>
  <c r="AB95"/>
  <c r="Y62" i="15"/>
  <c r="Y60"/>
  <c r="Y59"/>
  <c r="Z9" i="16" l="1"/>
  <c r="Z8" s="1"/>
  <c r="Z7" s="1"/>
  <c r="B96"/>
  <c r="B9"/>
  <c r="B8" s="1"/>
  <c r="B7" s="1"/>
  <c r="F63"/>
  <c r="G63"/>
  <c r="AD95"/>
  <c r="W96"/>
  <c r="W9"/>
  <c r="W8" s="1"/>
  <c r="W7" s="1"/>
  <c r="F52"/>
  <c r="G70"/>
  <c r="F70"/>
  <c r="P95"/>
  <c r="C11"/>
  <c r="C97" s="1"/>
  <c r="C52"/>
  <c r="G52" s="1"/>
  <c r="Z95"/>
  <c r="F76"/>
  <c r="G76"/>
  <c r="V95"/>
  <c r="J95"/>
  <c r="C69"/>
  <c r="C10"/>
  <c r="G71"/>
  <c r="F71"/>
  <c r="E69"/>
  <c r="E10"/>
  <c r="E11"/>
  <c r="T95"/>
  <c r="G21"/>
  <c r="L96"/>
  <c r="L9"/>
  <c r="L8" s="1"/>
  <c r="L7" s="1"/>
  <c r="R97"/>
  <c r="R9"/>
  <c r="R8" s="1"/>
  <c r="R7" s="1"/>
  <c r="Q95"/>
  <c r="D15" i="15"/>
  <c r="Y34"/>
  <c r="Y32"/>
  <c r="Y31"/>
  <c r="Y27"/>
  <c r="Y15"/>
  <c r="B110"/>
  <c r="G69" i="16" l="1"/>
  <c r="F69"/>
  <c r="B95"/>
  <c r="L95"/>
  <c r="E97"/>
  <c r="G11"/>
  <c r="F11"/>
  <c r="W95"/>
  <c r="R95"/>
  <c r="E96"/>
  <c r="F10"/>
  <c r="G10"/>
  <c r="E9"/>
  <c r="C96"/>
  <c r="C9"/>
  <c r="C8" s="1"/>
  <c r="C7" s="1"/>
  <c r="AF114" i="15"/>
  <c r="AF115"/>
  <c r="AF116"/>
  <c r="C95" i="16" l="1"/>
  <c r="F96"/>
  <c r="G96"/>
  <c r="E95"/>
  <c r="F9"/>
  <c r="G9"/>
  <c r="E8"/>
  <c r="F97"/>
  <c r="G97"/>
  <c r="D46" i="15"/>
  <c r="D44"/>
  <c r="W46"/>
  <c r="W44"/>
  <c r="Z32"/>
  <c r="Z31"/>
  <c r="V34"/>
  <c r="X32"/>
  <c r="V32"/>
  <c r="T32"/>
  <c r="R32"/>
  <c r="P34"/>
  <c r="P32"/>
  <c r="J34"/>
  <c r="AE111"/>
  <c r="AC111"/>
  <c r="AA111"/>
  <c r="Y111"/>
  <c r="I111"/>
  <c r="H111"/>
  <c r="H109" s="1"/>
  <c r="AB109"/>
  <c r="X109"/>
  <c r="U109"/>
  <c r="T109"/>
  <c r="Q109"/>
  <c r="P109"/>
  <c r="M109"/>
  <c r="L109"/>
  <c r="I109"/>
  <c r="AD109"/>
  <c r="Z109"/>
  <c r="W109"/>
  <c r="V109"/>
  <c r="S109"/>
  <c r="R109"/>
  <c r="O109"/>
  <c r="N109"/>
  <c r="K109"/>
  <c r="J109"/>
  <c r="D34"/>
  <c r="W32"/>
  <c r="W31"/>
  <c r="W16"/>
  <c r="W15"/>
  <c r="D16"/>
  <c r="F95" i="16" l="1"/>
  <c r="G95"/>
  <c r="F8"/>
  <c r="G8"/>
  <c r="E7"/>
  <c r="B111" i="15"/>
  <c r="C109"/>
  <c r="G7" i="16" l="1"/>
  <c r="F7"/>
  <c r="B109" i="15"/>
  <c r="AB62" l="1"/>
  <c r="AB60"/>
  <c r="Z60"/>
  <c r="W62"/>
  <c r="W60"/>
  <c r="W59"/>
  <c r="U62"/>
  <c r="U60"/>
  <c r="U59"/>
  <c r="T62"/>
  <c r="S62"/>
  <c r="S60"/>
  <c r="R62"/>
  <c r="R60"/>
  <c r="Q62"/>
  <c r="Q60"/>
  <c r="P62"/>
  <c r="P60"/>
  <c r="O62"/>
  <c r="O60"/>
  <c r="X60" l="1"/>
  <c r="V60"/>
  <c r="T60"/>
  <c r="N60"/>
  <c r="AB59" l="1"/>
  <c r="X59"/>
  <c r="V59"/>
  <c r="T59"/>
  <c r="R27"/>
  <c r="U46" l="1"/>
  <c r="U44"/>
  <c r="U34"/>
  <c r="U32"/>
  <c r="U31"/>
  <c r="S32"/>
  <c r="U18"/>
  <c r="U16"/>
  <c r="U15"/>
  <c r="V46" l="1"/>
  <c r="T46"/>
  <c r="S46"/>
  <c r="R46"/>
  <c r="N46"/>
  <c r="V44"/>
  <c r="T44"/>
  <c r="S44"/>
  <c r="R44"/>
  <c r="S34"/>
  <c r="D18"/>
  <c r="S16"/>
  <c r="N16"/>
  <c r="N18"/>
  <c r="S18"/>
  <c r="G46" l="1"/>
  <c r="U64"/>
  <c r="T68"/>
  <c r="N31"/>
  <c r="V15"/>
  <c r="T15"/>
  <c r="G59"/>
  <c r="G15" l="1"/>
  <c r="G44"/>
  <c r="S81" l="1"/>
  <c r="S31"/>
  <c r="O32"/>
  <c r="J32"/>
  <c r="AB27"/>
  <c r="Z27"/>
  <c r="X27"/>
  <c r="V16"/>
  <c r="T16"/>
  <c r="V81"/>
  <c r="AD81"/>
  <c r="AB81"/>
  <c r="Z81"/>
  <c r="X81"/>
  <c r="T81"/>
  <c r="R81"/>
  <c r="Q27" l="1"/>
  <c r="Q26"/>
  <c r="O34"/>
  <c r="Q31"/>
  <c r="O31"/>
  <c r="M31"/>
  <c r="O27"/>
  <c r="O26"/>
  <c r="M27"/>
  <c r="M26"/>
  <c r="K27"/>
  <c r="Q20"/>
  <c r="Q18"/>
  <c r="O18"/>
  <c r="K32"/>
  <c r="M32"/>
  <c r="Q32"/>
  <c r="P27" l="1"/>
  <c r="R16"/>
  <c r="G16" l="1"/>
  <c r="G18"/>
  <c r="O81" l="1"/>
  <c r="L32" l="1"/>
  <c r="N32"/>
  <c r="L27"/>
  <c r="J27"/>
  <c r="N27"/>
  <c r="P81" l="1"/>
  <c r="N81"/>
  <c r="L81"/>
  <c r="D37"/>
  <c r="D20" l="1"/>
  <c r="E58" l="1"/>
  <c r="E14"/>
  <c r="J81" l="1"/>
  <c r="G60"/>
  <c r="G27"/>
  <c r="G32" l="1"/>
  <c r="I81" l="1"/>
  <c r="H81" l="1"/>
  <c r="Z62"/>
  <c r="X62"/>
  <c r="V62"/>
  <c r="N62"/>
  <c r="L62"/>
  <c r="G62" l="1"/>
  <c r="G81"/>
  <c r="C65" l="1"/>
  <c r="X68"/>
  <c r="V68"/>
  <c r="P68"/>
  <c r="N68"/>
  <c r="L68"/>
  <c r="J68"/>
  <c r="X31"/>
  <c r="V31"/>
  <c r="L31"/>
  <c r="G34" l="1"/>
  <c r="J31"/>
  <c r="AB26"/>
  <c r="Z26"/>
  <c r="X26"/>
  <c r="L26"/>
  <c r="J26"/>
  <c r="L20"/>
  <c r="D77"/>
  <c r="K77"/>
  <c r="M77"/>
  <c r="O77"/>
  <c r="Q77"/>
  <c r="S77"/>
  <c r="U77"/>
  <c r="W77"/>
  <c r="Y77"/>
  <c r="AA77"/>
  <c r="AC77"/>
  <c r="AE77"/>
  <c r="D78"/>
  <c r="H78"/>
  <c r="I78"/>
  <c r="J78"/>
  <c r="K78"/>
  <c r="L78"/>
  <c r="M78"/>
  <c r="N78"/>
  <c r="O78"/>
  <c r="P78"/>
  <c r="Q78"/>
  <c r="R78"/>
  <c r="S78"/>
  <c r="T78"/>
  <c r="U78"/>
  <c r="V78"/>
  <c r="W78"/>
  <c r="W76" s="1"/>
  <c r="X78"/>
  <c r="Y78"/>
  <c r="Z78"/>
  <c r="AA78"/>
  <c r="AB78"/>
  <c r="AC78"/>
  <c r="AD78"/>
  <c r="AE78"/>
  <c r="E94"/>
  <c r="E93" s="1"/>
  <c r="C94"/>
  <c r="C93" s="1"/>
  <c r="B94"/>
  <c r="B93" s="1"/>
  <c r="D93"/>
  <c r="C90"/>
  <c r="C89" s="1"/>
  <c r="B90"/>
  <c r="B89" s="1"/>
  <c r="D89"/>
  <c r="E87"/>
  <c r="E86" s="1"/>
  <c r="C87"/>
  <c r="C86" s="1"/>
  <c r="B87"/>
  <c r="B86" s="1"/>
  <c r="D86"/>
  <c r="N83"/>
  <c r="C84"/>
  <c r="C83" s="1"/>
  <c r="B84"/>
  <c r="B83" s="1"/>
  <c r="D83"/>
  <c r="D80"/>
  <c r="E74"/>
  <c r="C74"/>
  <c r="C73" s="1"/>
  <c r="D65"/>
  <c r="D64"/>
  <c r="D70" s="1"/>
  <c r="E64"/>
  <c r="E70" s="1"/>
  <c r="C64"/>
  <c r="H23"/>
  <c r="I22"/>
  <c r="H22"/>
  <c r="D48"/>
  <c r="G20" l="1"/>
  <c r="C70"/>
  <c r="G70" s="1"/>
  <c r="G64"/>
  <c r="AC76"/>
  <c r="S76"/>
  <c r="K76"/>
  <c r="G31"/>
  <c r="U76"/>
  <c r="Y76"/>
  <c r="Q76"/>
  <c r="D68"/>
  <c r="G68"/>
  <c r="M76"/>
  <c r="D76"/>
  <c r="AA76"/>
  <c r="AE76"/>
  <c r="O76"/>
  <c r="E48"/>
  <c r="E65"/>
  <c r="C48"/>
  <c r="H21"/>
  <c r="B78"/>
  <c r="B15"/>
  <c r="B22" s="1"/>
  <c r="C63"/>
  <c r="C71"/>
  <c r="C78"/>
  <c r="G48" l="1"/>
  <c r="E71"/>
  <c r="E69" s="1"/>
  <c r="G65"/>
  <c r="E63"/>
  <c r="G63" s="1"/>
  <c r="O23"/>
  <c r="G71" l="1"/>
  <c r="E90"/>
  <c r="E89" s="1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F89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F86"/>
  <c r="AB83"/>
  <c r="AA83"/>
  <c r="Z83"/>
  <c r="Y83"/>
  <c r="X83"/>
  <c r="W83"/>
  <c r="V83"/>
  <c r="U83"/>
  <c r="T83"/>
  <c r="S83"/>
  <c r="R83"/>
  <c r="Q83"/>
  <c r="P83"/>
  <c r="O83"/>
  <c r="M83"/>
  <c r="L83"/>
  <c r="K83"/>
  <c r="J83"/>
  <c r="I83"/>
  <c r="AE83"/>
  <c r="AD83"/>
  <c r="AC83"/>
  <c r="AD77"/>
  <c r="AD76" s="1"/>
  <c r="AB77"/>
  <c r="AB76" s="1"/>
  <c r="T77"/>
  <c r="T76" s="1"/>
  <c r="N77"/>
  <c r="N76" s="1"/>
  <c r="AE80"/>
  <c r="AC80"/>
  <c r="AA80"/>
  <c r="Y80"/>
  <c r="W80"/>
  <c r="U80"/>
  <c r="S80"/>
  <c r="Q80"/>
  <c r="O80"/>
  <c r="M80"/>
  <c r="K80"/>
  <c r="E73"/>
  <c r="D74"/>
  <c r="D73" s="1"/>
  <c r="B74"/>
  <c r="B73" s="1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F7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B68"/>
  <c r="AE65"/>
  <c r="AE71" s="1"/>
  <c r="AD65"/>
  <c r="AD71" s="1"/>
  <c r="AC65"/>
  <c r="AC71" s="1"/>
  <c r="AB65"/>
  <c r="AB71" s="1"/>
  <c r="AA65"/>
  <c r="AA71" s="1"/>
  <c r="Z65"/>
  <c r="Z71" s="1"/>
  <c r="Y65"/>
  <c r="Y71" s="1"/>
  <c r="W65"/>
  <c r="W71" s="1"/>
  <c r="V65"/>
  <c r="V71" s="1"/>
  <c r="U65"/>
  <c r="U71" s="1"/>
  <c r="T65"/>
  <c r="T71" s="1"/>
  <c r="S65"/>
  <c r="S71" s="1"/>
  <c r="R65"/>
  <c r="R71" s="1"/>
  <c r="Q65"/>
  <c r="Q71" s="1"/>
  <c r="P65"/>
  <c r="P71" s="1"/>
  <c r="O65"/>
  <c r="O71" s="1"/>
  <c r="N65"/>
  <c r="N71" s="1"/>
  <c r="M65"/>
  <c r="M71" s="1"/>
  <c r="L65"/>
  <c r="L71" s="1"/>
  <c r="K65"/>
  <c r="K71" s="1"/>
  <c r="J65"/>
  <c r="J71" s="1"/>
  <c r="I65"/>
  <c r="I71" s="1"/>
  <c r="H65"/>
  <c r="H71" s="1"/>
  <c r="AE64"/>
  <c r="AE70" s="1"/>
  <c r="AD64"/>
  <c r="AC64"/>
  <c r="AC70" s="1"/>
  <c r="AB64"/>
  <c r="AB70" s="1"/>
  <c r="AA64"/>
  <c r="AA70" s="1"/>
  <c r="Y64"/>
  <c r="Y70" s="1"/>
  <c r="W64"/>
  <c r="W70" s="1"/>
  <c r="U70"/>
  <c r="S64"/>
  <c r="S70" s="1"/>
  <c r="Q64"/>
  <c r="Q70" s="1"/>
  <c r="O64"/>
  <c r="O70" s="1"/>
  <c r="N64"/>
  <c r="N70" s="1"/>
  <c r="M64"/>
  <c r="M70" s="1"/>
  <c r="L64"/>
  <c r="L70" s="1"/>
  <c r="K64"/>
  <c r="K70" s="1"/>
  <c r="J64"/>
  <c r="J70" s="1"/>
  <c r="I64"/>
  <c r="I70" s="1"/>
  <c r="H64"/>
  <c r="B62"/>
  <c r="X58"/>
  <c r="X64"/>
  <c r="X70" s="1"/>
  <c r="T64"/>
  <c r="T70" s="1"/>
  <c r="R64"/>
  <c r="R70" s="1"/>
  <c r="P64"/>
  <c r="P70" s="1"/>
  <c r="AE58"/>
  <c r="AD58"/>
  <c r="AC58"/>
  <c r="AB58"/>
  <c r="AA58"/>
  <c r="Z58"/>
  <c r="Y58"/>
  <c r="W58"/>
  <c r="U58"/>
  <c r="T58"/>
  <c r="S58"/>
  <c r="R58"/>
  <c r="Q58"/>
  <c r="P58"/>
  <c r="O58"/>
  <c r="N58"/>
  <c r="M58"/>
  <c r="L58"/>
  <c r="K58"/>
  <c r="J58"/>
  <c r="I58"/>
  <c r="H58"/>
  <c r="D58"/>
  <c r="E51"/>
  <c r="E50" s="1"/>
  <c r="D51"/>
  <c r="D50" s="1"/>
  <c r="C51"/>
  <c r="C50" s="1"/>
  <c r="B51"/>
  <c r="B50" s="1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AE48"/>
  <c r="AE47" s="1"/>
  <c r="AD48"/>
  <c r="AD47" s="1"/>
  <c r="AC48"/>
  <c r="AC47" s="1"/>
  <c r="AB48"/>
  <c r="AB47" s="1"/>
  <c r="AA48"/>
  <c r="AA47" s="1"/>
  <c r="Z48"/>
  <c r="Z47" s="1"/>
  <c r="Y48"/>
  <c r="X48"/>
  <c r="W48"/>
  <c r="W47" s="1"/>
  <c r="V48"/>
  <c r="V47" s="1"/>
  <c r="U48"/>
  <c r="U47" s="1"/>
  <c r="T48"/>
  <c r="T47" s="1"/>
  <c r="S48"/>
  <c r="S47" s="1"/>
  <c r="R48"/>
  <c r="R47" s="1"/>
  <c r="Q48"/>
  <c r="Q47" s="1"/>
  <c r="P48"/>
  <c r="P47" s="1"/>
  <c r="O48"/>
  <c r="O47" s="1"/>
  <c r="N48"/>
  <c r="N47" s="1"/>
  <c r="M48"/>
  <c r="M47" s="1"/>
  <c r="L48"/>
  <c r="L47" s="1"/>
  <c r="K48"/>
  <c r="K47" s="1"/>
  <c r="J48"/>
  <c r="J47" s="1"/>
  <c r="I48"/>
  <c r="I47" s="1"/>
  <c r="H48"/>
  <c r="H47" s="1"/>
  <c r="D47"/>
  <c r="C47"/>
  <c r="Y47"/>
  <c r="X47"/>
  <c r="B46"/>
  <c r="F46" s="1"/>
  <c r="B44"/>
  <c r="E42"/>
  <c r="C42"/>
  <c r="B42"/>
  <c r="E40"/>
  <c r="C40"/>
  <c r="B40"/>
  <c r="AE37"/>
  <c r="AD37"/>
  <c r="AC37"/>
  <c r="AB37"/>
  <c r="AA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36"/>
  <c r="AD36"/>
  <c r="AC36"/>
  <c r="AB36"/>
  <c r="AA36"/>
  <c r="Z36"/>
  <c r="Y36"/>
  <c r="W36"/>
  <c r="V36"/>
  <c r="U36"/>
  <c r="T36"/>
  <c r="S36"/>
  <c r="R36"/>
  <c r="Q36"/>
  <c r="P36"/>
  <c r="O36"/>
  <c r="N36"/>
  <c r="M36"/>
  <c r="L36"/>
  <c r="K36"/>
  <c r="J36"/>
  <c r="I36"/>
  <c r="H36"/>
  <c r="B34"/>
  <c r="C37"/>
  <c r="D30"/>
  <c r="B31"/>
  <c r="B36" s="1"/>
  <c r="AE30"/>
  <c r="AD30"/>
  <c r="AC30"/>
  <c r="AB30"/>
  <c r="AA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P26"/>
  <c r="N26"/>
  <c r="M25"/>
  <c r="K25"/>
  <c r="J25"/>
  <c r="AE25"/>
  <c r="AD25"/>
  <c r="AC25"/>
  <c r="AA25"/>
  <c r="Y25"/>
  <c r="W25"/>
  <c r="V25"/>
  <c r="U25"/>
  <c r="T25"/>
  <c r="S25"/>
  <c r="R25"/>
  <c r="Q25"/>
  <c r="O25"/>
  <c r="I25"/>
  <c r="H25"/>
  <c r="D25"/>
  <c r="AE23"/>
  <c r="AE110" s="1"/>
  <c r="AD23"/>
  <c r="AC23"/>
  <c r="AC110" s="1"/>
  <c r="AB23"/>
  <c r="AA23"/>
  <c r="AA110" s="1"/>
  <c r="Z23"/>
  <c r="Y23"/>
  <c r="Y110" s="1"/>
  <c r="X23"/>
  <c r="W23"/>
  <c r="U23"/>
  <c r="S23"/>
  <c r="Q23"/>
  <c r="P23"/>
  <c r="N23"/>
  <c r="M23"/>
  <c r="L23"/>
  <c r="K23"/>
  <c r="J23"/>
  <c r="I23"/>
  <c r="I21" s="1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C22"/>
  <c r="F20"/>
  <c r="B18"/>
  <c r="V23"/>
  <c r="T23"/>
  <c r="R14"/>
  <c r="D23"/>
  <c r="D22"/>
  <c r="AE14"/>
  <c r="AD14"/>
  <c r="AC14"/>
  <c r="AB14"/>
  <c r="AA14"/>
  <c r="Z14"/>
  <c r="Y14"/>
  <c r="X14"/>
  <c r="W14"/>
  <c r="U14"/>
  <c r="S14"/>
  <c r="Q14"/>
  <c r="P14"/>
  <c r="O14"/>
  <c r="N14"/>
  <c r="M14"/>
  <c r="L14"/>
  <c r="K14"/>
  <c r="J14"/>
  <c r="I14"/>
  <c r="H14"/>
  <c r="Y109" l="1"/>
  <c r="AC109"/>
  <c r="AA109"/>
  <c r="AE109"/>
  <c r="E36"/>
  <c r="E37"/>
  <c r="AA35"/>
  <c r="K69"/>
  <c r="D54"/>
  <c r="M21"/>
  <c r="T69"/>
  <c r="X21"/>
  <c r="U69"/>
  <c r="B27"/>
  <c r="F27" s="1"/>
  <c r="B48"/>
  <c r="B47" s="1"/>
  <c r="L21"/>
  <c r="Y21"/>
  <c r="J80"/>
  <c r="J77"/>
  <c r="J76" s="1"/>
  <c r="R80"/>
  <c r="R77"/>
  <c r="R76" s="1"/>
  <c r="Z80"/>
  <c r="Z77"/>
  <c r="Z76" s="1"/>
  <c r="L80"/>
  <c r="L77"/>
  <c r="L76" s="1"/>
  <c r="H77"/>
  <c r="H76" s="1"/>
  <c r="V80"/>
  <c r="V77"/>
  <c r="V76" s="1"/>
  <c r="I77"/>
  <c r="I76" s="1"/>
  <c r="P80"/>
  <c r="P77"/>
  <c r="P76" s="1"/>
  <c r="X80"/>
  <c r="X77"/>
  <c r="X76" s="1"/>
  <c r="U54"/>
  <c r="U11" s="1"/>
  <c r="U97" s="1"/>
  <c r="U116" s="1"/>
  <c r="V54"/>
  <c r="V11" s="1"/>
  <c r="V97" s="1"/>
  <c r="V116" s="1"/>
  <c r="K35"/>
  <c r="S35"/>
  <c r="U63"/>
  <c r="T63"/>
  <c r="T80"/>
  <c r="N69"/>
  <c r="P21"/>
  <c r="H54"/>
  <c r="H11" s="1"/>
  <c r="H97" s="1"/>
  <c r="H116" s="1"/>
  <c r="Q54"/>
  <c r="Q11" s="1"/>
  <c r="Q97" s="1"/>
  <c r="Q116" s="1"/>
  <c r="T54"/>
  <c r="T11" s="1"/>
  <c r="T97" s="1"/>
  <c r="T116" s="1"/>
  <c r="U21"/>
  <c r="I54"/>
  <c r="M54"/>
  <c r="M11" s="1"/>
  <c r="M97" s="1"/>
  <c r="M116" s="1"/>
  <c r="L54"/>
  <c r="X54"/>
  <c r="AA63"/>
  <c r="AB80"/>
  <c r="AB54"/>
  <c r="AB11" s="1"/>
  <c r="AB97" s="1"/>
  <c r="AB116" s="1"/>
  <c r="O63"/>
  <c r="H63"/>
  <c r="D71"/>
  <c r="D69" s="1"/>
  <c r="N80"/>
  <c r="AE63"/>
  <c r="T14"/>
  <c r="X25"/>
  <c r="Z25"/>
  <c r="Z30"/>
  <c r="I63"/>
  <c r="M63"/>
  <c r="AD80"/>
  <c r="K63"/>
  <c r="E84"/>
  <c r="E23"/>
  <c r="F18"/>
  <c r="AE69"/>
  <c r="C14"/>
  <c r="G14" s="1"/>
  <c r="E25"/>
  <c r="P53"/>
  <c r="P10" s="1"/>
  <c r="B32"/>
  <c r="J54"/>
  <c r="J11" s="1"/>
  <c r="J97" s="1"/>
  <c r="J116" s="1"/>
  <c r="N35"/>
  <c r="R35"/>
  <c r="V35"/>
  <c r="Z37"/>
  <c r="Z54" s="1"/>
  <c r="Z11" s="1"/>
  <c r="Z97" s="1"/>
  <c r="Z116" s="1"/>
  <c r="AD54"/>
  <c r="AD11" s="1"/>
  <c r="AD97" s="1"/>
  <c r="AD116" s="1"/>
  <c r="G40"/>
  <c r="P63"/>
  <c r="W63"/>
  <c r="P69"/>
  <c r="H70"/>
  <c r="H69" s="1"/>
  <c r="V14"/>
  <c r="L35"/>
  <c r="P35"/>
  <c r="T35"/>
  <c r="X35"/>
  <c r="AB35"/>
  <c r="O54"/>
  <c r="O11" s="1"/>
  <c r="O97" s="1"/>
  <c r="O116" s="1"/>
  <c r="S54"/>
  <c r="S11" s="1"/>
  <c r="S97" s="1"/>
  <c r="S116" s="1"/>
  <c r="W54"/>
  <c r="W11" s="1"/>
  <c r="W97" s="1"/>
  <c r="W116" s="1"/>
  <c r="AE54"/>
  <c r="AE11" s="1"/>
  <c r="AE97" s="1"/>
  <c r="AE116" s="1"/>
  <c r="F40"/>
  <c r="L63"/>
  <c r="Q63"/>
  <c r="Y63"/>
  <c r="Z64"/>
  <c r="I69"/>
  <c r="M69"/>
  <c r="Q69"/>
  <c r="H80"/>
  <c r="B81"/>
  <c r="F81" s="1"/>
  <c r="I35"/>
  <c r="M35"/>
  <c r="Q35"/>
  <c r="U35"/>
  <c r="AC35"/>
  <c r="B59"/>
  <c r="F59" s="1"/>
  <c r="S63"/>
  <c r="J69"/>
  <c r="I80"/>
  <c r="H83"/>
  <c r="B26"/>
  <c r="N25"/>
  <c r="AB25"/>
  <c r="X65"/>
  <c r="X71" s="1"/>
  <c r="AB69"/>
  <c r="E47"/>
  <c r="AC54"/>
  <c r="AC11" s="1"/>
  <c r="AC97" s="1"/>
  <c r="AC116" s="1"/>
  <c r="AC21"/>
  <c r="F62"/>
  <c r="AC63"/>
  <c r="D63"/>
  <c r="Y54"/>
  <c r="Y11" s="1"/>
  <c r="Y97" s="1"/>
  <c r="Y116" s="1"/>
  <c r="Y35"/>
  <c r="F68"/>
  <c r="E30"/>
  <c r="F31"/>
  <c r="AA54"/>
  <c r="AA11" s="1"/>
  <c r="AA97" s="1"/>
  <c r="AA116" s="1"/>
  <c r="D21"/>
  <c r="L53"/>
  <c r="L10" s="1"/>
  <c r="AB53"/>
  <c r="AB10" s="1"/>
  <c r="N54"/>
  <c r="N11" s="1"/>
  <c r="N97" s="1"/>
  <c r="N116" s="1"/>
  <c r="D14"/>
  <c r="F15"/>
  <c r="Q21"/>
  <c r="L25"/>
  <c r="P25"/>
  <c r="C36"/>
  <c r="C30"/>
  <c r="F34"/>
  <c r="O35"/>
  <c r="W35"/>
  <c r="AE35"/>
  <c r="M53"/>
  <c r="M10" s="1"/>
  <c r="U53"/>
  <c r="U10" s="1"/>
  <c r="AC53"/>
  <c r="AC10" s="1"/>
  <c r="R69"/>
  <c r="R63"/>
  <c r="K53"/>
  <c r="K10" s="1"/>
  <c r="K21"/>
  <c r="S53"/>
  <c r="S10" s="1"/>
  <c r="S21"/>
  <c r="W53"/>
  <c r="W10" s="1"/>
  <c r="W21"/>
  <c r="AD35"/>
  <c r="H35"/>
  <c r="B16"/>
  <c r="B23" s="1"/>
  <c r="R23"/>
  <c r="R54" s="1"/>
  <c r="R11" s="1"/>
  <c r="R97" s="1"/>
  <c r="R116" s="1"/>
  <c r="T21"/>
  <c r="AB21"/>
  <c r="J53"/>
  <c r="J10" s="1"/>
  <c r="J21"/>
  <c r="N53"/>
  <c r="N10" s="1"/>
  <c r="N21"/>
  <c r="R53"/>
  <c r="R10" s="1"/>
  <c r="V53"/>
  <c r="V21"/>
  <c r="Z53"/>
  <c r="Z21"/>
  <c r="AD53"/>
  <c r="AD21"/>
  <c r="P54"/>
  <c r="P11" s="1"/>
  <c r="P97" s="1"/>
  <c r="P116" s="1"/>
  <c r="J35"/>
  <c r="D36"/>
  <c r="D35" s="1"/>
  <c r="F44"/>
  <c r="H53"/>
  <c r="X53"/>
  <c r="X10" s="1"/>
  <c r="G42"/>
  <c r="F42"/>
  <c r="I53"/>
  <c r="Q53"/>
  <c r="Q10" s="1"/>
  <c r="Y53"/>
  <c r="Y10" s="1"/>
  <c r="K54"/>
  <c r="K11" s="1"/>
  <c r="K97" s="1"/>
  <c r="K116" s="1"/>
  <c r="O53"/>
  <c r="O10" s="1"/>
  <c r="O21"/>
  <c r="AA53"/>
  <c r="AA10" s="1"/>
  <c r="AA21"/>
  <c r="AE53"/>
  <c r="AE10" s="1"/>
  <c r="AE21"/>
  <c r="E22"/>
  <c r="G22" s="1"/>
  <c r="T53"/>
  <c r="T10" s="1"/>
  <c r="V58"/>
  <c r="V64"/>
  <c r="V70" s="1"/>
  <c r="W69"/>
  <c r="J63"/>
  <c r="N63"/>
  <c r="AB63"/>
  <c r="AA69"/>
  <c r="B60"/>
  <c r="O69"/>
  <c r="AD70"/>
  <c r="AD69" s="1"/>
  <c r="AD63"/>
  <c r="Y69"/>
  <c r="AC69"/>
  <c r="S69"/>
  <c r="G37" l="1"/>
  <c r="G26"/>
  <c r="E35"/>
  <c r="G47"/>
  <c r="C35"/>
  <c r="H10"/>
  <c r="H96" s="1"/>
  <c r="R21"/>
  <c r="C53"/>
  <c r="Z63"/>
  <c r="Z70"/>
  <c r="Z69" s="1"/>
  <c r="B53"/>
  <c r="F26"/>
  <c r="E54"/>
  <c r="D53"/>
  <c r="G36"/>
  <c r="E53"/>
  <c r="E10" s="1"/>
  <c r="G30"/>
  <c r="Q96"/>
  <c r="Q9"/>
  <c r="X96"/>
  <c r="X115" s="1"/>
  <c r="AC96"/>
  <c r="AC9"/>
  <c r="AB9"/>
  <c r="AB96"/>
  <c r="B80"/>
  <c r="B77"/>
  <c r="P9"/>
  <c r="P8" s="1"/>
  <c r="P7" s="1"/>
  <c r="P96"/>
  <c r="I11"/>
  <c r="I97" s="1"/>
  <c r="I116" s="1"/>
  <c r="C80"/>
  <c r="C77"/>
  <c r="AE9"/>
  <c r="AE96"/>
  <c r="H9"/>
  <c r="R9"/>
  <c r="R96"/>
  <c r="J9"/>
  <c r="J96"/>
  <c r="B21"/>
  <c r="W9"/>
  <c r="W96"/>
  <c r="K9"/>
  <c r="K96"/>
  <c r="U96"/>
  <c r="U9"/>
  <c r="L96"/>
  <c r="L115" s="1"/>
  <c r="X11"/>
  <c r="X97" s="1"/>
  <c r="X116" s="1"/>
  <c r="M96"/>
  <c r="M9"/>
  <c r="B30"/>
  <c r="F30" s="1"/>
  <c r="B37"/>
  <c r="B35" s="1"/>
  <c r="E83"/>
  <c r="E78"/>
  <c r="L11"/>
  <c r="L97" s="1"/>
  <c r="L116" s="1"/>
  <c r="T9"/>
  <c r="T96"/>
  <c r="O9"/>
  <c r="O96"/>
  <c r="I10"/>
  <c r="AA9"/>
  <c r="AA96"/>
  <c r="Y96"/>
  <c r="Y9"/>
  <c r="AD10"/>
  <c r="N9"/>
  <c r="N96"/>
  <c r="S9"/>
  <c r="S96"/>
  <c r="E80"/>
  <c r="E77"/>
  <c r="D11"/>
  <c r="D97" s="1"/>
  <c r="C23"/>
  <c r="C69"/>
  <c r="G69" s="1"/>
  <c r="B25"/>
  <c r="F25" s="1"/>
  <c r="Z35"/>
  <c r="C58"/>
  <c r="G58" s="1"/>
  <c r="F32"/>
  <c r="X63"/>
  <c r="L69"/>
  <c r="F48"/>
  <c r="AE52"/>
  <c r="Q52"/>
  <c r="B65"/>
  <c r="B58"/>
  <c r="F58" s="1"/>
  <c r="V69"/>
  <c r="V63"/>
  <c r="F60"/>
  <c r="X52"/>
  <c r="Z52"/>
  <c r="J52"/>
  <c r="F16"/>
  <c r="B14"/>
  <c r="F14" s="1"/>
  <c r="AC52"/>
  <c r="AB52"/>
  <c r="B64"/>
  <c r="B70" s="1"/>
  <c r="B10" s="1"/>
  <c r="E21"/>
  <c r="F22"/>
  <c r="AA52"/>
  <c r="H52"/>
  <c r="F36"/>
  <c r="W52"/>
  <c r="K52"/>
  <c r="U52"/>
  <c r="L52"/>
  <c r="P52"/>
  <c r="X69"/>
  <c r="Y52"/>
  <c r="F47"/>
  <c r="AD52"/>
  <c r="V52"/>
  <c r="N52"/>
  <c r="M52"/>
  <c r="O52"/>
  <c r="S52"/>
  <c r="C25"/>
  <c r="T52"/>
  <c r="I52"/>
  <c r="R52"/>
  <c r="D111" l="1"/>
  <c r="D116" s="1"/>
  <c r="S95"/>
  <c r="S114" s="1"/>
  <c r="S115"/>
  <c r="T95"/>
  <c r="T114" s="1"/>
  <c r="T115"/>
  <c r="N95"/>
  <c r="N114" s="1"/>
  <c r="N115"/>
  <c r="O95"/>
  <c r="O114" s="1"/>
  <c r="O115"/>
  <c r="Q95"/>
  <c r="Q114" s="1"/>
  <c r="Q115"/>
  <c r="H95"/>
  <c r="H114" s="1"/>
  <c r="H115"/>
  <c r="AA95"/>
  <c r="AA114" s="1"/>
  <c r="AA115"/>
  <c r="W95"/>
  <c r="W114" s="1"/>
  <c r="W115"/>
  <c r="AE95"/>
  <c r="AE114" s="1"/>
  <c r="AE115"/>
  <c r="AC95"/>
  <c r="AC114" s="1"/>
  <c r="AC115"/>
  <c r="U95"/>
  <c r="U114" s="1"/>
  <c r="U115"/>
  <c r="R95"/>
  <c r="R114" s="1"/>
  <c r="R115"/>
  <c r="P95"/>
  <c r="P114" s="1"/>
  <c r="P115"/>
  <c r="AB95"/>
  <c r="AB114" s="1"/>
  <c r="AB115"/>
  <c r="K95"/>
  <c r="K114" s="1"/>
  <c r="K115"/>
  <c r="M95"/>
  <c r="M114" s="1"/>
  <c r="M115"/>
  <c r="J95"/>
  <c r="J114" s="1"/>
  <c r="J115"/>
  <c r="Y95"/>
  <c r="Y114" s="1"/>
  <c r="Y115"/>
  <c r="E76"/>
  <c r="G23"/>
  <c r="C21"/>
  <c r="G21" s="1"/>
  <c r="E11"/>
  <c r="E97" s="1"/>
  <c r="G53"/>
  <c r="F53"/>
  <c r="F10"/>
  <c r="G35"/>
  <c r="G77"/>
  <c r="G80"/>
  <c r="G25"/>
  <c r="C76"/>
  <c r="B76"/>
  <c r="F77"/>
  <c r="F80"/>
  <c r="L95"/>
  <c r="L114" s="1"/>
  <c r="B54"/>
  <c r="B52" s="1"/>
  <c r="L9"/>
  <c r="L8" s="1"/>
  <c r="L7" s="1"/>
  <c r="B96"/>
  <c r="C54"/>
  <c r="G54" s="1"/>
  <c r="I96"/>
  <c r="I9"/>
  <c r="I8" s="1"/>
  <c r="I7" s="1"/>
  <c r="D52"/>
  <c r="D10"/>
  <c r="Z10"/>
  <c r="X95"/>
  <c r="X114" s="1"/>
  <c r="V10"/>
  <c r="C10"/>
  <c r="G10" s="1"/>
  <c r="X9"/>
  <c r="X8" s="1"/>
  <c r="X7" s="1"/>
  <c r="AD9"/>
  <c r="AD8" s="1"/>
  <c r="AD7" s="1"/>
  <c r="AD96"/>
  <c r="B71"/>
  <c r="B69" s="1"/>
  <c r="B63"/>
  <c r="F63" s="1"/>
  <c r="E96"/>
  <c r="F37"/>
  <c r="F35"/>
  <c r="S8"/>
  <c r="S7" s="1"/>
  <c r="N8"/>
  <c r="N7" s="1"/>
  <c r="Y8"/>
  <c r="Y7" s="1"/>
  <c r="AB8"/>
  <c r="AB7" s="1"/>
  <c r="J8"/>
  <c r="J7" s="1"/>
  <c r="O8"/>
  <c r="O7" s="1"/>
  <c r="U8"/>
  <c r="U7" s="1"/>
  <c r="AA8"/>
  <c r="AA7" s="1"/>
  <c r="AC8"/>
  <c r="AC7" s="1"/>
  <c r="F21"/>
  <c r="F23"/>
  <c r="Q8"/>
  <c r="Q7" s="1"/>
  <c r="R8"/>
  <c r="R7" s="1"/>
  <c r="W8"/>
  <c r="W7" s="1"/>
  <c r="H8"/>
  <c r="H7" s="1"/>
  <c r="E52"/>
  <c r="F70"/>
  <c r="F64"/>
  <c r="F65"/>
  <c r="T8"/>
  <c r="T7" s="1"/>
  <c r="M8"/>
  <c r="M7" s="1"/>
  <c r="AE8"/>
  <c r="AE7" s="1"/>
  <c r="K8"/>
  <c r="K7" s="1"/>
  <c r="E110" l="1"/>
  <c r="E111"/>
  <c r="F76"/>
  <c r="G76"/>
  <c r="I95"/>
  <c r="I114" s="1"/>
  <c r="I115"/>
  <c r="AD95"/>
  <c r="AD114" s="1"/>
  <c r="AD115"/>
  <c r="E9"/>
  <c r="F52"/>
  <c r="F54"/>
  <c r="C11"/>
  <c r="C9" s="1"/>
  <c r="F96"/>
  <c r="E95"/>
  <c r="B11"/>
  <c r="C96"/>
  <c r="C115" s="1"/>
  <c r="V9"/>
  <c r="V8" s="1"/>
  <c r="V7" s="1"/>
  <c r="V96"/>
  <c r="D9"/>
  <c r="D8" s="1"/>
  <c r="D7" s="1"/>
  <c r="D96"/>
  <c r="D110" s="1"/>
  <c r="Z9"/>
  <c r="Z8" s="1"/>
  <c r="Z7" s="1"/>
  <c r="Z96"/>
  <c r="C52"/>
  <c r="G52" s="1"/>
  <c r="F69"/>
  <c r="F71"/>
  <c r="D115" l="1"/>
  <c r="D109"/>
  <c r="G110"/>
  <c r="F110"/>
  <c r="E115"/>
  <c r="G111"/>
  <c r="F111"/>
  <c r="E109"/>
  <c r="E116"/>
  <c r="V95"/>
  <c r="V114" s="1"/>
  <c r="V115"/>
  <c r="D95"/>
  <c r="D114" s="1"/>
  <c r="Z95"/>
  <c r="Z114" s="1"/>
  <c r="Z115"/>
  <c r="C97"/>
  <c r="G11"/>
  <c r="C8"/>
  <c r="G9"/>
  <c r="G96"/>
  <c r="B97"/>
  <c r="B116" s="1"/>
  <c r="F11"/>
  <c r="B9"/>
  <c r="E8"/>
  <c r="G109" l="1"/>
  <c r="F109"/>
  <c r="E114"/>
  <c r="G97"/>
  <c r="C116"/>
  <c r="C95"/>
  <c r="C7"/>
  <c r="G8"/>
  <c r="B8"/>
  <c r="B7" s="1"/>
  <c r="F9"/>
  <c r="B95"/>
  <c r="F97"/>
  <c r="E7"/>
  <c r="F95" l="1"/>
  <c r="B114"/>
  <c r="G95"/>
  <c r="C114"/>
  <c r="F7"/>
  <c r="F8"/>
  <c r="G7"/>
  <c r="P66" i="3"/>
  <c r="O66"/>
  <c r="N66"/>
  <c r="I66"/>
  <c r="H66"/>
  <c r="G66"/>
  <c r="R59"/>
  <c r="Q59"/>
  <c r="P49"/>
  <c r="P62" s="1"/>
  <c r="O49"/>
  <c r="O62" s="1"/>
  <c r="N49"/>
  <c r="N55" s="1"/>
  <c r="I49"/>
  <c r="I62" s="1"/>
  <c r="H49"/>
  <c r="H62" s="1"/>
  <c r="G49"/>
  <c r="G55" s="1"/>
  <c r="P48"/>
  <c r="P54" s="1"/>
  <c r="O48"/>
  <c r="O54" s="1"/>
  <c r="N48"/>
  <c r="N61" s="1"/>
  <c r="I48"/>
  <c r="I54" s="1"/>
  <c r="H48"/>
  <c r="H54" s="1"/>
  <c r="G48"/>
  <c r="G61" s="1"/>
  <c r="P47"/>
  <c r="P60" s="1"/>
  <c r="O47"/>
  <c r="O60" s="1"/>
  <c r="N47"/>
  <c r="N53" s="1"/>
  <c r="I47"/>
  <c r="I60" s="1"/>
  <c r="H47"/>
  <c r="H60" s="1"/>
  <c r="G47"/>
  <c r="G53" s="1"/>
  <c r="R46"/>
  <c r="M46"/>
  <c r="M49" s="1"/>
  <c r="F46"/>
  <c r="R45"/>
  <c r="M45"/>
  <c r="F45"/>
  <c r="R44"/>
  <c r="M44"/>
  <c r="F44"/>
  <c r="P38"/>
  <c r="P39" s="1"/>
  <c r="P67" s="1"/>
  <c r="O38"/>
  <c r="O39" s="1"/>
  <c r="O67" s="1"/>
  <c r="N38"/>
  <c r="N39" s="1"/>
  <c r="N67" s="1"/>
  <c r="I38"/>
  <c r="I39" s="1"/>
  <c r="I67" s="1"/>
  <c r="H38"/>
  <c r="H39" s="1"/>
  <c r="H67" s="1"/>
  <c r="G38"/>
  <c r="G39" s="1"/>
  <c r="R37"/>
  <c r="M37"/>
  <c r="M38" s="1"/>
  <c r="M39" s="1"/>
  <c r="M67" s="1"/>
  <c r="F37"/>
  <c r="P31"/>
  <c r="O31"/>
  <c r="N31"/>
  <c r="I31"/>
  <c r="H31"/>
  <c r="G31"/>
  <c r="R30"/>
  <c r="M30"/>
  <c r="M66" s="1"/>
  <c r="F30"/>
  <c r="P28"/>
  <c r="P65" s="1"/>
  <c r="O28"/>
  <c r="O65" s="1"/>
  <c r="N28"/>
  <c r="N65" s="1"/>
  <c r="I28"/>
  <c r="I65" s="1"/>
  <c r="H28"/>
  <c r="H65" s="1"/>
  <c r="G28"/>
  <c r="G65" s="1"/>
  <c r="P27"/>
  <c r="P64" s="1"/>
  <c r="O27"/>
  <c r="O64" s="1"/>
  <c r="I27"/>
  <c r="I64" s="1"/>
  <c r="H27"/>
  <c r="H64" s="1"/>
  <c r="G27"/>
  <c r="R24"/>
  <c r="M24"/>
  <c r="F24"/>
  <c r="R23"/>
  <c r="M23"/>
  <c r="F23"/>
  <c r="R22"/>
  <c r="M22"/>
  <c r="F22"/>
  <c r="R21"/>
  <c r="M21"/>
  <c r="F21"/>
  <c r="N20"/>
  <c r="M20" s="1"/>
  <c r="F20"/>
  <c r="P19"/>
  <c r="O19"/>
  <c r="I19"/>
  <c r="H19"/>
  <c r="G19"/>
  <c r="R18"/>
  <c r="M18"/>
  <c r="F18"/>
  <c r="R17"/>
  <c r="M17"/>
  <c r="F17"/>
  <c r="N16"/>
  <c r="R16" s="1"/>
  <c r="F16"/>
  <c r="P15"/>
  <c r="O15"/>
  <c r="I15"/>
  <c r="H15"/>
  <c r="G15"/>
  <c r="I66" i="2"/>
  <c r="H66"/>
  <c r="G66"/>
  <c r="I49"/>
  <c r="I62" s="1"/>
  <c r="H49"/>
  <c r="H62" s="1"/>
  <c r="G49"/>
  <c r="G62" s="1"/>
  <c r="I48"/>
  <c r="I61" s="1"/>
  <c r="H48"/>
  <c r="H61" s="1"/>
  <c r="G48"/>
  <c r="G61" s="1"/>
  <c r="I47"/>
  <c r="I60" s="1"/>
  <c r="H47"/>
  <c r="H60" s="1"/>
  <c r="G47"/>
  <c r="G60" s="1"/>
  <c r="F46"/>
  <c r="F49" s="1"/>
  <c r="F55" s="1"/>
  <c r="F45"/>
  <c r="F44"/>
  <c r="F48" s="1"/>
  <c r="F54" s="1"/>
  <c r="I38"/>
  <c r="I39" s="1"/>
  <c r="I67" s="1"/>
  <c r="H38"/>
  <c r="H39" s="1"/>
  <c r="H67" s="1"/>
  <c r="G38"/>
  <c r="G39" s="1"/>
  <c r="G67" s="1"/>
  <c r="F37"/>
  <c r="F38" s="1"/>
  <c r="F39" s="1"/>
  <c r="F67" s="1"/>
  <c r="I31"/>
  <c r="H31"/>
  <c r="G31"/>
  <c r="F30"/>
  <c r="F66" s="1"/>
  <c r="I28"/>
  <c r="I65" s="1"/>
  <c r="H28"/>
  <c r="H65" s="1"/>
  <c r="G28"/>
  <c r="I27"/>
  <c r="I64" s="1"/>
  <c r="H27"/>
  <c r="H64" s="1"/>
  <c r="F24"/>
  <c r="F23"/>
  <c r="F22"/>
  <c r="F21"/>
  <c r="G20"/>
  <c r="F20" s="1"/>
  <c r="I19"/>
  <c r="H19"/>
  <c r="F18"/>
  <c r="F17"/>
  <c r="G16"/>
  <c r="F16" s="1"/>
  <c r="F15" s="1"/>
  <c r="I15"/>
  <c r="H15"/>
  <c r="R65" i="3" l="1"/>
  <c r="Q30"/>
  <c r="G19" i="2"/>
  <c r="F19" s="1"/>
  <c r="P26" i="3"/>
  <c r="P63" s="1"/>
  <c r="N15"/>
  <c r="R15" s="1"/>
  <c r="Q18"/>
  <c r="G15" i="2"/>
  <c r="F47"/>
  <c r="F53" s="1"/>
  <c r="M16" i="3"/>
  <c r="Q16" s="1"/>
  <c r="H33"/>
  <c r="H57" s="1"/>
  <c r="P33"/>
  <c r="G27" i="2"/>
  <c r="F27" s="1"/>
  <c r="F64" s="1"/>
  <c r="Q24" i="3"/>
  <c r="H33" i="2"/>
  <c r="F15" i="3"/>
  <c r="Q46"/>
  <c r="H26" i="2"/>
  <c r="H63" s="1"/>
  <c r="I33"/>
  <c r="G53"/>
  <c r="I26"/>
  <c r="I63" s="1"/>
  <c r="F28"/>
  <c r="F65" s="1"/>
  <c r="F31"/>
  <c r="Q17" i="3"/>
  <c r="O26"/>
  <c r="O63" s="1"/>
  <c r="G33"/>
  <c r="Q22"/>
  <c r="Q45"/>
  <c r="O33"/>
  <c r="O57" s="1"/>
  <c r="F19"/>
  <c r="Q23"/>
  <c r="N54"/>
  <c r="N27"/>
  <c r="N26" s="1"/>
  <c r="N63" s="1"/>
  <c r="R61"/>
  <c r="I53"/>
  <c r="I55"/>
  <c r="R66"/>
  <c r="R20"/>
  <c r="G26"/>
  <c r="F48"/>
  <c r="P53"/>
  <c r="P55"/>
  <c r="M15"/>
  <c r="Q21"/>
  <c r="I26"/>
  <c r="I63" s="1"/>
  <c r="I33"/>
  <c r="I57" s="1"/>
  <c r="Q37"/>
  <c r="M48"/>
  <c r="M61" s="1"/>
  <c r="G54"/>
  <c r="M55"/>
  <c r="M62"/>
  <c r="P57"/>
  <c r="R53"/>
  <c r="R55"/>
  <c r="F33"/>
  <c r="G67"/>
  <c r="R67" s="1"/>
  <c r="R39"/>
  <c r="Q20"/>
  <c r="P34"/>
  <c r="R38"/>
  <c r="R49"/>
  <c r="G60"/>
  <c r="I61"/>
  <c r="G62"/>
  <c r="N19"/>
  <c r="M19" s="1"/>
  <c r="H26"/>
  <c r="H63" s="1"/>
  <c r="F27"/>
  <c r="F31"/>
  <c r="M31"/>
  <c r="H34"/>
  <c r="O34"/>
  <c r="F38"/>
  <c r="F47"/>
  <c r="M47"/>
  <c r="F49"/>
  <c r="H53"/>
  <c r="O53"/>
  <c r="H55"/>
  <c r="O55"/>
  <c r="H61"/>
  <c r="O61"/>
  <c r="F66"/>
  <c r="Q66" s="1"/>
  <c r="R31"/>
  <c r="I34"/>
  <c r="P61"/>
  <c r="N62"/>
  <c r="G64"/>
  <c r="F28"/>
  <c r="M28"/>
  <c r="M65" s="1"/>
  <c r="Q44"/>
  <c r="R47"/>
  <c r="N60"/>
  <c r="R28"/>
  <c r="G34"/>
  <c r="G32" s="1"/>
  <c r="N34"/>
  <c r="R48"/>
  <c r="F62" i="2"/>
  <c r="F61"/>
  <c r="G34"/>
  <c r="G54"/>
  <c r="G55"/>
  <c r="G65"/>
  <c r="H34"/>
  <c r="H53"/>
  <c r="H54"/>
  <c r="H55"/>
  <c r="I34"/>
  <c r="I53"/>
  <c r="I54"/>
  <c r="I55"/>
  <c r="Q19" i="3" l="1"/>
  <c r="I32" i="2"/>
  <c r="I56" s="1"/>
  <c r="P58" i="3"/>
  <c r="Q15"/>
  <c r="F60" i="2"/>
  <c r="G26"/>
  <c r="F26" s="1"/>
  <c r="F63" s="1"/>
  <c r="I57"/>
  <c r="H57"/>
  <c r="G64"/>
  <c r="I32" i="3"/>
  <c r="I56" s="1"/>
  <c r="Q31"/>
  <c r="G33" i="2"/>
  <c r="F33" s="1"/>
  <c r="F57" s="1"/>
  <c r="I58"/>
  <c r="H58"/>
  <c r="Q48" i="3"/>
  <c r="R27"/>
  <c r="M27"/>
  <c r="M64" s="1"/>
  <c r="F61"/>
  <c r="R26"/>
  <c r="M26"/>
  <c r="M63" s="1"/>
  <c r="G63"/>
  <c r="R63" s="1"/>
  <c r="R54"/>
  <c r="F26"/>
  <c r="F63" s="1"/>
  <c r="M54"/>
  <c r="F54"/>
  <c r="N64"/>
  <c r="I58"/>
  <c r="G57"/>
  <c r="N33"/>
  <c r="R64"/>
  <c r="Q61"/>
  <c r="G56"/>
  <c r="F39"/>
  <c r="Q38"/>
  <c r="F55"/>
  <c r="Q55" s="1"/>
  <c r="F62"/>
  <c r="Q62" s="1"/>
  <c r="Q49"/>
  <c r="O58"/>
  <c r="R62"/>
  <c r="R19"/>
  <c r="P32"/>
  <c r="P56" s="1"/>
  <c r="O32"/>
  <c r="O56" s="1"/>
  <c r="R34"/>
  <c r="G58"/>
  <c r="F34"/>
  <c r="F65"/>
  <c r="Q65" s="1"/>
  <c r="Q28"/>
  <c r="M53"/>
  <c r="M60"/>
  <c r="H58"/>
  <c r="F64"/>
  <c r="H32"/>
  <c r="H56" s="1"/>
  <c r="M34"/>
  <c r="M58" s="1"/>
  <c r="N58"/>
  <c r="F53"/>
  <c r="F60"/>
  <c r="Q47"/>
  <c r="R60"/>
  <c r="H32" i="2"/>
  <c r="H56" s="1"/>
  <c r="G58"/>
  <c r="F34"/>
  <c r="F58" s="1"/>
  <c r="Q60" i="3" l="1"/>
  <c r="G63" i="2"/>
  <c r="Q64" i="3"/>
  <c r="Q26"/>
  <c r="G32" i="2"/>
  <c r="G56" s="1"/>
  <c r="Q54" i="3"/>
  <c r="G57" i="2"/>
  <c r="Q53" i="3"/>
  <c r="Q63"/>
  <c r="Q27"/>
  <c r="N32"/>
  <c r="M32" s="1"/>
  <c r="M56" s="1"/>
  <c r="M33"/>
  <c r="R33"/>
  <c r="N57"/>
  <c r="R57" s="1"/>
  <c r="F57"/>
  <c r="F32"/>
  <c r="F67"/>
  <c r="Q67" s="1"/>
  <c r="Q39"/>
  <c r="Q34"/>
  <c r="F58"/>
  <c r="Q58" s="1"/>
  <c r="R58"/>
  <c r="F32" i="2"/>
  <c r="F56" s="1"/>
  <c r="Q32" i="3" l="1"/>
  <c r="M57"/>
  <c r="Q57" s="1"/>
  <c r="Q33"/>
  <c r="F56"/>
  <c r="Q56" s="1"/>
  <c r="N56"/>
  <c r="R56" s="1"/>
  <c r="R32"/>
</calcChain>
</file>

<file path=xl/sharedStrings.xml><?xml version="1.0" encoding="utf-8"?>
<sst xmlns="http://schemas.openxmlformats.org/spreadsheetml/2006/main" count="675" uniqueCount="162">
  <si>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</si>
  <si>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</si>
  <si>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</si>
  <si>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</si>
  <si>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</si>
  <si>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</si>
  <si>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</si>
  <si>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</si>
  <si>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</si>
  <si>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</si>
  <si>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</si>
  <si>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</si>
  <si>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</si>
  <si>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</si>
  <si>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</si>
  <si>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</si>
  <si>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</si>
  <si>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</si>
  <si>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</si>
  <si>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</si>
  <si>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</si>
  <si>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</si>
  <si>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</si>
  <si>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</si>
  <si>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</si>
  <si>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</si>
  <si>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</si>
  <si>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</si>
  <si>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</si>
  <si>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</si>
  <si>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</si>
  <si>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</si>
  <si>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</si>
  <si>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</si>
  <si>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</si>
  <si>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</si>
  <si>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</si>
  <si>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</si>
  <si>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</si>
  <si>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</si>
  <si>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</si>
  <si>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</si>
  <si>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</si>
  <si>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</si>
  <si>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</si>
  <si>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</si>
  <si>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</si>
  <si>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</si>
  <si>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</si>
  <si>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</si>
  <si>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</si>
  <si>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</si>
  <si>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</si>
  <si>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</si>
  <si>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</si>
  <si>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</si>
  <si>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</si>
  <si>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</si>
  <si>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</si>
  <si>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</si>
  <si>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</si>
  <si>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</si>
  <si>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</si>
  <si>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</si>
  <si>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</si>
  <si>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</si>
  <si>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</si>
  <si>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</si>
  <si>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</si>
  <si>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</si>
  <si>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</si>
  <si>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</si>
  <si>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</si>
  <si>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</si>
  <si>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</si>
  <si>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</si>
  <si>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</si>
  <si>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</si>
  <si>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</si>
  <si>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</si>
  <si>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</si>
  <si>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</si>
  <si>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</si>
  <si>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</si>
  <si>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</si>
  <si>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</si>
  <si>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</si>
  <si>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</si>
  <si>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</si>
  <si>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</si>
  <si>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</si>
  <si>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</si>
  <si>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</si>
  <si>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</si>
  <si>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</si>
  <si>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</si>
  <si>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</si>
  <si>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</si>
  <si>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</si>
  <si>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</si>
  <si>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</si>
  <si>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</si>
  <si>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</si>
  <si>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</si>
  <si>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</si>
  <si>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</si>
  <si>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</si>
  <si>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</si>
  <si>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</si>
  <si>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</si>
  <si>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</si>
  <si>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</si>
  <si>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</si>
  <si>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</si>
  <si>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</si>
  <si>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</si>
  <si>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</si>
  <si>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</si>
  <si>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</si>
  <si>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</si>
  <si>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</si>
  <si>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</si>
  <si>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</si>
  <si>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</si>
  <si>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>КСАТ</t>
  </si>
  <si>
    <t>УЖКХ</t>
  </si>
  <si>
    <t>ИТОГО КСАТ:</t>
  </si>
  <si>
    <t>план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</si>
  <si>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</si>
  <si>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1.1.4. "Привлечение прочих специалистов для организации работ трудовых бригад несовершеннолетних граждан"</t>
  </si>
  <si>
    <t>План на 2018 год</t>
  </si>
  <si>
    <t>1.1.7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</si>
  <si>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 "Осуществление отдельных государственных полномочий в сфере трудовых отношений и  государственного управления охраной труда в городе Когалыме (6)" </t>
  </si>
  <si>
    <t>2.2. "Предупредительные меры, направленные на снижение производственного травматизма и профессиональной заболеваемости работающего населения" (7)</t>
  </si>
  <si>
    <t>2.2.1. "Организация проведения заседаний Межведомственной комиссии по охране труда в городе Когалыме"</t>
  </si>
  <si>
    <t>2.2.2.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</si>
  <si>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Подпрограмма 3. «Содействие трудоустройству граждан с инвалидностью и их адаптация на рынке труда»</t>
  </si>
  <si>
    <t xml:space="preserve">3.1. Содействие трудоустройству незанятых инвалидов, в том числе инвалидов молодого возраста, на оборудованные (оснащенные) рабочие места </t>
  </si>
  <si>
    <t>Всего по мероприятию:</t>
  </si>
  <si>
    <t>Муниципальные учреждения г. Когалыма не заявили в ЦЗН свою потребность для участия в данном мероприятии Программы.</t>
  </si>
  <si>
    <t>Принято и проверено 150 отчетов по ОТ от работодателей г.Когалыма за 2017 год.</t>
  </si>
  <si>
    <t>Мартынова С.В., 93-785</t>
  </si>
  <si>
    <r>
      <t xml:space="preserve">1. Не использовано:
</t>
    </r>
    <r>
      <rPr>
        <sz val="10"/>
        <rFont val="Times New Roman"/>
        <family val="1"/>
        <charset val="204"/>
      </rPr>
      <t xml:space="preserve">-местный бюджет: </t>
    </r>
    <r>
      <rPr>
        <b/>
        <sz val="10"/>
        <rFont val="Times New Roman"/>
        <family val="1"/>
        <charset val="204"/>
      </rPr>
      <t>117,26 т.р.</t>
    </r>
    <r>
      <rPr>
        <sz val="10"/>
        <rFont val="Times New Roman"/>
        <family val="1"/>
        <charset val="204"/>
      </rPr>
      <t xml:space="preserve"> оплата произведена за фактически отработанное несовешеннолетними гражданами время;
- окружной бюджет: </t>
    </r>
    <r>
      <rPr>
        <b/>
        <sz val="10"/>
        <rFont val="Times New Roman"/>
        <family val="1"/>
        <charset val="204"/>
      </rPr>
      <t>11,70т.р</t>
    </r>
    <r>
      <rPr>
        <sz val="10"/>
        <rFont val="Times New Roman"/>
        <family val="1"/>
        <charset val="204"/>
      </rPr>
      <t>. оплата произведена за фактически отработанное несовешеннолетними гражданами время;</t>
    </r>
    <r>
      <rPr>
        <b/>
        <i/>
        <sz val="10"/>
        <rFont val="Times New Roman"/>
        <family val="1"/>
        <charset val="204"/>
      </rPr>
      <t xml:space="preserve">
2. Экономия: 
</t>
    </r>
    <r>
      <rPr>
        <sz val="10"/>
        <rFont val="Times New Roman"/>
        <family val="1"/>
        <charset val="204"/>
      </rPr>
      <t xml:space="preserve">-местный бюджет: </t>
    </r>
    <r>
      <rPr>
        <b/>
        <sz val="10"/>
        <rFont val="Times New Roman"/>
        <family val="1"/>
        <charset val="204"/>
      </rPr>
      <t xml:space="preserve">0,26т.р  </t>
    </r>
    <r>
      <rPr>
        <sz val="10"/>
        <rFont val="Times New Roman"/>
        <family val="1"/>
        <charset val="204"/>
      </rPr>
      <t>по итогам проведения электронного аукциона на закупку товара (канц.товары).</t>
    </r>
    <r>
      <rPr>
        <b/>
        <i/>
        <sz val="10"/>
        <rFont val="Times New Roman"/>
        <family val="1"/>
        <charset val="204"/>
      </rPr>
      <t xml:space="preserve">
3. Корректирока кассовых расходов </t>
    </r>
    <r>
      <rPr>
        <sz val="10"/>
        <rFont val="Times New Roman"/>
        <family val="1"/>
        <charset val="204"/>
      </rPr>
      <t>в сумме</t>
    </r>
    <r>
      <rPr>
        <b/>
        <sz val="10"/>
        <rFont val="Times New Roman"/>
        <family val="1"/>
        <charset val="204"/>
      </rPr>
      <t xml:space="preserve"> 44,47т.р., </t>
    </r>
    <r>
      <rPr>
        <sz val="10"/>
        <rFont val="Times New Roman"/>
        <family val="1"/>
        <charset val="204"/>
      </rPr>
      <t>в связи с удержанием из заработной платы трудоустроенных граждан стоимости трудовых книжек.</t>
    </r>
  </si>
  <si>
    <r>
      <t xml:space="preserve">1.  Расходы на привлечение прочих специалистов:
</t>
    </r>
    <r>
      <rPr>
        <b/>
        <sz val="10"/>
        <rFont val="Times New Roman"/>
        <family val="1"/>
        <charset val="204"/>
      </rPr>
      <t>1.1.  Не использовано</t>
    </r>
    <r>
      <rPr>
        <b/>
        <i/>
        <sz val="10"/>
        <rFont val="Times New Roman"/>
        <family val="1"/>
        <charset val="204"/>
      </rPr>
      <t xml:space="preserve">: 0,54т.р.,  </t>
    </r>
    <r>
      <rPr>
        <sz val="10"/>
        <rFont val="Times New Roman"/>
        <family val="1"/>
        <charset val="204"/>
      </rPr>
      <t>оплата произведена за фактически отработанное трудоустроенными  гражданами время;</t>
    </r>
    <r>
      <rPr>
        <b/>
        <i/>
        <sz val="10"/>
        <rFont val="Times New Roman"/>
        <family val="1"/>
        <charset val="204"/>
      </rPr>
      <t xml:space="preserve">
2. Расходы на мероприятия по охране труда несовершеннолетних граждан:
2.1. Экономия в сумме 137,04 т.р., в т.ч.: 
9,70т.р- п</t>
    </r>
    <r>
      <rPr>
        <sz val="10"/>
        <rFont val="Times New Roman"/>
        <family val="1"/>
        <charset val="204"/>
      </rPr>
      <t>о итогам проведения электронного аукциона на приобретение бейсболок;</t>
    </r>
    <r>
      <rPr>
        <b/>
        <i/>
        <sz val="10"/>
        <rFont val="Times New Roman"/>
        <family val="1"/>
        <charset val="204"/>
      </rPr>
      <t xml:space="preserve">
9,53т.р- </t>
    </r>
    <r>
      <rPr>
        <sz val="10"/>
        <rFont val="Times New Roman"/>
        <family val="1"/>
        <charset val="204"/>
      </rPr>
      <t xml:space="preserve">по итогам проведения электронного аукциона на приобретение плащей-дождевиков; 
</t>
    </r>
    <r>
      <rPr>
        <b/>
        <i/>
        <sz val="10"/>
        <rFont val="Times New Roman"/>
        <family val="1"/>
        <charset val="204"/>
      </rPr>
      <t xml:space="preserve">7,10 т.р. </t>
    </r>
    <r>
      <rPr>
        <sz val="10"/>
        <rFont val="Times New Roman"/>
        <family val="1"/>
        <charset val="204"/>
      </rPr>
      <t xml:space="preserve">по итогам проведения электронного аукциона на приобретение товара (жилет сигнальный); </t>
    </r>
    <r>
      <rPr>
        <b/>
        <i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-местный бюджет:</t>
    </r>
    <r>
      <rPr>
        <b/>
        <i/>
        <sz val="10"/>
        <rFont val="Times New Roman"/>
        <family val="1"/>
        <charset val="204"/>
      </rPr>
      <t xml:space="preserve">
53,00 т.р. </t>
    </r>
    <r>
      <rPr>
        <sz val="10"/>
        <rFont val="Times New Roman"/>
        <family val="1"/>
        <charset val="204"/>
      </rPr>
      <t xml:space="preserve">в связи с тем что у трудоустроенных граждан уже имеется действующая медкомисия; </t>
    </r>
    <r>
      <rPr>
        <b/>
        <i/>
        <sz val="10"/>
        <rFont val="Times New Roman"/>
        <family val="1"/>
        <charset val="204"/>
      </rPr>
      <t xml:space="preserve">
57,71 т.р. </t>
    </r>
    <r>
      <rPr>
        <sz val="10"/>
        <rFont val="Times New Roman"/>
        <family val="1"/>
        <charset val="204"/>
      </rPr>
      <t>в связи с тем что у трудоустроенных граждан уже имеется действующая санитарно-гигиеническая подготовка.</t>
    </r>
  </si>
  <si>
    <t xml:space="preserve">В связи с уменьшением целевого показателя МП по мероприятию 1.1.3 (с 20 чел.до 10 чел.), согласно базовым нормативам затрат на выполнение муниципального задания МБУ "МКЦ" "Феникс", гл.распорядителем Администрации г.Когалыма - уменьшена субсидия на финансовое обеспечение выполнения муниципального задания МБУ "МКЦ" "Феникс" в общей сумме 646,57 тыс. рублей (из них: окружной бюджет-0,15 тыс.руб; местный бюджет - 646,42 тыс.руб.). Данные ассигнования находятся  в рамках МП в Администрации г.Когалыма и будут откоррекктированы (уменьшены) при ближайщем уточнении бюджета г.Когалыма 2018 года (декабрь 2018г.) </t>
  </si>
  <si>
    <t>Плановые ассигнования (в связи с уменьшением целевого показателя МП с 20 человек до 10 человек):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бюджета г. Когалыма в сумме 646,42 тыс.рублей будут уменьшены после корректировки (уточнения) бюджета г.Когалыма 2018 года на очередном заседании Думы;                                                                                                                                                                             - бюджета автономного округа в сумме 0,15 тыс.рублей будут возвращены в округ по завершению текущего года.</t>
  </si>
  <si>
    <t>на 01.12.2018 года</t>
  </si>
  <si>
    <t>Отчет о ходе реализации муниципальной программы "Содействие занятости населения города Когалыма"по состоянию на 01.12.2018 года</t>
  </si>
  <si>
    <t>План на 01.12.2018</t>
  </si>
  <si>
    <t>Профинансировано на 01.12.2018</t>
  </si>
  <si>
    <t>Кассовый расход на  01.12.2018</t>
  </si>
  <si>
    <t xml:space="preserve">За отчетный период заключено 43 срочных трудовых договоров, пройдены медосмотры.
Неисполнение субсидии за счет бюджета автономного округа составило 427,43 тыс.руб (заработная плата)-оплата заработной платы произведена по фактически отработанному времени. Неисполнение субсидии бюджет города Когалыма  составляет  868,27 тыс.руб., в том числе: по статье заработная плата в размере -547,91 тыс.руб., так как оплата производится по фактически отработанному времени, согласно табеля учета рабочего времени; по статье начисления на оплату труда- 238,7 тыс. руб., в связи с оплатой страховых взносов за сентябрь 2018 в декабре 2018 года. По статье  расходов "оплата медицинского осмотра" неисполнение составляет  81,66  тыс.руб - оплата производится по факту предоставленной документации, подтверждающей оплату и прохождение медицинского осмотра.
</t>
  </si>
  <si>
    <t xml:space="preserve">За отчетный период заключено 43 срочных трудовых договоров, пройдены медосмотры.
Неисполнение субсидии за счет бюджета автономного округа составило 427,43 тыс.руб (заработная плата)-оплата заработной платы произведена по фактически отработанному времени. Неисполнение субсидии бюджет города Когалыма  составляет  868,27 тыс.руб., в том числе: по статье заработная плата в размере -547,91 тыс.руб., так как оплата производится по фактически отработанному времени, согласно табеля учета рабочего времени; по статье начисления на оплату труда- 238,7 тыс. руб., в связи с оплатой страховых взносов за сентябрь 2018 в декабре 2018 года. По статье  расходов "оплата медицинского осмотра" неисполнение составляет  81,66  тыс.руб - оплата производится по факту предоставленной документации, подтверждающей оплату и прохождение медицинского осмотра.
</t>
  </si>
  <si>
    <t xml:space="preserve">Заседания Межведомственной комиссии  проведены в июне и ноябре 2018 года. Заслушено 4 предприятия города Когалыма, допустивших случаи смертельного и тяжёлого производственного травматизма. </t>
  </si>
  <si>
    <t>заместитель начальника управления экономики Администрации города Когалыма</t>
  </si>
  <si>
    <t>Ю.Л.Спиридонова</t>
  </si>
  <si>
    <t>Заместитель начальника управления экономики Администрации города Когалыма</t>
  </si>
  <si>
    <r>
      <t xml:space="preserve">1. Не использовано:
</t>
    </r>
    <r>
      <rPr>
        <sz val="10"/>
        <rFont val="Times New Roman"/>
        <family val="1"/>
        <charset val="204"/>
      </rPr>
      <t xml:space="preserve">-местный бюджет: 45,26т.р. Оплата по страховым взносам (налог) будет произведена в начале декабря;
-окружной бюджет: 0,35т.р.  Оплата была произведена за фактически отработанное время.  </t>
    </r>
    <r>
      <rPr>
        <b/>
        <i/>
        <sz val="10"/>
        <rFont val="Times New Roman"/>
        <family val="1"/>
        <charset val="204"/>
      </rPr>
      <t xml:space="preserve">
2. Не поступило (из окружного бюджета) 16,80 т.р. 
</t>
    </r>
    <r>
      <rPr>
        <sz val="10"/>
        <rFont val="Times New Roman"/>
        <family val="1"/>
        <charset val="204"/>
      </rPr>
      <t xml:space="preserve">Денежные средства не поступили, в связи с внесением изменений в договор № 10 "О совместной деятельности по организации временного трудоустройства граждан" (п.3., части 3.2 "Финансирование обязательств") от 19.01.2018г с ЦЗН.
Окружные средства поступают после сдачи табелей и  актов сверки в следующем месяце, идущим за отчетным.
</t>
    </r>
  </si>
  <si>
    <t>Неполное освоение денежных средств в сумме 76,54 тыс.рублей обусловлено досрочным расторжением трудовых договоров по инициатеиве работников, а также отсутствием у трудоустраиваемых граждан северных надбавок к заработной плате.                                                                                                                                                                                                                                                      С начала года трудоустроено 159 человек, в т.ч. 77 чел. в должности - кухонный рабочий и  82 чел. в должности - машинистка.</t>
  </si>
  <si>
    <t>По состоянию на 01.12.2018 года остаток от профинансированных округом средств составил 108,11 тыс. рублей,  в связи с тем, что кассовые расходы  коммунальные услуги принимались по фактически предоставленным документам. Специалистами отдела по труду и занятости: принято участие в расследовании 6 несчастных случаях связанных с производством и в 14 несчатных случаях не связанных с производством; рассмотрено 31 устное и 3 письменных обращений, поступившие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</t>
  </si>
  <si>
    <r>
      <t xml:space="preserve">1. Не использовано:
-местный бюджет: 45,26т.р. </t>
    </r>
    <r>
      <rPr>
        <sz val="10"/>
        <rFont val="Times New Roman"/>
        <family val="1"/>
        <charset val="204"/>
      </rPr>
      <t>Оплата по страховым взносам (налог) будет произведена в начале декабря;</t>
    </r>
    <r>
      <rPr>
        <b/>
        <i/>
        <sz val="10"/>
        <rFont val="Times New Roman"/>
        <family val="1"/>
        <charset val="204"/>
      </rPr>
      <t xml:space="preserve">
-окружной бюджет: 0,35т.р.  </t>
    </r>
    <r>
      <rPr>
        <sz val="10"/>
        <rFont val="Times New Roman"/>
        <family val="1"/>
        <charset val="204"/>
      </rPr>
      <t xml:space="preserve">Оплата была произведена за фактически отработанное время.  </t>
    </r>
    <r>
      <rPr>
        <b/>
        <i/>
        <sz val="10"/>
        <rFont val="Times New Roman"/>
        <family val="1"/>
        <charset val="204"/>
      </rPr>
      <t xml:space="preserve">
2. Не поступило (из окружного бюджета) 16,80 т.р. 
</t>
    </r>
    <r>
      <rPr>
        <sz val="10"/>
        <rFont val="Times New Roman"/>
        <family val="1"/>
        <charset val="204"/>
      </rPr>
      <t xml:space="preserve">Денежные средства не поступили, в связи с внесением изменений в договор № 10 "О совместной деятельности по организации временного трудоустройства граждан" (п.3., части 3.2 "Финансирование обязательств") от 19.01.2018г с ЦЗН.
Окружные средства поступают после сдачи табелей и  актов сверки в следующем месяце, идущим за отчетным.
</t>
    </r>
  </si>
  <si>
    <r>
      <t xml:space="preserve">1. Не использовано:
-местный бюджет: 11,97т.р.  </t>
    </r>
    <r>
      <rPr>
        <sz val="10"/>
        <rFont val="Times New Roman"/>
        <family val="1"/>
        <charset val="204"/>
      </rPr>
      <t xml:space="preserve">Оплата была произведена за фактически отработанное время.  
</t>
    </r>
    <r>
      <rPr>
        <b/>
        <i/>
        <sz val="10"/>
        <rFont val="Times New Roman"/>
        <family val="1"/>
        <charset val="204"/>
      </rPr>
      <t xml:space="preserve">
2. Не поступило: 77,35 т.р. 
</t>
    </r>
    <r>
      <rPr>
        <sz val="10"/>
        <rFont val="Times New Roman"/>
        <family val="1"/>
        <charset val="204"/>
      </rPr>
      <t xml:space="preserve">В связи с тем, что несовершеннолетние граждане отработали не полный рабочий период, сумма компенсации из окружного бюджета поступила меньше, чем планировалось.
В соответствии с внесением изменений в договор № 21 "О совместной деятельности по организации временного трудоустройства граждан" (п.3., части 3.2 "Финансирование обязательств") от 19.01.2018г с  ЦЗН, окружные средства поступают после сдачи табелей и  актов сверки в следующем месяце, идущим за отчетным.
</t>
    </r>
    <r>
      <rPr>
        <b/>
        <i/>
        <sz val="10"/>
        <rFont val="Times New Roman"/>
        <family val="1"/>
        <charset val="204"/>
      </rPr>
      <t xml:space="preserve">
3. Экономия: 6,85т.р. </t>
    </r>
    <r>
      <rPr>
        <sz val="10"/>
        <rFont val="Times New Roman"/>
        <family val="1"/>
        <charset val="204"/>
      </rPr>
      <t>образовалась в связи с тем, что у принятых работников была действующая санитарно-гигиеническая подготовка, мед. осмотр.</t>
    </r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</si>
</sst>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 ;[Red]\-#,##0.0\ "/>
    <numFmt numFmtId="166" formatCode="#,##0_ ;[Red]\-#,##0\ "/>
    <numFmt numFmtId="167" formatCode="#,##0.000_ ;[Red]\-#,##0.000\ "/>
  </numFmts>
  <fonts count="35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D9D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justify" vertical="center" wrapText="1"/>
    </xf>
    <xf numFmtId="0" fontId="16" fillId="0" borderId="8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7" fontId="21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67" fontId="20" fillId="0" borderId="0" xfId="0" applyNumberFormat="1" applyFont="1" applyFill="1" applyBorder="1" applyAlignment="1">
      <alignment vertical="center" wrapText="1"/>
    </xf>
    <xf numFmtId="2" fontId="19" fillId="4" borderId="1" xfId="0" applyNumberFormat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Alignment="1" applyProtection="1">
      <alignment horizontal="left" vertical="top" wrapText="1"/>
    </xf>
    <xf numFmtId="2" fontId="19" fillId="4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justify" wrapText="1"/>
    </xf>
    <xf numFmtId="165" fontId="13" fillId="0" borderId="0" xfId="0" applyNumberFormat="1" applyFont="1" applyFill="1" applyBorder="1" applyAlignment="1" applyProtection="1">
      <alignment vertical="center" wrapText="1"/>
    </xf>
    <xf numFmtId="165" fontId="19" fillId="0" borderId="0" xfId="0" applyNumberFormat="1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Border="1"/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/>
    <xf numFmtId="165" fontId="14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27" fillId="0" borderId="0" xfId="0" applyFont="1" applyBorder="1"/>
    <xf numFmtId="0" fontId="21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0" fontId="22" fillId="8" borderId="5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justify" vertical="center" wrapText="1"/>
    </xf>
    <xf numFmtId="0" fontId="4" fillId="0" borderId="8" xfId="0" applyFont="1" applyFill="1" applyBorder="1" applyAlignment="1">
      <alignment vertical="center" wrapText="1"/>
    </xf>
    <xf numFmtId="164" fontId="21" fillId="0" borderId="0" xfId="0" applyNumberFormat="1" applyFont="1" applyFill="1" applyAlignment="1">
      <alignment vertical="center" wrapText="1"/>
    </xf>
    <xf numFmtId="4" fontId="28" fillId="3" borderId="1" xfId="0" applyNumberFormat="1" applyFont="1" applyFill="1" applyBorder="1" applyAlignment="1" applyProtection="1">
      <alignment vertical="center" wrapText="1"/>
    </xf>
    <xf numFmtId="0" fontId="28" fillId="8" borderId="1" xfId="0" applyFont="1" applyFill="1" applyBorder="1" applyAlignment="1">
      <alignment horizontal="justify" vertical="top" wrapText="1"/>
    </xf>
    <xf numFmtId="4" fontId="28" fillId="8" borderId="1" xfId="0" applyNumberFormat="1" applyFont="1" applyFill="1" applyBorder="1" applyAlignment="1">
      <alignment horizontal="right" vertical="center" wrapText="1"/>
    </xf>
    <xf numFmtId="43" fontId="5" fillId="8" borderId="1" xfId="1" applyFont="1" applyFill="1" applyBorder="1" applyAlignment="1">
      <alignment horizontal="right" vertical="center" wrapText="1"/>
    </xf>
    <xf numFmtId="43" fontId="5" fillId="8" borderId="1" xfId="1" applyFont="1" applyFill="1" applyBorder="1" applyAlignment="1" applyProtection="1">
      <alignment horizontal="right" vertical="center" wrapText="1"/>
    </xf>
    <xf numFmtId="0" fontId="28" fillId="4" borderId="1" xfId="0" applyFont="1" applyFill="1" applyBorder="1" applyAlignment="1">
      <alignment horizontal="justify" wrapText="1"/>
    </xf>
    <xf numFmtId="43" fontId="28" fillId="4" borderId="1" xfId="1" applyFont="1" applyFill="1" applyBorder="1" applyAlignment="1">
      <alignment horizontal="right" vertical="center" wrapText="1"/>
    </xf>
    <xf numFmtId="9" fontId="28" fillId="4" borderId="1" xfId="2" applyFont="1" applyFill="1" applyBorder="1" applyAlignment="1">
      <alignment horizontal="right" vertical="center" wrapText="1"/>
    </xf>
    <xf numFmtId="43" fontId="28" fillId="4" borderId="1" xfId="1" applyFont="1" applyFill="1" applyBorder="1" applyAlignment="1" applyProtection="1">
      <alignment horizontal="right" vertical="center" wrapText="1"/>
    </xf>
    <xf numFmtId="0" fontId="5" fillId="6" borderId="1" xfId="0" applyFont="1" applyFill="1" applyBorder="1" applyAlignment="1">
      <alignment horizontal="justify" wrapText="1"/>
    </xf>
    <xf numFmtId="43" fontId="5" fillId="6" borderId="1" xfId="1" applyFont="1" applyFill="1" applyBorder="1" applyAlignment="1">
      <alignment horizontal="right" vertical="center" wrapText="1"/>
    </xf>
    <xf numFmtId="43" fontId="5" fillId="6" borderId="1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 applyProtection="1">
      <alignment horizontal="right" vertical="center" wrapText="1"/>
    </xf>
    <xf numFmtId="0" fontId="5" fillId="5" borderId="1" xfId="0" applyFont="1" applyFill="1" applyBorder="1" applyAlignment="1">
      <alignment horizontal="justify" wrapText="1"/>
    </xf>
    <xf numFmtId="43" fontId="5" fillId="5" borderId="1" xfId="1" applyFont="1" applyFill="1" applyBorder="1" applyAlignment="1">
      <alignment horizontal="right" vertical="center" wrapText="1"/>
    </xf>
    <xf numFmtId="43" fontId="5" fillId="5" borderId="1" xfId="1" applyFont="1" applyFill="1" applyBorder="1" applyAlignment="1" applyProtection="1">
      <alignment horizontal="right" vertical="center" wrapText="1"/>
    </xf>
    <xf numFmtId="9" fontId="5" fillId="5" borderId="1" xfId="2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 applyProtection="1">
      <alignment horizontal="right" vertical="center" wrapText="1"/>
    </xf>
    <xf numFmtId="43" fontId="28" fillId="0" borderId="1" xfId="1" applyFont="1" applyFill="1" applyBorder="1" applyAlignment="1" applyProtection="1">
      <alignment horizontal="right" vertical="center" wrapText="1"/>
    </xf>
    <xf numFmtId="43" fontId="5" fillId="0" borderId="1" xfId="1" applyFont="1" applyFill="1" applyBorder="1" applyAlignment="1">
      <alignment horizontal="right" vertical="center" wrapText="1"/>
    </xf>
    <xf numFmtId="43" fontId="28" fillId="3" borderId="1" xfId="1" applyFont="1" applyFill="1" applyBorder="1" applyAlignment="1" applyProtection="1">
      <alignment horizontal="right" vertical="center" wrapText="1"/>
    </xf>
    <xf numFmtId="43" fontId="28" fillId="8" borderId="1" xfId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43" fontId="19" fillId="4" borderId="4" xfId="1" applyFont="1" applyFill="1" applyBorder="1" applyAlignment="1" applyProtection="1">
      <alignment horizontal="right" vertical="center" wrapText="1"/>
    </xf>
    <xf numFmtId="43" fontId="19" fillId="4" borderId="4" xfId="1" applyFont="1" applyFill="1" applyBorder="1" applyAlignment="1">
      <alignment horizontal="right" vertical="center" wrapText="1"/>
    </xf>
    <xf numFmtId="0" fontId="28" fillId="3" borderId="1" xfId="0" applyFont="1" applyFill="1" applyBorder="1" applyAlignment="1" applyProtection="1">
      <alignment vertical="top" wrapText="1"/>
    </xf>
    <xf numFmtId="0" fontId="5" fillId="4" borderId="1" xfId="0" applyFont="1" applyFill="1" applyBorder="1" applyAlignment="1">
      <alignment horizontal="justify" wrapText="1"/>
    </xf>
    <xf numFmtId="43" fontId="5" fillId="4" borderId="1" xfId="1" applyFont="1" applyFill="1" applyBorder="1" applyAlignment="1">
      <alignment horizontal="right" vertical="center" wrapText="1"/>
    </xf>
    <xf numFmtId="9" fontId="5" fillId="4" borderId="1" xfId="2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justify" vertical="center" wrapText="1"/>
    </xf>
    <xf numFmtId="0" fontId="31" fillId="0" borderId="1" xfId="0" applyFont="1" applyFill="1" applyBorder="1" applyAlignment="1">
      <alignment horizontal="justify" vertical="center" wrapText="1"/>
    </xf>
    <xf numFmtId="9" fontId="28" fillId="0" borderId="1" xfId="2" applyFont="1" applyFill="1" applyBorder="1" applyAlignment="1">
      <alignment horizontal="right" vertical="center" wrapText="1"/>
    </xf>
    <xf numFmtId="43" fontId="28" fillId="0" borderId="1" xfId="1" applyFont="1" applyFill="1" applyBorder="1" applyAlignment="1">
      <alignment horizontal="right" vertical="center" wrapText="1"/>
    </xf>
    <xf numFmtId="9" fontId="5" fillId="0" borderId="1" xfId="2" applyFont="1" applyFill="1" applyBorder="1" applyAlignment="1" applyProtection="1">
      <alignment horizontal="right" vertical="center" wrapText="1"/>
    </xf>
    <xf numFmtId="43" fontId="5" fillId="6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right" wrapText="1"/>
    </xf>
    <xf numFmtId="43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43" fontId="5" fillId="6" borderId="1" xfId="0" applyNumberFormat="1" applyFont="1" applyFill="1" applyBorder="1" applyAlignment="1">
      <alignment horizontal="right" vertical="center" wrapText="1"/>
    </xf>
    <xf numFmtId="0" fontId="29" fillId="9" borderId="1" xfId="0" applyFont="1" applyFill="1" applyBorder="1" applyAlignment="1">
      <alignment horizontal="justify" vertical="top" wrapText="1"/>
    </xf>
    <xf numFmtId="4" fontId="28" fillId="9" borderId="1" xfId="0" applyNumberFormat="1" applyFont="1" applyFill="1" applyBorder="1" applyAlignment="1">
      <alignment horizontal="right" vertical="center" wrapText="1"/>
    </xf>
    <xf numFmtId="9" fontId="28" fillId="9" borderId="1" xfId="2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justify" wrapText="1"/>
    </xf>
    <xf numFmtId="43" fontId="5" fillId="5" borderId="5" xfId="1" applyFont="1" applyFill="1" applyBorder="1" applyAlignment="1">
      <alignment horizontal="right" vertical="center" wrapText="1"/>
    </xf>
    <xf numFmtId="9" fontId="5" fillId="5" borderId="5" xfId="2" applyFont="1" applyFill="1" applyBorder="1" applyAlignment="1" applyProtection="1">
      <alignment horizontal="right" vertical="center" wrapText="1"/>
    </xf>
    <xf numFmtId="43" fontId="5" fillId="5" borderId="5" xfId="1" applyFont="1" applyFill="1" applyBorder="1" applyAlignment="1" applyProtection="1">
      <alignment horizontal="right" vertical="center" wrapText="1"/>
    </xf>
    <xf numFmtId="9" fontId="5" fillId="6" borderId="1" xfId="2" applyFont="1" applyFill="1" applyBorder="1" applyAlignment="1">
      <alignment horizontal="right" vertical="center" wrapText="1"/>
    </xf>
    <xf numFmtId="9" fontId="5" fillId="5" borderId="1" xfId="2" applyFont="1" applyFill="1" applyBorder="1" applyAlignment="1">
      <alignment horizontal="right" vertical="center" wrapText="1"/>
    </xf>
    <xf numFmtId="9" fontId="28" fillId="3" borderId="1" xfId="2" applyFont="1" applyFill="1" applyBorder="1" applyAlignment="1" applyProtection="1">
      <alignment vertical="center" wrapText="1"/>
    </xf>
    <xf numFmtId="9" fontId="28" fillId="8" borderId="1" xfId="2" applyFont="1" applyFill="1" applyBorder="1" applyAlignment="1">
      <alignment horizontal="right" vertical="center" wrapText="1"/>
    </xf>
    <xf numFmtId="43" fontId="28" fillId="8" borderId="1" xfId="1" applyFont="1" applyFill="1" applyBorder="1" applyAlignment="1">
      <alignment horizontal="right" wrapText="1"/>
    </xf>
    <xf numFmtId="43" fontId="28" fillId="3" borderId="1" xfId="1" applyFont="1" applyFill="1" applyBorder="1" applyAlignment="1" applyProtection="1">
      <alignment horizontal="right" wrapText="1"/>
    </xf>
    <xf numFmtId="0" fontId="13" fillId="0" borderId="0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center" wrapText="1"/>
    </xf>
    <xf numFmtId="43" fontId="21" fillId="0" borderId="0" xfId="0" applyNumberFormat="1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justify" vertical="top" wrapText="1"/>
    </xf>
    <xf numFmtId="43" fontId="28" fillId="8" borderId="1" xfId="1" applyFont="1" applyFill="1" applyBorder="1" applyAlignment="1" applyProtection="1">
      <alignment horizontal="right" vertical="center" wrapText="1"/>
    </xf>
    <xf numFmtId="9" fontId="28" fillId="8" borderId="1" xfId="2" applyFont="1" applyFill="1" applyBorder="1" applyAlignment="1" applyProtection="1">
      <alignment horizontal="right" vertical="center" wrapText="1"/>
    </xf>
    <xf numFmtId="43" fontId="19" fillId="8" borderId="4" xfId="1" applyFont="1" applyFill="1" applyBorder="1" applyAlignment="1" applyProtection="1">
      <alignment horizontal="right" vertical="center" wrapText="1"/>
    </xf>
    <xf numFmtId="0" fontId="30" fillId="10" borderId="1" xfId="0" applyFont="1" applyFill="1" applyBorder="1" applyAlignment="1">
      <alignment horizontal="justify" vertical="top" wrapText="1"/>
    </xf>
    <xf numFmtId="2" fontId="5" fillId="10" borderId="1" xfId="0" applyNumberFormat="1" applyFont="1" applyFill="1" applyBorder="1" applyAlignment="1">
      <alignment horizontal="right" vertical="center" wrapText="1"/>
    </xf>
    <xf numFmtId="2" fontId="5" fillId="10" borderId="1" xfId="0" applyNumberFormat="1" applyFont="1" applyFill="1" applyBorder="1" applyAlignment="1" applyProtection="1">
      <alignment horizontal="right" vertical="center" wrapText="1"/>
    </xf>
    <xf numFmtId="2" fontId="28" fillId="10" borderId="1" xfId="0" applyNumberFormat="1" applyFont="1" applyFill="1" applyBorder="1" applyAlignment="1" applyProtection="1">
      <alignment horizontal="right" vertical="center" wrapText="1"/>
    </xf>
    <xf numFmtId="2" fontId="28" fillId="10" borderId="7" xfId="0" applyNumberFormat="1" applyFont="1" applyFill="1" applyBorder="1" applyAlignment="1" applyProtection="1">
      <alignment horizontal="right" vertical="center" wrapText="1"/>
    </xf>
    <xf numFmtId="2" fontId="19" fillId="10" borderId="4" xfId="0" applyNumberFormat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 applyProtection="1">
      <alignment horizontal="right" vertical="center" wrapText="1"/>
    </xf>
    <xf numFmtId="43" fontId="28" fillId="10" borderId="1" xfId="1" applyFont="1" applyFill="1" applyBorder="1" applyAlignment="1" applyProtection="1">
      <alignment horizontal="right" vertical="center" wrapText="1"/>
    </xf>
    <xf numFmtId="9" fontId="28" fillId="10" borderId="1" xfId="2" applyFont="1" applyFill="1" applyBorder="1" applyAlignment="1" applyProtection="1">
      <alignment horizontal="right" vertical="center" wrapText="1"/>
    </xf>
    <xf numFmtId="43" fontId="19" fillId="10" borderId="4" xfId="1" applyFont="1" applyFill="1" applyBorder="1" applyAlignment="1" applyProtection="1">
      <alignment horizontal="right" vertical="center" wrapText="1"/>
    </xf>
    <xf numFmtId="43" fontId="5" fillId="10" borderId="1" xfId="1" applyFont="1" applyFill="1" applyBorder="1" applyAlignment="1">
      <alignment horizontal="right" vertical="center" wrapText="1"/>
    </xf>
    <xf numFmtId="0" fontId="28" fillId="7" borderId="9" xfId="0" applyFont="1" applyFill="1" applyBorder="1" applyAlignment="1">
      <alignment horizontal="justify" wrapText="1"/>
    </xf>
    <xf numFmtId="43" fontId="28" fillId="7" borderId="10" xfId="1" applyFont="1" applyFill="1" applyBorder="1" applyAlignment="1">
      <alignment horizontal="right" vertical="center" wrapText="1"/>
    </xf>
    <xf numFmtId="9" fontId="28" fillId="7" borderId="10" xfId="2" applyFont="1" applyFill="1" applyBorder="1" applyAlignment="1">
      <alignment horizontal="right" vertical="center" wrapText="1"/>
    </xf>
    <xf numFmtId="43" fontId="28" fillId="7" borderId="11" xfId="1" applyFont="1" applyFill="1" applyBorder="1" applyAlignment="1">
      <alignment horizontal="right" vertical="center" wrapText="1"/>
    </xf>
    <xf numFmtId="49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43" fontId="20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justify" wrapText="1"/>
    </xf>
    <xf numFmtId="0" fontId="5" fillId="6" borderId="13" xfId="0" applyFont="1" applyFill="1" applyBorder="1" applyAlignment="1">
      <alignment horizontal="justify" wrapText="1"/>
    </xf>
    <xf numFmtId="43" fontId="5" fillId="6" borderId="5" xfId="1" applyFont="1" applyFill="1" applyBorder="1" applyAlignment="1">
      <alignment horizontal="right" vertical="center" wrapText="1"/>
    </xf>
    <xf numFmtId="43" fontId="5" fillId="6" borderId="5" xfId="1" applyFont="1" applyFill="1" applyBorder="1" applyAlignment="1" applyProtection="1">
      <alignment horizontal="right" vertical="center" wrapText="1"/>
    </xf>
    <xf numFmtId="9" fontId="5" fillId="6" borderId="5" xfId="2" applyFont="1" applyFill="1" applyBorder="1" applyAlignment="1" applyProtection="1">
      <alignment horizontal="right" vertical="center" wrapText="1"/>
    </xf>
    <xf numFmtId="43" fontId="5" fillId="6" borderId="12" xfId="1" applyFont="1" applyFill="1" applyBorder="1" applyAlignment="1" applyProtection="1">
      <alignment horizontal="right" vertical="center" wrapText="1"/>
    </xf>
    <xf numFmtId="0" fontId="31" fillId="0" borderId="7" xfId="0" applyFont="1" applyFill="1" applyBorder="1" applyAlignment="1">
      <alignment horizontal="justify" vertical="center" wrapText="1"/>
    </xf>
    <xf numFmtId="43" fontId="5" fillId="0" borderId="7" xfId="1" applyFont="1" applyFill="1" applyBorder="1" applyAlignment="1">
      <alignment horizontal="right" vertical="center" wrapText="1"/>
    </xf>
    <xf numFmtId="43" fontId="28" fillId="0" borderId="7" xfId="1" applyFont="1" applyFill="1" applyBorder="1" applyAlignment="1" applyProtection="1">
      <alignment horizontal="right" vertical="center" wrapText="1"/>
    </xf>
    <xf numFmtId="9" fontId="28" fillId="0" borderId="7" xfId="2" applyFont="1" applyFill="1" applyBorder="1" applyAlignment="1" applyProtection="1">
      <alignment horizontal="right" vertical="center" wrapText="1"/>
    </xf>
    <xf numFmtId="43" fontId="19" fillId="0" borderId="7" xfId="1" applyFont="1" applyFill="1" applyBorder="1" applyAlignment="1" applyProtection="1">
      <alignment horizontal="right" vertical="center" wrapText="1"/>
    </xf>
    <xf numFmtId="43" fontId="19" fillId="10" borderId="1" xfId="1" applyFont="1" applyFill="1" applyBorder="1" applyAlignment="1" applyProtection="1">
      <alignment horizontal="right" vertical="center" wrapText="1"/>
    </xf>
    <xf numFmtId="2" fontId="19" fillId="0" borderId="1" xfId="0" applyNumberFormat="1" applyFont="1" applyFill="1" applyBorder="1" applyAlignment="1">
      <alignment horizontal="right" vertical="center" wrapText="1"/>
    </xf>
    <xf numFmtId="9" fontId="5" fillId="0" borderId="1" xfId="2" applyFont="1" applyFill="1" applyBorder="1" applyAlignment="1">
      <alignment horizontal="right" vertical="center" wrapText="1"/>
    </xf>
    <xf numFmtId="43" fontId="4" fillId="0" borderId="1" xfId="0" applyNumberFormat="1" applyFont="1" applyFill="1" applyBorder="1" applyAlignment="1">
      <alignment horizontal="justify" vertical="center" wrapText="1"/>
    </xf>
    <xf numFmtId="43" fontId="4" fillId="11" borderId="1" xfId="0" applyNumberFormat="1" applyFont="1" applyFill="1" applyBorder="1" applyAlignment="1">
      <alignment horizontal="justify" vertical="center" wrapText="1"/>
    </xf>
    <xf numFmtId="43" fontId="28" fillId="13" borderId="1" xfId="1" applyFont="1" applyFill="1" applyBorder="1" applyAlignment="1">
      <alignment horizontal="right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3" fontId="5" fillId="5" borderId="2" xfId="1" applyFont="1" applyFill="1" applyBorder="1" applyAlignment="1" applyProtection="1">
      <alignment horizontal="right" vertical="center" wrapText="1"/>
    </xf>
    <xf numFmtId="0" fontId="21" fillId="0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5" fillId="12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left" wrapText="1"/>
    </xf>
    <xf numFmtId="165" fontId="32" fillId="0" borderId="0" xfId="0" applyNumberFormat="1" applyFont="1" applyFill="1" applyBorder="1" applyAlignment="1">
      <alignment horizontal="left" wrapText="1"/>
    </xf>
    <xf numFmtId="165" fontId="26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33" fillId="0" borderId="7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00"/>
      <color rgb="FF66FF66"/>
      <color rgb="FF00FFCC"/>
      <color rgb="FFCCFFCC"/>
      <color rgb="FF99FF66"/>
      <color rgb="FFDED9D8"/>
      <color rgb="FFB7ABA9"/>
      <color rgb="FF99FF99"/>
      <color rgb="FFACA9F1"/>
      <color rgb="FFE5BA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7"/>
  <sheetViews>
    <sheetView workbookViewId="0">
      <selection sqref="A1:XFD1048576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>
      <c r="J1" s="9" t="s">
        <v>73</v>
      </c>
    </row>
    <row r="2" spans="2:13" s="4" customFormat="1" ht="15">
      <c r="J2" s="9" t="s">
        <v>68</v>
      </c>
    </row>
    <row r="3" spans="2:13" s="4" customFormat="1" ht="15">
      <c r="J3" s="9" t="s">
        <v>69</v>
      </c>
    </row>
    <row r="4" spans="2:13" s="4" customFormat="1" ht="15.75">
      <c r="J4" s="5"/>
    </row>
    <row r="5" spans="2:13" s="4" customFormat="1" ht="15.75">
      <c r="J5" s="5"/>
    </row>
    <row r="6" spans="2:13" s="4" customFormat="1" ht="16.5">
      <c r="B6" s="197" t="s">
        <v>60</v>
      </c>
      <c r="C6" s="197"/>
      <c r="D6" s="197"/>
      <c r="E6" s="197"/>
      <c r="F6" s="197"/>
      <c r="G6" s="197"/>
      <c r="H6" s="197"/>
      <c r="I6" s="197"/>
      <c r="J6" s="197"/>
    </row>
    <row r="7" spans="2:13" s="4" customFormat="1"/>
    <row r="8" spans="2:13" s="4" customFormat="1">
      <c r="B8" s="187" t="s">
        <v>29</v>
      </c>
      <c r="C8" s="187" t="s">
        <v>0</v>
      </c>
      <c r="D8" s="187" t="s">
        <v>72</v>
      </c>
      <c r="E8" s="187" t="s">
        <v>1</v>
      </c>
      <c r="F8" s="187" t="s">
        <v>30</v>
      </c>
      <c r="G8" s="187"/>
      <c r="H8" s="187"/>
      <c r="I8" s="187"/>
      <c r="J8" s="187" t="s">
        <v>2</v>
      </c>
    </row>
    <row r="9" spans="2:13" s="4" customFormat="1">
      <c r="B9" s="187"/>
      <c r="C9" s="187"/>
      <c r="D9" s="187"/>
      <c r="E9" s="187"/>
      <c r="F9" s="187" t="s">
        <v>3</v>
      </c>
      <c r="G9" s="187" t="s">
        <v>4</v>
      </c>
      <c r="H9" s="187"/>
      <c r="I9" s="187"/>
      <c r="J9" s="187"/>
    </row>
    <row r="10" spans="2:13" s="4" customFormat="1">
      <c r="B10" s="187"/>
      <c r="C10" s="187"/>
      <c r="D10" s="187"/>
      <c r="E10" s="187"/>
      <c r="F10" s="187"/>
      <c r="G10" s="14" t="s">
        <v>5</v>
      </c>
      <c r="H10" s="14" t="s">
        <v>6</v>
      </c>
      <c r="I10" s="14" t="s">
        <v>7</v>
      </c>
      <c r="J10" s="187"/>
    </row>
    <row r="11" spans="2:13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>
      <c r="B12" s="185" t="s">
        <v>63</v>
      </c>
      <c r="C12" s="185"/>
      <c r="D12" s="185"/>
      <c r="E12" s="185"/>
      <c r="F12" s="185"/>
      <c r="G12" s="185"/>
      <c r="H12" s="185"/>
      <c r="I12" s="185"/>
      <c r="J12" s="185"/>
    </row>
    <row r="13" spans="2:13" s="4" customFormat="1">
      <c r="B13" s="185" t="s">
        <v>58</v>
      </c>
      <c r="C13" s="185"/>
      <c r="D13" s="185"/>
      <c r="E13" s="185"/>
      <c r="F13" s="185"/>
      <c r="G13" s="185"/>
      <c r="H13" s="185"/>
      <c r="I13" s="185"/>
      <c r="J13" s="185"/>
    </row>
    <row r="14" spans="2:13" s="4" customFormat="1">
      <c r="B14" s="191" t="s">
        <v>8</v>
      </c>
      <c r="C14" s="192"/>
      <c r="D14" s="192"/>
      <c r="E14" s="192"/>
      <c r="F14" s="192"/>
      <c r="G14" s="192"/>
      <c r="H14" s="192"/>
      <c r="I14" s="192"/>
      <c r="J14" s="193"/>
    </row>
    <row r="15" spans="2:13" s="4" customFormat="1">
      <c r="B15" s="194" t="s">
        <v>31</v>
      </c>
      <c r="C15" s="178" t="s">
        <v>9</v>
      </c>
      <c r="D15" s="181" t="s">
        <v>43</v>
      </c>
      <c r="E15" s="181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>
      <c r="B16" s="195"/>
      <c r="C16" s="179"/>
      <c r="D16" s="182"/>
      <c r="E16" s="182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>
      <c r="B17" s="196"/>
      <c r="C17" s="180"/>
      <c r="D17" s="183"/>
      <c r="E17" s="183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>
      <c r="B19" s="194" t="s">
        <v>33</v>
      </c>
      <c r="C19" s="178" t="s">
        <v>12</v>
      </c>
      <c r="D19" s="181" t="s">
        <v>43</v>
      </c>
      <c r="E19" s="181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>
      <c r="B20" s="195"/>
      <c r="C20" s="179"/>
      <c r="D20" s="182"/>
      <c r="E20" s="182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>
      <c r="B21" s="196"/>
      <c r="C21" s="180"/>
      <c r="D21" s="183"/>
      <c r="E21" s="183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>
      <c r="B25" s="7" t="s">
        <v>37</v>
      </c>
      <c r="C25" s="12" t="s">
        <v>15</v>
      </c>
      <c r="D25" s="14" t="s">
        <v>43</v>
      </c>
      <c r="E25" s="14" t="s">
        <v>10</v>
      </c>
      <c r="F25" s="187" t="s">
        <v>16</v>
      </c>
      <c r="G25" s="187"/>
      <c r="H25" s="187"/>
      <c r="I25" s="187"/>
      <c r="J25" s="187"/>
      <c r="M25" s="8"/>
    </row>
    <row r="26" spans="2:13" s="4" customFormat="1">
      <c r="B26" s="181"/>
      <c r="C26" s="178" t="s">
        <v>17</v>
      </c>
      <c r="D26" s="181" t="s">
        <v>43</v>
      </c>
      <c r="E26" s="181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>
      <c r="B27" s="182"/>
      <c r="C27" s="179"/>
      <c r="D27" s="182"/>
      <c r="E27" s="182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>
      <c r="B28" s="183"/>
      <c r="C28" s="180"/>
      <c r="D28" s="183"/>
      <c r="E28" s="183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>
      <c r="B29" s="185" t="s">
        <v>18</v>
      </c>
      <c r="C29" s="185"/>
      <c r="D29" s="185"/>
      <c r="E29" s="185"/>
      <c r="F29" s="185"/>
      <c r="G29" s="185"/>
      <c r="H29" s="185"/>
      <c r="I29" s="185"/>
      <c r="J29" s="185"/>
      <c r="M29" s="8"/>
    </row>
    <row r="30" spans="2:13" ht="5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>
      <c r="B32" s="188"/>
      <c r="C32" s="178" t="s">
        <v>21</v>
      </c>
      <c r="D32" s="175"/>
      <c r="E32" s="181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>
      <c r="B33" s="189"/>
      <c r="C33" s="179"/>
      <c r="D33" s="176"/>
      <c r="E33" s="182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>
      <c r="B34" s="190"/>
      <c r="C34" s="180"/>
      <c r="D34" s="177"/>
      <c r="E34" s="183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>
      <c r="B35" s="191" t="s">
        <v>59</v>
      </c>
      <c r="C35" s="192"/>
      <c r="D35" s="192"/>
      <c r="E35" s="192"/>
      <c r="F35" s="192"/>
      <c r="G35" s="192"/>
      <c r="H35" s="192"/>
      <c r="I35" s="192"/>
      <c r="J35" s="193"/>
      <c r="M35" s="8"/>
    </row>
    <row r="36" spans="2:13">
      <c r="B36" s="191" t="s">
        <v>56</v>
      </c>
      <c r="C36" s="192"/>
      <c r="D36" s="192"/>
      <c r="E36" s="192"/>
      <c r="F36" s="192"/>
      <c r="G36" s="192"/>
      <c r="H36" s="192"/>
      <c r="I36" s="192"/>
      <c r="J36" s="193"/>
      <c r="M36" s="8"/>
    </row>
    <row r="37" spans="2:13" ht="38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>
      <c r="B40" s="191" t="s">
        <v>64</v>
      </c>
      <c r="C40" s="192"/>
      <c r="D40" s="192"/>
      <c r="E40" s="192"/>
      <c r="F40" s="192"/>
      <c r="G40" s="192"/>
      <c r="H40" s="192"/>
      <c r="I40" s="192"/>
      <c r="J40" s="193"/>
      <c r="M40" s="8"/>
    </row>
    <row r="41" spans="2:13">
      <c r="B41" s="191" t="s">
        <v>44</v>
      </c>
      <c r="C41" s="192"/>
      <c r="D41" s="192"/>
      <c r="E41" s="192"/>
      <c r="F41" s="192"/>
      <c r="G41" s="192"/>
      <c r="H41" s="192"/>
      <c r="I41" s="192"/>
      <c r="J41" s="193"/>
      <c r="M41" s="8"/>
    </row>
    <row r="42" spans="2:13">
      <c r="B42" s="185" t="s">
        <v>45</v>
      </c>
      <c r="C42" s="185"/>
      <c r="D42" s="185"/>
      <c r="E42" s="185"/>
      <c r="F42" s="185"/>
      <c r="G42" s="185"/>
      <c r="H42" s="185"/>
      <c r="I42" s="185"/>
      <c r="J42" s="185"/>
      <c r="M42" s="8"/>
    </row>
    <row r="43" spans="2:13" ht="38.25">
      <c r="B43" s="7" t="s">
        <v>40</v>
      </c>
      <c r="C43" s="12" t="s">
        <v>75</v>
      </c>
      <c r="D43" s="14" t="s">
        <v>22</v>
      </c>
      <c r="E43" s="14" t="s">
        <v>10</v>
      </c>
      <c r="F43" s="187" t="s">
        <v>16</v>
      </c>
      <c r="G43" s="187"/>
      <c r="H43" s="187"/>
      <c r="I43" s="187"/>
      <c r="J43" s="187"/>
      <c r="M43" s="8"/>
    </row>
    <row r="44" spans="2:13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>
      <c r="B47" s="187"/>
      <c r="C47" s="178" t="s">
        <v>48</v>
      </c>
      <c r="D47" s="187" t="s">
        <v>22</v>
      </c>
      <c r="E47" s="187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>
      <c r="B48" s="187"/>
      <c r="C48" s="179"/>
      <c r="D48" s="187"/>
      <c r="E48" s="187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>
      <c r="B49" s="187"/>
      <c r="C49" s="180"/>
      <c r="D49" s="187"/>
      <c r="E49" s="187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>
      <c r="B50" s="185" t="s">
        <v>49</v>
      </c>
      <c r="C50" s="185"/>
      <c r="D50" s="185"/>
      <c r="E50" s="185"/>
      <c r="F50" s="185"/>
      <c r="G50" s="185"/>
      <c r="H50" s="185"/>
      <c r="I50" s="185"/>
      <c r="J50" s="185"/>
      <c r="M50" s="8"/>
    </row>
    <row r="51" spans="2:22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87" t="s">
        <v>16</v>
      </c>
      <c r="G51" s="187"/>
      <c r="H51" s="187"/>
      <c r="I51" s="187"/>
      <c r="J51" s="187"/>
      <c r="M51" s="8"/>
    </row>
    <row r="52" spans="2:22" ht="51">
      <c r="B52" s="7" t="s">
        <v>51</v>
      </c>
      <c r="C52" s="12" t="s">
        <v>26</v>
      </c>
      <c r="D52" s="14" t="s">
        <v>22</v>
      </c>
      <c r="E52" s="14" t="s">
        <v>10</v>
      </c>
      <c r="F52" s="187" t="s">
        <v>16</v>
      </c>
      <c r="G52" s="187"/>
      <c r="H52" s="187"/>
      <c r="I52" s="187"/>
      <c r="J52" s="187"/>
      <c r="M52" s="8"/>
    </row>
    <row r="53" spans="2:22" ht="15.75" customHeight="1">
      <c r="B53" s="186"/>
      <c r="C53" s="185" t="s">
        <v>52</v>
      </c>
      <c r="D53" s="187" t="s">
        <v>22</v>
      </c>
      <c r="E53" s="187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>
      <c r="B54" s="186"/>
      <c r="C54" s="185"/>
      <c r="D54" s="187"/>
      <c r="E54" s="187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>
      <c r="B55" s="186"/>
      <c r="C55" s="185"/>
      <c r="D55" s="187"/>
      <c r="E55" s="187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>
      <c r="B56" s="184"/>
      <c r="C56" s="185" t="s">
        <v>55</v>
      </c>
      <c r="D56" s="186"/>
      <c r="E56" s="187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>
      <c r="B57" s="184"/>
      <c r="C57" s="185"/>
      <c r="D57" s="186"/>
      <c r="E57" s="187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>
      <c r="B58" s="184"/>
      <c r="C58" s="185"/>
      <c r="D58" s="186"/>
      <c r="E58" s="187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>
      <c r="B60" s="186"/>
      <c r="C60" s="185" t="s">
        <v>28</v>
      </c>
      <c r="D60" s="186"/>
      <c r="E60" s="187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>
      <c r="B61" s="186"/>
      <c r="C61" s="185"/>
      <c r="D61" s="186"/>
      <c r="E61" s="187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>
      <c r="B62" s="186"/>
      <c r="C62" s="185"/>
      <c r="D62" s="186"/>
      <c r="E62" s="187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>
      <c r="B63" s="175"/>
      <c r="C63" s="178" t="s">
        <v>61</v>
      </c>
      <c r="D63" s="175"/>
      <c r="E63" s="181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>
      <c r="B64" s="176"/>
      <c r="C64" s="179"/>
      <c r="D64" s="176"/>
      <c r="E64" s="182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>
      <c r="B65" s="177"/>
      <c r="C65" s="180"/>
      <c r="D65" s="177"/>
      <c r="E65" s="183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50:J50"/>
    <mergeCell ref="F51:J51"/>
    <mergeCell ref="F52:J52"/>
    <mergeCell ref="B53:B55"/>
    <mergeCell ref="C53:C55"/>
    <mergeCell ref="D53:D55"/>
    <mergeCell ref="E53:E55"/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2"/>
  <sheetViews>
    <sheetView topLeftCell="A56" workbookViewId="0">
      <selection activeCell="N75" sqref="N75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>
      <c r="J1" s="9" t="s">
        <v>73</v>
      </c>
    </row>
    <row r="2" spans="2:18" s="4" customFormat="1" ht="15">
      <c r="J2" s="9" t="s">
        <v>68</v>
      </c>
    </row>
    <row r="3" spans="2:18" s="4" customFormat="1" ht="15">
      <c r="J3" s="9" t="s">
        <v>69</v>
      </c>
    </row>
    <row r="4" spans="2:18" s="4" customFormat="1" ht="15.75">
      <c r="J4" s="5"/>
    </row>
    <row r="5" spans="2:18" s="4" customFormat="1" ht="15.75">
      <c r="J5" s="5"/>
    </row>
    <row r="6" spans="2:18" s="4" customFormat="1" ht="16.5">
      <c r="B6" s="197" t="s">
        <v>60</v>
      </c>
      <c r="C6" s="197"/>
      <c r="D6" s="197"/>
      <c r="E6" s="197"/>
      <c r="F6" s="197"/>
      <c r="G6" s="197"/>
      <c r="H6" s="197"/>
      <c r="I6" s="197"/>
      <c r="J6" s="197"/>
    </row>
    <row r="7" spans="2:18" s="4" customFormat="1"/>
    <row r="8" spans="2:18" s="4" customFormat="1">
      <c r="B8" s="187" t="s">
        <v>29</v>
      </c>
      <c r="C8" s="187" t="s">
        <v>0</v>
      </c>
      <c r="D8" s="187" t="s">
        <v>72</v>
      </c>
      <c r="E8" s="187" t="s">
        <v>1</v>
      </c>
      <c r="F8" s="187" t="s">
        <v>30</v>
      </c>
      <c r="G8" s="187"/>
      <c r="H8" s="187"/>
      <c r="I8" s="187"/>
      <c r="J8" s="187" t="s">
        <v>2</v>
      </c>
    </row>
    <row r="9" spans="2:18" s="4" customFormat="1">
      <c r="B9" s="187"/>
      <c r="C9" s="187"/>
      <c r="D9" s="187"/>
      <c r="E9" s="187"/>
      <c r="F9" s="187" t="s">
        <v>3</v>
      </c>
      <c r="G9" s="187" t="s">
        <v>4</v>
      </c>
      <c r="H9" s="187"/>
      <c r="I9" s="187"/>
      <c r="J9" s="187"/>
    </row>
    <row r="10" spans="2:18" s="4" customFormat="1" ht="15.75" customHeight="1">
      <c r="B10" s="187"/>
      <c r="C10" s="187"/>
      <c r="D10" s="187"/>
      <c r="E10" s="187"/>
      <c r="F10" s="187"/>
      <c r="G10" s="14" t="s">
        <v>5</v>
      </c>
      <c r="H10" s="14" t="s">
        <v>6</v>
      </c>
      <c r="I10" s="14" t="s">
        <v>7</v>
      </c>
      <c r="J10" s="187"/>
    </row>
    <row r="11" spans="2:18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>
      <c r="B12" s="185" t="s">
        <v>63</v>
      </c>
      <c r="C12" s="185"/>
      <c r="D12" s="185"/>
      <c r="E12" s="185"/>
      <c r="F12" s="185"/>
      <c r="G12" s="185"/>
      <c r="H12" s="185"/>
      <c r="I12" s="185"/>
      <c r="J12" s="185"/>
    </row>
    <row r="13" spans="2:18" s="4" customFormat="1" ht="24.75" customHeight="1">
      <c r="B13" s="185" t="s">
        <v>58</v>
      </c>
      <c r="C13" s="185"/>
      <c r="D13" s="185"/>
      <c r="E13" s="185"/>
      <c r="F13" s="185"/>
      <c r="G13" s="185"/>
      <c r="H13" s="185"/>
      <c r="I13" s="185"/>
      <c r="J13" s="185"/>
    </row>
    <row r="14" spans="2:18" s="4" customFormat="1" ht="25.5" customHeight="1">
      <c r="B14" s="191" t="s">
        <v>8</v>
      </c>
      <c r="C14" s="192"/>
      <c r="D14" s="192"/>
      <c r="E14" s="192"/>
      <c r="F14" s="192"/>
      <c r="G14" s="192"/>
      <c r="H14" s="192"/>
      <c r="I14" s="192"/>
      <c r="J14" s="193"/>
    </row>
    <row r="15" spans="2:18" s="4" customFormat="1" ht="12.75" customHeight="1">
      <c r="B15" s="194" t="s">
        <v>31</v>
      </c>
      <c r="C15" s="178" t="s">
        <v>9</v>
      </c>
      <c r="D15" s="181" t="s">
        <v>43</v>
      </c>
      <c r="E15" s="181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194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>
      <c r="B16" s="195"/>
      <c r="C16" s="179"/>
      <c r="D16" s="182"/>
      <c r="E16" s="182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195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>
      <c r="B17" s="196"/>
      <c r="C17" s="180"/>
      <c r="D17" s="183"/>
      <c r="E17" s="183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196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>
      <c r="B19" s="194" t="s">
        <v>33</v>
      </c>
      <c r="C19" s="178" t="s">
        <v>12</v>
      </c>
      <c r="D19" s="181" t="s">
        <v>43</v>
      </c>
      <c r="E19" s="181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194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>
      <c r="B20" s="195"/>
      <c r="C20" s="179"/>
      <c r="D20" s="182"/>
      <c r="E20" s="182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195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>
      <c r="B21" s="196"/>
      <c r="C21" s="180"/>
      <c r="D21" s="183"/>
      <c r="E21" s="183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196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>
      <c r="B25" s="7" t="s">
        <v>37</v>
      </c>
      <c r="C25" s="12" t="s">
        <v>15</v>
      </c>
      <c r="D25" s="14" t="s">
        <v>43</v>
      </c>
      <c r="E25" s="14" t="s">
        <v>10</v>
      </c>
      <c r="F25" s="187" t="s">
        <v>16</v>
      </c>
      <c r="G25" s="187"/>
      <c r="H25" s="187"/>
      <c r="I25" s="187"/>
      <c r="J25" s="187"/>
      <c r="L25" s="7" t="s">
        <v>37</v>
      </c>
      <c r="M25" s="187" t="s">
        <v>16</v>
      </c>
      <c r="N25" s="187"/>
      <c r="O25" s="187"/>
      <c r="P25" s="187"/>
      <c r="Q25" s="8"/>
      <c r="R25" s="8"/>
    </row>
    <row r="26" spans="2:18" s="4" customFormat="1" ht="18.75" customHeight="1">
      <c r="B26" s="181"/>
      <c r="C26" s="178" t="s">
        <v>17</v>
      </c>
      <c r="D26" s="181" t="s">
        <v>43</v>
      </c>
      <c r="E26" s="181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81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>
      <c r="B27" s="182"/>
      <c r="C27" s="179"/>
      <c r="D27" s="182"/>
      <c r="E27" s="182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182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>
      <c r="B28" s="183"/>
      <c r="C28" s="180"/>
      <c r="D28" s="183"/>
      <c r="E28" s="183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183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>
      <c r="B29" s="185" t="s">
        <v>18</v>
      </c>
      <c r="C29" s="185"/>
      <c r="D29" s="185"/>
      <c r="E29" s="185"/>
      <c r="F29" s="185"/>
      <c r="G29" s="185"/>
      <c r="H29" s="185"/>
      <c r="I29" s="185"/>
      <c r="J29" s="185"/>
      <c r="L29" s="185" t="s">
        <v>18</v>
      </c>
      <c r="M29" s="185"/>
      <c r="N29" s="185"/>
      <c r="O29" s="185"/>
      <c r="P29" s="185"/>
      <c r="Q29" s="8"/>
      <c r="R29" s="8"/>
    </row>
    <row r="30" spans="2:18" ht="49.5" customHeight="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>
      <c r="B32" s="188"/>
      <c r="C32" s="178" t="s">
        <v>21</v>
      </c>
      <c r="D32" s="175"/>
      <c r="E32" s="181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188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>
      <c r="B33" s="189"/>
      <c r="C33" s="179"/>
      <c r="D33" s="176"/>
      <c r="E33" s="182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189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>
      <c r="B34" s="190"/>
      <c r="C34" s="180"/>
      <c r="D34" s="177"/>
      <c r="E34" s="183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190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>
      <c r="B35" s="191" t="s">
        <v>59</v>
      </c>
      <c r="C35" s="192"/>
      <c r="D35" s="192"/>
      <c r="E35" s="192"/>
      <c r="F35" s="192"/>
      <c r="G35" s="192"/>
      <c r="H35" s="192"/>
      <c r="I35" s="192"/>
      <c r="J35" s="193"/>
      <c r="L35" s="191" t="s">
        <v>59</v>
      </c>
      <c r="M35" s="192"/>
      <c r="N35" s="192"/>
      <c r="O35" s="192"/>
      <c r="P35" s="192"/>
      <c r="Q35" s="8"/>
      <c r="R35" s="8"/>
    </row>
    <row r="36" spans="2:18" ht="27" customHeight="1">
      <c r="B36" s="191" t="s">
        <v>56</v>
      </c>
      <c r="C36" s="192"/>
      <c r="D36" s="192"/>
      <c r="E36" s="192"/>
      <c r="F36" s="192"/>
      <c r="G36" s="192"/>
      <c r="H36" s="192"/>
      <c r="I36" s="192"/>
      <c r="J36" s="193"/>
      <c r="L36" s="191" t="s">
        <v>56</v>
      </c>
      <c r="M36" s="192"/>
      <c r="N36" s="192"/>
      <c r="O36" s="192"/>
      <c r="P36" s="192"/>
      <c r="Q36" s="8"/>
      <c r="R36" s="8"/>
    </row>
    <row r="37" spans="2:18" ht="25.5" customHeight="1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>
      <c r="B40" s="191" t="s">
        <v>64</v>
      </c>
      <c r="C40" s="192"/>
      <c r="D40" s="192"/>
      <c r="E40" s="192"/>
      <c r="F40" s="192"/>
      <c r="G40" s="192"/>
      <c r="H40" s="192"/>
      <c r="I40" s="192"/>
      <c r="J40" s="193"/>
      <c r="L40" s="191" t="s">
        <v>64</v>
      </c>
      <c r="M40" s="192"/>
      <c r="N40" s="192"/>
      <c r="O40" s="192"/>
      <c r="P40" s="192"/>
      <c r="Q40" s="8"/>
      <c r="R40" s="8"/>
    </row>
    <row r="41" spans="2:18" ht="26.25" customHeight="1">
      <c r="B41" s="191" t="s">
        <v>44</v>
      </c>
      <c r="C41" s="192"/>
      <c r="D41" s="192"/>
      <c r="E41" s="192"/>
      <c r="F41" s="192"/>
      <c r="G41" s="192"/>
      <c r="H41" s="192"/>
      <c r="I41" s="192"/>
      <c r="J41" s="193"/>
      <c r="L41" s="191" t="s">
        <v>44</v>
      </c>
      <c r="M41" s="192"/>
      <c r="N41" s="192"/>
      <c r="O41" s="192"/>
      <c r="P41" s="192"/>
      <c r="Q41" s="8"/>
      <c r="R41" s="8"/>
    </row>
    <row r="42" spans="2:18" ht="27.75" customHeight="1">
      <c r="B42" s="185" t="s">
        <v>45</v>
      </c>
      <c r="C42" s="185"/>
      <c r="D42" s="185"/>
      <c r="E42" s="185"/>
      <c r="F42" s="185"/>
      <c r="G42" s="185"/>
      <c r="H42" s="185"/>
      <c r="I42" s="185"/>
      <c r="J42" s="185"/>
      <c r="L42" s="185" t="s">
        <v>45</v>
      </c>
      <c r="M42" s="185"/>
      <c r="N42" s="185"/>
      <c r="O42" s="185"/>
      <c r="P42" s="185"/>
      <c r="Q42" s="8"/>
      <c r="R42" s="8"/>
    </row>
    <row r="43" spans="2:18" ht="38.25">
      <c r="B43" s="7" t="s">
        <v>40</v>
      </c>
      <c r="C43" s="12" t="s">
        <v>75</v>
      </c>
      <c r="D43" s="14" t="s">
        <v>22</v>
      </c>
      <c r="E43" s="14" t="s">
        <v>10</v>
      </c>
      <c r="F43" s="187" t="s">
        <v>16</v>
      </c>
      <c r="G43" s="187"/>
      <c r="H43" s="187"/>
      <c r="I43" s="187"/>
      <c r="J43" s="187"/>
      <c r="L43" s="7" t="s">
        <v>40</v>
      </c>
      <c r="M43" s="187" t="s">
        <v>16</v>
      </c>
      <c r="N43" s="187"/>
      <c r="O43" s="187"/>
      <c r="P43" s="187"/>
      <c r="Q43" s="8"/>
      <c r="R43" s="8"/>
    </row>
    <row r="44" spans="2:18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>
      <c r="B47" s="187"/>
      <c r="C47" s="178" t="s">
        <v>48</v>
      </c>
      <c r="D47" s="187" t="s">
        <v>22</v>
      </c>
      <c r="E47" s="187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87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>
      <c r="B48" s="187"/>
      <c r="C48" s="179"/>
      <c r="D48" s="187"/>
      <c r="E48" s="187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87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>
      <c r="B49" s="187"/>
      <c r="C49" s="180"/>
      <c r="D49" s="187"/>
      <c r="E49" s="187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87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>
      <c r="B50" s="185" t="s">
        <v>49</v>
      </c>
      <c r="C50" s="185"/>
      <c r="D50" s="185"/>
      <c r="E50" s="185"/>
      <c r="F50" s="185"/>
      <c r="G50" s="185"/>
      <c r="H50" s="185"/>
      <c r="I50" s="185"/>
      <c r="J50" s="185"/>
      <c r="L50" s="185" t="s">
        <v>49</v>
      </c>
      <c r="M50" s="185"/>
      <c r="N50" s="185"/>
      <c r="O50" s="185"/>
      <c r="P50" s="185"/>
      <c r="Q50" s="8"/>
      <c r="R50" s="8"/>
    </row>
    <row r="51" spans="2:18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87" t="s">
        <v>16</v>
      </c>
      <c r="G51" s="187"/>
      <c r="H51" s="187"/>
      <c r="I51" s="187"/>
      <c r="J51" s="187"/>
      <c r="L51" s="7" t="s">
        <v>50</v>
      </c>
      <c r="M51" s="187" t="s">
        <v>16</v>
      </c>
      <c r="N51" s="187"/>
      <c r="O51" s="187"/>
      <c r="P51" s="187"/>
      <c r="Q51" s="8"/>
      <c r="R51" s="8"/>
    </row>
    <row r="52" spans="2:18" ht="51">
      <c r="B52" s="7" t="s">
        <v>51</v>
      </c>
      <c r="C52" s="12" t="s">
        <v>26</v>
      </c>
      <c r="D52" s="14" t="s">
        <v>22</v>
      </c>
      <c r="E52" s="14" t="s">
        <v>10</v>
      </c>
      <c r="F52" s="187" t="s">
        <v>16</v>
      </c>
      <c r="G52" s="187"/>
      <c r="H52" s="187"/>
      <c r="I52" s="187"/>
      <c r="J52" s="187"/>
      <c r="L52" s="7" t="s">
        <v>51</v>
      </c>
      <c r="M52" s="187" t="s">
        <v>16</v>
      </c>
      <c r="N52" s="187"/>
      <c r="O52" s="187"/>
      <c r="P52" s="187"/>
      <c r="Q52" s="8"/>
      <c r="R52" s="8"/>
    </row>
    <row r="53" spans="2:18" ht="15.75" customHeight="1">
      <c r="B53" s="186"/>
      <c r="C53" s="185" t="s">
        <v>52</v>
      </c>
      <c r="D53" s="187" t="s">
        <v>22</v>
      </c>
      <c r="E53" s="187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186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>
      <c r="B54" s="186"/>
      <c r="C54" s="185"/>
      <c r="D54" s="187"/>
      <c r="E54" s="187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186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>
      <c r="B55" s="186"/>
      <c r="C55" s="185"/>
      <c r="D55" s="187"/>
      <c r="E55" s="187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186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>
      <c r="B56" s="184"/>
      <c r="C56" s="185" t="s">
        <v>55</v>
      </c>
      <c r="D56" s="186"/>
      <c r="E56" s="187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184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>
      <c r="B57" s="184"/>
      <c r="C57" s="185"/>
      <c r="D57" s="186"/>
      <c r="E57" s="187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184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>
      <c r="B58" s="184"/>
      <c r="C58" s="185"/>
      <c r="D58" s="186"/>
      <c r="E58" s="187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184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>
      <c r="B60" s="186"/>
      <c r="C60" s="185" t="s">
        <v>28</v>
      </c>
      <c r="D60" s="186"/>
      <c r="E60" s="187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186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>
      <c r="B61" s="186"/>
      <c r="C61" s="185"/>
      <c r="D61" s="186"/>
      <c r="E61" s="187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186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>
      <c r="B62" s="186"/>
      <c r="C62" s="185"/>
      <c r="D62" s="186"/>
      <c r="E62" s="187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186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>
      <c r="B63" s="175"/>
      <c r="C63" s="178" t="s">
        <v>61</v>
      </c>
      <c r="D63" s="175"/>
      <c r="E63" s="181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175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>
      <c r="B64" s="176"/>
      <c r="C64" s="179"/>
      <c r="D64" s="176"/>
      <c r="E64" s="182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176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>
      <c r="B65" s="177"/>
      <c r="C65" s="180"/>
      <c r="D65" s="177"/>
      <c r="E65" s="183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177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>
      <c r="J72" s="9"/>
    </row>
  </sheetData>
  <mergeCells count="79">
    <mergeCell ref="B6:J6"/>
    <mergeCell ref="B8:B10"/>
    <mergeCell ref="C8:C10"/>
    <mergeCell ref="D8:D10"/>
    <mergeCell ref="E8:E10"/>
    <mergeCell ref="F8:I8"/>
    <mergeCell ref="J8:J10"/>
    <mergeCell ref="F9:F10"/>
    <mergeCell ref="G9:I9"/>
    <mergeCell ref="B12:J12"/>
    <mergeCell ref="B13:J13"/>
    <mergeCell ref="B14:J14"/>
    <mergeCell ref="B15:B17"/>
    <mergeCell ref="C15:C17"/>
    <mergeCell ref="D15:D17"/>
    <mergeCell ref="E15:E17"/>
    <mergeCell ref="L15:L17"/>
    <mergeCell ref="B19:B21"/>
    <mergeCell ref="C19:C21"/>
    <mergeCell ref="D19:D21"/>
    <mergeCell ref="E19:E21"/>
    <mergeCell ref="L19:L21"/>
    <mergeCell ref="F25:J25"/>
    <mergeCell ref="M25:P25"/>
    <mergeCell ref="B26:B28"/>
    <mergeCell ref="C26:C28"/>
    <mergeCell ref="D26:D28"/>
    <mergeCell ref="E26:E28"/>
    <mergeCell ref="L26:L28"/>
    <mergeCell ref="B29:J29"/>
    <mergeCell ref="L29:P29"/>
    <mergeCell ref="B32:B34"/>
    <mergeCell ref="C32:C34"/>
    <mergeCell ref="D32:D34"/>
    <mergeCell ref="E32:E34"/>
    <mergeCell ref="L32:L34"/>
    <mergeCell ref="B35:J35"/>
    <mergeCell ref="L35:P35"/>
    <mergeCell ref="B36:J36"/>
    <mergeCell ref="L36:P36"/>
    <mergeCell ref="B40:J40"/>
    <mergeCell ref="L40:P40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60:B62"/>
    <mergeCell ref="C60:C62"/>
    <mergeCell ref="D60:D62"/>
    <mergeCell ref="E60:E62"/>
    <mergeCell ref="L60:L62"/>
    <mergeCell ref="B56:B58"/>
    <mergeCell ref="C56:C58"/>
    <mergeCell ref="D56:D58"/>
    <mergeCell ref="E56:E58"/>
    <mergeCell ref="L56:L58"/>
    <mergeCell ref="B63:B65"/>
    <mergeCell ref="C63:C65"/>
    <mergeCell ref="D63:D65"/>
    <mergeCell ref="E63:E65"/>
    <mergeCell ref="L63:L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>
      <selection activeCell="D37" sqref="D37"/>
    </sheetView>
  </sheetViews>
  <sheetFormatPr defaultRowHeight="12.75"/>
  <cols>
    <col min="1" max="16384" width="9.140625" style="4"/>
  </cols>
  <sheetData>
    <row r="1" spans="1:9" ht="18.75">
      <c r="A1" s="199"/>
      <c r="B1" s="199"/>
    </row>
    <row r="10" spans="1:9" ht="23.25">
      <c r="A10" s="200" t="s">
        <v>80</v>
      </c>
      <c r="B10" s="200"/>
      <c r="C10" s="200"/>
      <c r="D10" s="200"/>
      <c r="E10" s="200"/>
      <c r="F10" s="200"/>
      <c r="G10" s="200"/>
      <c r="H10" s="200"/>
      <c r="I10" s="200"/>
    </row>
    <row r="11" spans="1:9" ht="23.25">
      <c r="A11" s="200" t="s">
        <v>81</v>
      </c>
      <c r="B11" s="200"/>
      <c r="C11" s="200"/>
      <c r="D11" s="200"/>
      <c r="E11" s="200"/>
      <c r="F11" s="200"/>
      <c r="G11" s="200"/>
      <c r="H11" s="200"/>
      <c r="I11" s="200"/>
    </row>
    <row r="13" spans="1:9" ht="27" customHeight="1">
      <c r="A13" s="198" t="s">
        <v>82</v>
      </c>
      <c r="B13" s="198"/>
      <c r="C13" s="198"/>
      <c r="D13" s="198"/>
      <c r="E13" s="198"/>
      <c r="F13" s="198"/>
      <c r="G13" s="198"/>
      <c r="H13" s="198"/>
      <c r="I13" s="198"/>
    </row>
    <row r="14" spans="1:9" ht="27" customHeight="1">
      <c r="A14" s="198" t="s">
        <v>83</v>
      </c>
      <c r="B14" s="198"/>
      <c r="C14" s="198"/>
      <c r="D14" s="198"/>
      <c r="E14" s="198"/>
      <c r="F14" s="198"/>
      <c r="G14" s="198"/>
      <c r="H14" s="198"/>
      <c r="I14" s="198"/>
    </row>
    <row r="15" spans="1:9" ht="51.75" customHeight="1">
      <c r="A15" s="201" t="s">
        <v>111</v>
      </c>
      <c r="B15" s="201"/>
      <c r="C15" s="201"/>
      <c r="D15" s="201"/>
      <c r="E15" s="201"/>
      <c r="F15" s="201"/>
      <c r="G15" s="201"/>
      <c r="H15" s="201"/>
      <c r="I15" s="201"/>
    </row>
    <row r="17" spans="1:9" ht="19.5">
      <c r="A17" s="198" t="s">
        <v>146</v>
      </c>
      <c r="B17" s="198"/>
      <c r="C17" s="198"/>
      <c r="D17" s="198"/>
      <c r="E17" s="198"/>
      <c r="F17" s="198"/>
      <c r="G17" s="198"/>
      <c r="H17" s="198"/>
      <c r="I17" s="198"/>
    </row>
    <row r="46" spans="1:9" ht="16.5">
      <c r="A46" s="197" t="s">
        <v>84</v>
      </c>
      <c r="B46" s="197"/>
      <c r="C46" s="197"/>
      <c r="D46" s="197"/>
      <c r="E46" s="197"/>
      <c r="F46" s="197"/>
      <c r="G46" s="197"/>
      <c r="H46" s="197"/>
      <c r="I46" s="197"/>
    </row>
    <row r="47" spans="1:9" ht="16.5">
      <c r="A47" s="197"/>
      <c r="B47" s="197"/>
      <c r="C47" s="197"/>
      <c r="D47" s="197"/>
      <c r="E47" s="197"/>
      <c r="F47" s="197"/>
      <c r="G47" s="197"/>
      <c r="H47" s="197"/>
      <c r="I47" s="197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FG116"/>
  <sheetViews>
    <sheetView zoomScale="85" zoomScaleNormal="85" zoomScaleSheetLayoutView="70" workbookViewId="0">
      <pane xSplit="15" ySplit="5" topLeftCell="AF128" activePane="bottomRight" state="frozen"/>
      <selection pane="topRight" activeCell="P1" sqref="P1"/>
      <selection pane="bottomLeft" activeCell="A11" sqref="A11"/>
      <selection pane="bottomRight" activeCell="AF28" sqref="AF28:AF37"/>
    </sheetView>
  </sheetViews>
  <sheetFormatPr defaultRowHeight="18.75"/>
  <cols>
    <col min="1" max="1" width="36.85546875" style="18" customWidth="1"/>
    <col min="2" max="2" width="14.42578125" style="18" customWidth="1"/>
    <col min="3" max="3" width="14.5703125" style="19" customWidth="1"/>
    <col min="4" max="4" width="14.42578125" style="19" customWidth="1"/>
    <col min="5" max="5" width="17.5703125" style="19" customWidth="1"/>
    <col min="6" max="6" width="11.7109375" style="19" customWidth="1"/>
    <col min="7" max="7" width="13.140625" style="19" customWidth="1"/>
    <col min="8" max="8" width="11.140625" style="20" customWidth="1"/>
    <col min="9" max="10" width="13.140625" style="20" customWidth="1"/>
    <col min="11" max="11" width="12.7109375" style="20" customWidth="1"/>
    <col min="12" max="12" width="14.140625" style="20" customWidth="1"/>
    <col min="13" max="13" width="13.28515625" style="20" customWidth="1"/>
    <col min="14" max="14" width="13.42578125" style="20" customWidth="1"/>
    <col min="15" max="15" width="15.140625" style="20" customWidth="1"/>
    <col min="16" max="16" width="13.140625" style="20" customWidth="1"/>
    <col min="17" max="17" width="12.7109375" style="20" customWidth="1"/>
    <col min="18" max="18" width="14.85546875" style="20" customWidth="1"/>
    <col min="19" max="19" width="13" style="20" customWidth="1"/>
    <col min="20" max="21" width="13" style="19" customWidth="1"/>
    <col min="22" max="22" width="14.5703125" style="19" customWidth="1"/>
    <col min="23" max="23" width="12.85546875" style="19" customWidth="1"/>
    <col min="24" max="24" width="13.28515625" style="19" customWidth="1"/>
    <col min="25" max="25" width="14" style="19" customWidth="1"/>
    <col min="26" max="26" width="13" style="19" customWidth="1"/>
    <col min="27" max="28" width="13.140625" style="19" customWidth="1"/>
    <col min="29" max="29" width="13.42578125" style="19" customWidth="1"/>
    <col min="30" max="30" width="14" style="19" customWidth="1"/>
    <col min="31" max="31" width="13.7109375" style="19" customWidth="1"/>
    <col min="32" max="32" width="47.140625" style="18" customWidth="1"/>
    <col min="33" max="33" width="14.28515625" style="20" customWidth="1"/>
    <col min="34" max="34" width="18.8554687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71" ht="26.25" customHeight="1">
      <c r="A1" s="22"/>
      <c r="O1" s="23"/>
      <c r="P1" s="23"/>
      <c r="Q1" s="23"/>
      <c r="R1" s="23"/>
      <c r="S1" s="23"/>
      <c r="Z1" s="23"/>
      <c r="AA1" s="23"/>
      <c r="AB1" s="23"/>
      <c r="AC1" s="23"/>
      <c r="AD1" s="23"/>
      <c r="AF1" s="24"/>
    </row>
    <row r="2" spans="1:71" ht="26.25" customHeight="1">
      <c r="A2" s="214" t="s">
        <v>147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98"/>
      <c r="AE2" s="99"/>
      <c r="AF2" s="24"/>
    </row>
    <row r="3" spans="1:71" s="26" customFormat="1" ht="35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25"/>
      <c r="M3" s="25"/>
      <c r="N3" s="25"/>
      <c r="O3" s="25"/>
      <c r="P3" s="25"/>
      <c r="Q3" s="25"/>
      <c r="R3" s="25"/>
      <c r="S3" s="27" t="s">
        <v>85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65" t="s">
        <v>116</v>
      </c>
      <c r="AE3" s="25"/>
      <c r="AF3" s="27" t="s">
        <v>85</v>
      </c>
      <c r="AH3" s="21"/>
    </row>
    <row r="4" spans="1:71" s="28" customFormat="1" ht="18.75" customHeight="1">
      <c r="A4" s="215" t="s">
        <v>112</v>
      </c>
      <c r="B4" s="216" t="s">
        <v>130</v>
      </c>
      <c r="C4" s="216" t="s">
        <v>148</v>
      </c>
      <c r="D4" s="216" t="s">
        <v>149</v>
      </c>
      <c r="E4" s="216" t="s">
        <v>150</v>
      </c>
      <c r="F4" s="216" t="s">
        <v>86</v>
      </c>
      <c r="G4" s="216"/>
      <c r="H4" s="216" t="s">
        <v>87</v>
      </c>
      <c r="I4" s="216"/>
      <c r="J4" s="218" t="s">
        <v>88</v>
      </c>
      <c r="K4" s="219"/>
      <c r="L4" s="218" t="s">
        <v>89</v>
      </c>
      <c r="M4" s="219"/>
      <c r="N4" s="218" t="s">
        <v>90</v>
      </c>
      <c r="O4" s="219"/>
      <c r="P4" s="218" t="s">
        <v>91</v>
      </c>
      <c r="Q4" s="219"/>
      <c r="R4" s="218" t="s">
        <v>92</v>
      </c>
      <c r="S4" s="219"/>
      <c r="T4" s="218" t="s">
        <v>93</v>
      </c>
      <c r="U4" s="219"/>
      <c r="V4" s="218" t="s">
        <v>94</v>
      </c>
      <c r="W4" s="219"/>
      <c r="X4" s="218" t="s">
        <v>95</v>
      </c>
      <c r="Y4" s="219"/>
      <c r="Z4" s="218" t="s">
        <v>96</v>
      </c>
      <c r="AA4" s="219"/>
      <c r="AB4" s="218" t="s">
        <v>97</v>
      </c>
      <c r="AC4" s="219"/>
      <c r="AD4" s="218" t="s">
        <v>98</v>
      </c>
      <c r="AE4" s="219"/>
      <c r="AF4" s="215" t="s">
        <v>99</v>
      </c>
      <c r="AH4" s="29"/>
    </row>
    <row r="5" spans="1:71" s="30" customFormat="1" ht="82.5" customHeight="1">
      <c r="A5" s="215"/>
      <c r="B5" s="216"/>
      <c r="C5" s="216"/>
      <c r="D5" s="217"/>
      <c r="E5" s="216"/>
      <c r="F5" s="128" t="s">
        <v>100</v>
      </c>
      <c r="G5" s="128" t="s">
        <v>101</v>
      </c>
      <c r="H5" s="128" t="s">
        <v>127</v>
      </c>
      <c r="I5" s="128" t="s">
        <v>102</v>
      </c>
      <c r="J5" s="128" t="s">
        <v>127</v>
      </c>
      <c r="K5" s="128" t="s">
        <v>102</v>
      </c>
      <c r="L5" s="128" t="s">
        <v>127</v>
      </c>
      <c r="M5" s="128" t="s">
        <v>102</v>
      </c>
      <c r="N5" s="128" t="s">
        <v>127</v>
      </c>
      <c r="O5" s="128" t="s">
        <v>102</v>
      </c>
      <c r="P5" s="128" t="s">
        <v>127</v>
      </c>
      <c r="Q5" s="128" t="s">
        <v>102</v>
      </c>
      <c r="R5" s="128" t="s">
        <v>127</v>
      </c>
      <c r="S5" s="128" t="s">
        <v>102</v>
      </c>
      <c r="T5" s="128" t="s">
        <v>127</v>
      </c>
      <c r="U5" s="128" t="s">
        <v>102</v>
      </c>
      <c r="V5" s="128" t="s">
        <v>127</v>
      </c>
      <c r="W5" s="128" t="s">
        <v>102</v>
      </c>
      <c r="X5" s="128" t="s">
        <v>127</v>
      </c>
      <c r="Y5" s="128" t="s">
        <v>102</v>
      </c>
      <c r="Z5" s="128" t="s">
        <v>127</v>
      </c>
      <c r="AA5" s="128" t="s">
        <v>102</v>
      </c>
      <c r="AB5" s="128" t="s">
        <v>127</v>
      </c>
      <c r="AC5" s="128" t="s">
        <v>102</v>
      </c>
      <c r="AD5" s="128" t="s">
        <v>127</v>
      </c>
      <c r="AE5" s="128" t="s">
        <v>102</v>
      </c>
      <c r="AF5" s="215"/>
      <c r="AH5" s="29"/>
    </row>
    <row r="6" spans="1:71" s="31" customFormat="1" ht="17.25" customHeight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90">
        <v>14</v>
      </c>
      <c r="O6" s="90">
        <v>15</v>
      </c>
      <c r="P6" s="90">
        <v>16</v>
      </c>
      <c r="Q6" s="90">
        <v>17</v>
      </c>
      <c r="R6" s="90">
        <v>18</v>
      </c>
      <c r="S6" s="90">
        <v>19</v>
      </c>
      <c r="T6" s="90">
        <v>20</v>
      </c>
      <c r="U6" s="90">
        <v>21</v>
      </c>
      <c r="V6" s="90">
        <v>22</v>
      </c>
      <c r="W6" s="90">
        <v>23</v>
      </c>
      <c r="X6" s="90">
        <v>24</v>
      </c>
      <c r="Y6" s="90">
        <v>25</v>
      </c>
      <c r="Z6" s="90">
        <v>26</v>
      </c>
      <c r="AA6" s="90">
        <v>27</v>
      </c>
      <c r="AB6" s="90">
        <v>28</v>
      </c>
      <c r="AC6" s="90">
        <v>29</v>
      </c>
      <c r="AD6" s="90">
        <v>30</v>
      </c>
      <c r="AE6" s="90">
        <v>31</v>
      </c>
      <c r="AF6" s="90">
        <v>32</v>
      </c>
      <c r="AH6" s="32"/>
    </row>
    <row r="7" spans="1:71" s="35" customFormat="1" ht="40.5" customHeight="1">
      <c r="A7" s="94" t="s">
        <v>103</v>
      </c>
      <c r="B7" s="67">
        <f>B8</f>
        <v>23614.42554</v>
      </c>
      <c r="C7" s="87">
        <f t="shared" ref="C7:AE8" si="0">C8</f>
        <v>22430.775539999999</v>
      </c>
      <c r="D7" s="67">
        <f t="shared" si="0"/>
        <v>21897.137750000002</v>
      </c>
      <c r="E7" s="87">
        <f t="shared" si="0"/>
        <v>20588.686699999998</v>
      </c>
      <c r="F7" s="121">
        <f>E7/B7</f>
        <v>0.87186904738060367</v>
      </c>
      <c r="G7" s="121">
        <f>E7/C7</f>
        <v>0.91787672090449712</v>
      </c>
      <c r="H7" s="124">
        <f t="shared" si="0"/>
        <v>0</v>
      </c>
      <c r="I7" s="124">
        <f t="shared" si="0"/>
        <v>0</v>
      </c>
      <c r="J7" s="67">
        <f t="shared" si="0"/>
        <v>869.29099999999994</v>
      </c>
      <c r="K7" s="67">
        <f t="shared" si="0"/>
        <v>285.31865000000005</v>
      </c>
      <c r="L7" s="67">
        <f t="shared" si="0"/>
        <v>944.50900000000001</v>
      </c>
      <c r="M7" s="124">
        <f t="shared" si="0"/>
        <v>693.06032000000005</v>
      </c>
      <c r="N7" s="67">
        <f t="shared" si="0"/>
        <v>1541.9672799999998</v>
      </c>
      <c r="O7" s="124">
        <f t="shared" si="0"/>
        <v>1018.7150200000001</v>
      </c>
      <c r="P7" s="67">
        <f t="shared" si="0"/>
        <v>885.04721999999992</v>
      </c>
      <c r="Q7" s="124">
        <f t="shared" si="0"/>
        <v>840.17542000000003</v>
      </c>
      <c r="R7" s="67">
        <f t="shared" si="0"/>
        <v>4779.55476</v>
      </c>
      <c r="S7" s="124">
        <f t="shared" si="0"/>
        <v>4743.5121799999997</v>
      </c>
      <c r="T7" s="67">
        <f t="shared" si="0"/>
        <v>4270.8045200000006</v>
      </c>
      <c r="U7" s="124">
        <f t="shared" si="0"/>
        <v>4547.4812500000007</v>
      </c>
      <c r="V7" s="67">
        <f t="shared" si="0"/>
        <v>4876.02142</v>
      </c>
      <c r="W7" s="124">
        <f t="shared" si="0"/>
        <v>4778.6997700000002</v>
      </c>
      <c r="X7" s="67">
        <f t="shared" si="0"/>
        <v>1319.6659999999999</v>
      </c>
      <c r="Y7" s="124">
        <f t="shared" si="0"/>
        <v>1337.0715500000001</v>
      </c>
      <c r="Z7" s="67">
        <f t="shared" si="0"/>
        <v>1084.52181</v>
      </c>
      <c r="AA7" s="124">
        <f t="shared" si="0"/>
        <v>1174.5476000000001</v>
      </c>
      <c r="AB7" s="67">
        <f t="shared" si="0"/>
        <v>1859.3925299999999</v>
      </c>
      <c r="AC7" s="124">
        <f t="shared" si="0"/>
        <v>1170.1049400000002</v>
      </c>
      <c r="AD7" s="67">
        <f t="shared" si="0"/>
        <v>1183.6500000000001</v>
      </c>
      <c r="AE7" s="124">
        <f t="shared" si="0"/>
        <v>0</v>
      </c>
      <c r="AF7" s="124"/>
      <c r="AH7" s="36"/>
    </row>
    <row r="8" spans="1:71" s="61" customFormat="1" ht="89.25" customHeight="1">
      <c r="A8" s="68" t="s">
        <v>117</v>
      </c>
      <c r="B8" s="69">
        <f>B9</f>
        <v>23614.42554</v>
      </c>
      <c r="C8" s="88">
        <f>C9</f>
        <v>22430.775539999999</v>
      </c>
      <c r="D8" s="69">
        <f t="shared" si="0"/>
        <v>21897.137750000002</v>
      </c>
      <c r="E8" s="88">
        <f t="shared" si="0"/>
        <v>20588.686699999998</v>
      </c>
      <c r="F8" s="122">
        <f>E8/B8</f>
        <v>0.87186904738060367</v>
      </c>
      <c r="G8" s="122">
        <f>E8/C8</f>
        <v>0.91787672090449712</v>
      </c>
      <c r="H8" s="123">
        <f t="shared" si="0"/>
        <v>0</v>
      </c>
      <c r="I8" s="123">
        <f>I9</f>
        <v>0</v>
      </c>
      <c r="J8" s="69">
        <f t="shared" si="0"/>
        <v>869.29099999999994</v>
      </c>
      <c r="K8" s="69">
        <f t="shared" si="0"/>
        <v>285.31865000000005</v>
      </c>
      <c r="L8" s="69">
        <f t="shared" si="0"/>
        <v>944.50900000000001</v>
      </c>
      <c r="M8" s="123">
        <f t="shared" si="0"/>
        <v>693.06032000000005</v>
      </c>
      <c r="N8" s="69">
        <f t="shared" si="0"/>
        <v>1541.9672799999998</v>
      </c>
      <c r="O8" s="123">
        <f t="shared" si="0"/>
        <v>1018.7150200000001</v>
      </c>
      <c r="P8" s="69">
        <f t="shared" si="0"/>
        <v>885.04721999999992</v>
      </c>
      <c r="Q8" s="123">
        <f t="shared" si="0"/>
        <v>840.17542000000003</v>
      </c>
      <c r="R8" s="69">
        <f t="shared" si="0"/>
        <v>4779.55476</v>
      </c>
      <c r="S8" s="123">
        <f t="shared" si="0"/>
        <v>4743.5121799999997</v>
      </c>
      <c r="T8" s="69">
        <f t="shared" si="0"/>
        <v>4270.8045200000006</v>
      </c>
      <c r="U8" s="123">
        <f t="shared" si="0"/>
        <v>4547.4812500000007</v>
      </c>
      <c r="V8" s="69">
        <f t="shared" si="0"/>
        <v>4876.02142</v>
      </c>
      <c r="W8" s="123">
        <f t="shared" si="0"/>
        <v>4778.6997700000002</v>
      </c>
      <c r="X8" s="69">
        <f t="shared" si="0"/>
        <v>1319.6659999999999</v>
      </c>
      <c r="Y8" s="123">
        <f t="shared" si="0"/>
        <v>1337.0715500000001</v>
      </c>
      <c r="Z8" s="69">
        <f t="shared" si="0"/>
        <v>1084.52181</v>
      </c>
      <c r="AA8" s="123">
        <f t="shared" si="0"/>
        <v>1174.5476000000001</v>
      </c>
      <c r="AB8" s="69">
        <f t="shared" si="0"/>
        <v>1859.3925299999999</v>
      </c>
      <c r="AC8" s="123">
        <f t="shared" si="0"/>
        <v>1170.1049400000002</v>
      </c>
      <c r="AD8" s="69">
        <f t="shared" si="0"/>
        <v>1183.6500000000001</v>
      </c>
      <c r="AE8" s="123">
        <f t="shared" si="0"/>
        <v>0</v>
      </c>
      <c r="AF8" s="123"/>
      <c r="AG8" s="35"/>
      <c r="AH8" s="36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</row>
    <row r="9" spans="1:71" s="35" customFormat="1">
      <c r="A9" s="95" t="s">
        <v>25</v>
      </c>
      <c r="B9" s="96">
        <f>B10+B11</f>
        <v>23614.42554</v>
      </c>
      <c r="C9" s="96">
        <f t="shared" ref="C9:AD9" si="1">C10+C11</f>
        <v>22430.775539999999</v>
      </c>
      <c r="D9" s="96">
        <f t="shared" si="1"/>
        <v>21897.137750000002</v>
      </c>
      <c r="E9" s="96">
        <f t="shared" si="1"/>
        <v>20588.686699999998</v>
      </c>
      <c r="F9" s="97">
        <f>E9/B9</f>
        <v>0.87186904738060367</v>
      </c>
      <c r="G9" s="97">
        <f>E9/C9</f>
        <v>0.91787672090449712</v>
      </c>
      <c r="H9" s="96">
        <f t="shared" si="1"/>
        <v>0</v>
      </c>
      <c r="I9" s="96">
        <f t="shared" si="1"/>
        <v>0</v>
      </c>
      <c r="J9" s="96">
        <f t="shared" si="1"/>
        <v>869.29099999999994</v>
      </c>
      <c r="K9" s="96">
        <f t="shared" si="1"/>
        <v>285.31865000000005</v>
      </c>
      <c r="L9" s="96">
        <f t="shared" si="1"/>
        <v>944.50900000000001</v>
      </c>
      <c r="M9" s="96">
        <f t="shared" si="1"/>
        <v>693.06032000000005</v>
      </c>
      <c r="N9" s="96">
        <f t="shared" si="1"/>
        <v>1541.9672799999998</v>
      </c>
      <c r="O9" s="96">
        <f t="shared" si="1"/>
        <v>1018.7150200000001</v>
      </c>
      <c r="P9" s="96">
        <f t="shared" si="1"/>
        <v>885.04721999999992</v>
      </c>
      <c r="Q9" s="96">
        <f t="shared" si="1"/>
        <v>840.17542000000003</v>
      </c>
      <c r="R9" s="96">
        <f t="shared" si="1"/>
        <v>4779.55476</v>
      </c>
      <c r="S9" s="96">
        <f t="shared" si="1"/>
        <v>4743.5121799999997</v>
      </c>
      <c r="T9" s="96">
        <f t="shared" si="1"/>
        <v>4270.8045200000006</v>
      </c>
      <c r="U9" s="96">
        <f t="shared" si="1"/>
        <v>4547.4812500000007</v>
      </c>
      <c r="V9" s="96">
        <f t="shared" si="1"/>
        <v>4876.02142</v>
      </c>
      <c r="W9" s="96">
        <f t="shared" si="1"/>
        <v>4778.6997700000002</v>
      </c>
      <c r="X9" s="96">
        <f t="shared" si="1"/>
        <v>1319.6659999999999</v>
      </c>
      <c r="Y9" s="96">
        <f t="shared" si="1"/>
        <v>1337.0715500000001</v>
      </c>
      <c r="Z9" s="96">
        <f t="shared" si="1"/>
        <v>1084.52181</v>
      </c>
      <c r="AA9" s="96">
        <f t="shared" si="1"/>
        <v>1174.5476000000001</v>
      </c>
      <c r="AB9" s="96">
        <f t="shared" si="1"/>
        <v>1859.3925299999999</v>
      </c>
      <c r="AC9" s="96">
        <f t="shared" si="1"/>
        <v>1170.1049400000002</v>
      </c>
      <c r="AD9" s="96">
        <f t="shared" si="1"/>
        <v>1183.6500000000001</v>
      </c>
      <c r="AE9" s="96">
        <f>AE10+AE11</f>
        <v>0</v>
      </c>
      <c r="AF9" s="96"/>
      <c r="AH9" s="36"/>
    </row>
    <row r="10" spans="1:71" s="35" customFormat="1">
      <c r="A10" s="76" t="s">
        <v>104</v>
      </c>
      <c r="B10" s="77">
        <f>B53+B70+B74</f>
        <v>2290.5505999999996</v>
      </c>
      <c r="C10" s="77">
        <f>C53+C70+C74</f>
        <v>2290.5505999999996</v>
      </c>
      <c r="D10" s="77">
        <f>D53+D70+D74</f>
        <v>1756.9108100000001</v>
      </c>
      <c r="E10" s="77">
        <f>E53+E70+E74</f>
        <v>1756.9106200000001</v>
      </c>
      <c r="F10" s="119">
        <f>E10/B10</f>
        <v>0.76702545667404176</v>
      </c>
      <c r="G10" s="119">
        <f>E10/C10</f>
        <v>0.76702545667404176</v>
      </c>
      <c r="H10" s="77">
        <f t="shared" ref="H10:AE10" si="2">H53+H70+H74</f>
        <v>0</v>
      </c>
      <c r="I10" s="77">
        <f t="shared" si="2"/>
        <v>0</v>
      </c>
      <c r="J10" s="77">
        <f t="shared" si="2"/>
        <v>77.635999999999996</v>
      </c>
      <c r="K10" s="77">
        <f t="shared" si="2"/>
        <v>0</v>
      </c>
      <c r="L10" s="77">
        <f t="shared" si="2"/>
        <v>142.672</v>
      </c>
      <c r="M10" s="77">
        <f t="shared" si="2"/>
        <v>39.956780000000002</v>
      </c>
      <c r="N10" s="77">
        <f t="shared" si="2"/>
        <v>125.56578999999999</v>
      </c>
      <c r="O10" s="77">
        <f t="shared" si="2"/>
        <v>76.649650000000008</v>
      </c>
      <c r="P10" s="77">
        <f t="shared" si="2"/>
        <v>16.8</v>
      </c>
      <c r="Q10" s="77">
        <f t="shared" si="2"/>
        <v>93.314710000000005</v>
      </c>
      <c r="R10" s="77">
        <f t="shared" si="2"/>
        <v>0</v>
      </c>
      <c r="S10" s="77">
        <f t="shared" si="2"/>
        <v>83.617800000000003</v>
      </c>
      <c r="T10" s="77">
        <f t="shared" si="2"/>
        <v>441.95636000000002</v>
      </c>
      <c r="U10" s="77">
        <f t="shared" si="2"/>
        <v>482.37156000000004</v>
      </c>
      <c r="V10" s="77">
        <f t="shared" si="2"/>
        <v>662.27242000000001</v>
      </c>
      <c r="W10" s="77">
        <f t="shared" si="2"/>
        <v>385.40990999999997</v>
      </c>
      <c r="X10" s="77">
        <f t="shared" si="2"/>
        <v>417.63299999999998</v>
      </c>
      <c r="Y10" s="77">
        <f t="shared" si="2"/>
        <v>409.74538999999999</v>
      </c>
      <c r="Z10" s="77">
        <f t="shared" si="2"/>
        <v>98.928809999999942</v>
      </c>
      <c r="AA10" s="77">
        <f t="shared" si="2"/>
        <v>91.926699999999997</v>
      </c>
      <c r="AB10" s="77">
        <f t="shared" si="2"/>
        <v>307.08621999999997</v>
      </c>
      <c r="AC10" s="77">
        <f t="shared" si="2"/>
        <v>93.918120000000016</v>
      </c>
      <c r="AD10" s="77">
        <f t="shared" si="2"/>
        <v>0</v>
      </c>
      <c r="AE10" s="77">
        <f t="shared" si="2"/>
        <v>0</v>
      </c>
      <c r="AF10" s="77"/>
      <c r="AH10" s="36"/>
    </row>
    <row r="11" spans="1:71" s="35" customFormat="1">
      <c r="A11" s="80" t="s">
        <v>105</v>
      </c>
      <c r="B11" s="81">
        <f>B54+B71</f>
        <v>21323.874940000002</v>
      </c>
      <c r="C11" s="81">
        <f>C54+C71</f>
        <v>20140.22494</v>
      </c>
      <c r="D11" s="81">
        <f>D54+D71</f>
        <v>20140.22694</v>
      </c>
      <c r="E11" s="81">
        <f>E54+E71</f>
        <v>18831.77608</v>
      </c>
      <c r="F11" s="120">
        <f>E11/B11</f>
        <v>0.88313105066447173</v>
      </c>
      <c r="G11" s="120">
        <f>E11/C11</f>
        <v>0.93503305628919153</v>
      </c>
      <c r="H11" s="81">
        <f t="shared" ref="H11:AE11" si="3">H54+H71</f>
        <v>0</v>
      </c>
      <c r="I11" s="81">
        <f t="shared" si="3"/>
        <v>0</v>
      </c>
      <c r="J11" s="81">
        <f t="shared" si="3"/>
        <v>791.65499999999997</v>
      </c>
      <c r="K11" s="81">
        <f t="shared" si="3"/>
        <v>285.31865000000005</v>
      </c>
      <c r="L11" s="81">
        <f t="shared" si="3"/>
        <v>801.83699999999999</v>
      </c>
      <c r="M11" s="81">
        <f t="shared" si="3"/>
        <v>653.10354000000007</v>
      </c>
      <c r="N11" s="81">
        <f t="shared" si="3"/>
        <v>1416.40149</v>
      </c>
      <c r="O11" s="81">
        <f t="shared" si="3"/>
        <v>942.06537000000003</v>
      </c>
      <c r="P11" s="81">
        <f t="shared" si="3"/>
        <v>868.24721999999997</v>
      </c>
      <c r="Q11" s="81">
        <f t="shared" si="3"/>
        <v>746.86071000000004</v>
      </c>
      <c r="R11" s="81">
        <f t="shared" si="3"/>
        <v>4779.55476</v>
      </c>
      <c r="S11" s="81">
        <f t="shared" si="3"/>
        <v>4659.8943799999997</v>
      </c>
      <c r="T11" s="81">
        <f t="shared" si="3"/>
        <v>3828.8481600000005</v>
      </c>
      <c r="U11" s="81">
        <f t="shared" si="3"/>
        <v>4065.1096900000002</v>
      </c>
      <c r="V11" s="81">
        <f t="shared" si="3"/>
        <v>4213.7489999999998</v>
      </c>
      <c r="W11" s="81">
        <f t="shared" si="3"/>
        <v>4393.2898599999999</v>
      </c>
      <c r="X11" s="81">
        <f t="shared" si="3"/>
        <v>902.03300000000002</v>
      </c>
      <c r="Y11" s="81">
        <f t="shared" si="3"/>
        <v>927.32616000000007</v>
      </c>
      <c r="Z11" s="81">
        <f t="shared" si="3"/>
        <v>985.59300000000007</v>
      </c>
      <c r="AA11" s="81">
        <f t="shared" si="3"/>
        <v>1082.6209000000001</v>
      </c>
      <c r="AB11" s="81">
        <f t="shared" si="3"/>
        <v>1552.3063099999999</v>
      </c>
      <c r="AC11" s="81">
        <f t="shared" si="3"/>
        <v>1076.1868200000001</v>
      </c>
      <c r="AD11" s="81">
        <f t="shared" si="3"/>
        <v>1183.6500000000001</v>
      </c>
      <c r="AE11" s="81">
        <f t="shared" si="3"/>
        <v>0</v>
      </c>
      <c r="AF11" s="81"/>
      <c r="AH11" s="36"/>
    </row>
    <row r="12" spans="1:71" s="35" customFormat="1" ht="95.25" customHeight="1">
      <c r="A12" s="133" t="s">
        <v>128</v>
      </c>
      <c r="B12" s="134"/>
      <c r="C12" s="135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7"/>
      <c r="AE12" s="138"/>
      <c r="AF12" s="220" t="s">
        <v>142</v>
      </c>
      <c r="AG12" s="127"/>
      <c r="AH12" s="36"/>
    </row>
    <row r="13" spans="1:71" s="35" customFormat="1" ht="33.75" customHeight="1">
      <c r="A13" s="112" t="s">
        <v>120</v>
      </c>
      <c r="B13" s="113"/>
      <c r="C13" s="113"/>
      <c r="D13" s="113"/>
      <c r="E13" s="113"/>
      <c r="F13" s="114"/>
      <c r="G13" s="114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221"/>
      <c r="AH13" s="151"/>
    </row>
    <row r="14" spans="1:71" s="35" customFormat="1" ht="15.75" customHeight="1">
      <c r="A14" s="100" t="s">
        <v>121</v>
      </c>
      <c r="B14" s="105">
        <f>B16+B15</f>
        <v>10331.503000000001</v>
      </c>
      <c r="C14" s="105">
        <f>C16+C15</f>
        <v>10331.503000000001</v>
      </c>
      <c r="D14" s="105">
        <f>D16+D15</f>
        <v>10319.79927</v>
      </c>
      <c r="E14" s="105">
        <f>E16+E15</f>
        <v>10202.543470000001</v>
      </c>
      <c r="F14" s="104">
        <f>E14/B14</f>
        <v>0.98751783452998076</v>
      </c>
      <c r="G14" s="104">
        <f>E14/C14</f>
        <v>0.98751783452998076</v>
      </c>
      <c r="H14" s="85">
        <f>H16+H15</f>
        <v>0</v>
      </c>
      <c r="I14" s="85">
        <f>I16+I15</f>
        <v>0</v>
      </c>
      <c r="J14" s="85">
        <f t="shared" ref="J14:AE14" si="4">J16+J15</f>
        <v>0</v>
      </c>
      <c r="K14" s="85">
        <f t="shared" si="4"/>
        <v>0</v>
      </c>
      <c r="L14" s="85">
        <f t="shared" si="4"/>
        <v>0</v>
      </c>
      <c r="M14" s="85">
        <f t="shared" si="4"/>
        <v>0</v>
      </c>
      <c r="N14" s="85">
        <f t="shared" si="4"/>
        <v>312</v>
      </c>
      <c r="O14" s="85">
        <f t="shared" si="4"/>
        <v>0</v>
      </c>
      <c r="P14" s="85">
        <f t="shared" si="4"/>
        <v>0</v>
      </c>
      <c r="Q14" s="85">
        <f t="shared" si="4"/>
        <v>0</v>
      </c>
      <c r="R14" s="85">
        <f t="shared" si="4"/>
        <v>3454.576</v>
      </c>
      <c r="S14" s="85">
        <f t="shared" si="4"/>
        <v>3397.7048199999999</v>
      </c>
      <c r="T14" s="85">
        <f t="shared" si="4"/>
        <v>3131.5590000000002</v>
      </c>
      <c r="U14" s="85">
        <f t="shared" si="4"/>
        <v>3356.8503199999996</v>
      </c>
      <c r="V14" s="85">
        <f t="shared" si="4"/>
        <v>3433.3679999999999</v>
      </c>
      <c r="W14" s="85">
        <f t="shared" si="4"/>
        <v>3169.3883299999998</v>
      </c>
      <c r="X14" s="85">
        <f t="shared" si="4"/>
        <v>0</v>
      </c>
      <c r="Y14" s="85">
        <f t="shared" si="4"/>
        <v>278.60000000000002</v>
      </c>
      <c r="Z14" s="85">
        <f t="shared" si="4"/>
        <v>0</v>
      </c>
      <c r="AA14" s="85">
        <f t="shared" si="4"/>
        <v>0</v>
      </c>
      <c r="AB14" s="85">
        <f t="shared" si="4"/>
        <v>0</v>
      </c>
      <c r="AC14" s="85">
        <f t="shared" si="4"/>
        <v>0</v>
      </c>
      <c r="AD14" s="85">
        <f t="shared" si="4"/>
        <v>0</v>
      </c>
      <c r="AE14" s="85">
        <f t="shared" si="4"/>
        <v>0</v>
      </c>
      <c r="AF14" s="221"/>
      <c r="AG14" s="127"/>
      <c r="AH14" s="151"/>
    </row>
    <row r="15" spans="1:71" s="35" customFormat="1" ht="21.75" customHeight="1">
      <c r="A15" s="101" t="s">
        <v>104</v>
      </c>
      <c r="B15" s="86">
        <f>H15+J15+L15+N15+P15+R15+T15+V15+X15+Z15+AB15+AD15</f>
        <v>840</v>
      </c>
      <c r="C15" s="84">
        <f>H15+J15+L15+N15+P15+R15+T15+V15+X15+Z15+AB15</f>
        <v>840</v>
      </c>
      <c r="D15" s="84">
        <f>828297.27/1000</f>
        <v>828.29727000000003</v>
      </c>
      <c r="E15" s="84">
        <f>I15+K15+M15+O15+Q15+S15+U15+W15+Y15+AA15+AC15</f>
        <v>828.29727000000003</v>
      </c>
      <c r="F15" s="106">
        <f>E15/B15</f>
        <v>0.98606817857142859</v>
      </c>
      <c r="G15" s="106">
        <f>E15/C15</f>
        <v>0.98606817857142859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>
        <v>0</v>
      </c>
      <c r="T15" s="84">
        <f>280000/1000</f>
        <v>280</v>
      </c>
      <c r="U15" s="84">
        <f>275870/1000</f>
        <v>275.87</v>
      </c>
      <c r="V15" s="84">
        <f>(280000+280000)/1000</f>
        <v>560</v>
      </c>
      <c r="W15" s="84">
        <f>273827.27/1000</f>
        <v>273.82727</v>
      </c>
      <c r="X15" s="84"/>
      <c r="Y15" s="84">
        <f>278600/1000</f>
        <v>278.60000000000002</v>
      </c>
      <c r="Z15" s="84"/>
      <c r="AA15" s="84"/>
      <c r="AB15" s="84"/>
      <c r="AC15" s="84"/>
      <c r="AD15" s="84"/>
      <c r="AE15" s="84"/>
      <c r="AF15" s="221"/>
      <c r="AH15" s="36"/>
    </row>
    <row r="16" spans="1:71" s="35" customFormat="1" ht="22.5" customHeight="1">
      <c r="A16" s="101" t="s">
        <v>105</v>
      </c>
      <c r="B16" s="86">
        <f>H16+J16+L16+N16+P16+R16+T16+V16+X16+Z16+AB16+AD16</f>
        <v>9491.5030000000006</v>
      </c>
      <c r="C16" s="84">
        <f>H16+J16+L16+N16+P16+R16+T16+V16+X16+Z16+AB16</f>
        <v>9491.5030000000006</v>
      </c>
      <c r="D16" s="84">
        <f>9491502/1000</f>
        <v>9491.5020000000004</v>
      </c>
      <c r="E16" s="84">
        <f>I16+K16+M16+O16+Q16+S16+U16+W16+Y16+AA16+AC16</f>
        <v>9374.2461999999996</v>
      </c>
      <c r="F16" s="106">
        <f>E16/B16</f>
        <v>0.98764612938540919</v>
      </c>
      <c r="G16" s="106">
        <f>E16/C16</f>
        <v>0.98764612938540919</v>
      </c>
      <c r="H16" s="84"/>
      <c r="I16" s="84"/>
      <c r="J16" s="84"/>
      <c r="K16" s="84"/>
      <c r="L16" s="84"/>
      <c r="M16" s="84"/>
      <c r="N16" s="84">
        <f>312000/1000</f>
        <v>312</v>
      </c>
      <c r="O16" s="84"/>
      <c r="P16" s="84"/>
      <c r="Q16" s="84"/>
      <c r="R16" s="84">
        <f>3454576/1000</f>
        <v>3454.576</v>
      </c>
      <c r="S16" s="84">
        <f>3397704.82/1000</f>
        <v>3397.7048199999999</v>
      </c>
      <c r="T16" s="84">
        <f>2851559/1000</f>
        <v>2851.5590000000002</v>
      </c>
      <c r="U16" s="84">
        <f>3080980.32/1000</f>
        <v>3080.9803199999997</v>
      </c>
      <c r="V16" s="84">
        <f>2873368/1000</f>
        <v>2873.3679999999999</v>
      </c>
      <c r="W16" s="84">
        <f>2895561.06/1000</f>
        <v>2895.56106</v>
      </c>
      <c r="X16" s="84"/>
      <c r="Y16" s="84"/>
      <c r="Z16" s="84"/>
      <c r="AA16" s="84"/>
      <c r="AB16" s="84"/>
      <c r="AC16" s="84"/>
      <c r="AD16" s="84"/>
      <c r="AE16" s="84"/>
      <c r="AF16" s="221"/>
      <c r="AH16" s="36"/>
    </row>
    <row r="17" spans="1:34" s="35" customFormat="1" ht="109.5" customHeight="1">
      <c r="A17" s="112" t="s">
        <v>122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221"/>
      <c r="AH17" s="36"/>
    </row>
    <row r="18" spans="1:34" s="35" customFormat="1" ht="22.5" customHeight="1">
      <c r="A18" s="101" t="s">
        <v>105</v>
      </c>
      <c r="B18" s="86">
        <f>H18+J18+L18+N18+P18+R18+T18+V18+X18+Z18+AB18+AD18</f>
        <v>268.00900000000001</v>
      </c>
      <c r="C18" s="84">
        <f>H18+J18+L18+N18+P18+R18+T18+V18+X18+Z18+AB18</f>
        <v>268.00900000000001</v>
      </c>
      <c r="D18" s="126">
        <f>(580009-312000)/1000</f>
        <v>268.00900000000001</v>
      </c>
      <c r="E18" s="84">
        <f>I18+K18+M18+O18+Q18+S18+U18+W18+Y18+AA18+AC18</f>
        <v>223.53621000000004</v>
      </c>
      <c r="F18" s="106">
        <f>E18/B18</f>
        <v>0.83406232626516286</v>
      </c>
      <c r="G18" s="106">
        <f>E18/C18</f>
        <v>0.83406232626516286</v>
      </c>
      <c r="H18" s="108"/>
      <c r="I18" s="108"/>
      <c r="J18" s="108"/>
      <c r="K18" s="108"/>
      <c r="L18" s="108"/>
      <c r="M18" s="108"/>
      <c r="N18" s="110">
        <f>268009/1000</f>
        <v>268.00900000000001</v>
      </c>
      <c r="O18" s="110">
        <f>75470.76/1000</f>
        <v>75.470759999999999</v>
      </c>
      <c r="P18" s="108"/>
      <c r="Q18" s="110">
        <f>6797.45/1000</f>
        <v>6.7974499999999995</v>
      </c>
      <c r="R18" s="108"/>
      <c r="S18" s="110">
        <f>82158/1000</f>
        <v>82.158000000000001</v>
      </c>
      <c r="T18" s="108"/>
      <c r="U18" s="108">
        <f>103560/1000</f>
        <v>103.56</v>
      </c>
      <c r="V18" s="108"/>
      <c r="W18" s="110">
        <v>-44.45</v>
      </c>
      <c r="X18" s="108"/>
      <c r="Y18" s="108"/>
      <c r="Z18" s="108"/>
      <c r="AA18" s="108"/>
      <c r="AB18" s="108"/>
      <c r="AC18" s="108"/>
      <c r="AD18" s="108"/>
      <c r="AE18" s="108"/>
      <c r="AF18" s="221"/>
      <c r="AH18" s="36"/>
    </row>
    <row r="19" spans="1:34" s="35" customFormat="1" ht="39.75" customHeight="1">
      <c r="A19" s="112" t="s">
        <v>123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221"/>
      <c r="AH19" s="36"/>
    </row>
    <row r="20" spans="1:34" s="35" customFormat="1" ht="22.5" customHeight="1">
      <c r="A20" s="101" t="s">
        <v>105</v>
      </c>
      <c r="B20" s="86">
        <f>H20+J20+L20+N20+P20+R20+T20+V20+X20+Z20+AB20+AD20</f>
        <v>52.688000000000002</v>
      </c>
      <c r="C20" s="84">
        <f>H20+J20+L20+N20+P20+R20+T20+V20+X20+Z20+AB20</f>
        <v>52.688000000000002</v>
      </c>
      <c r="D20" s="126">
        <f>52688/1000</f>
        <v>52.688000000000002</v>
      </c>
      <c r="E20" s="84">
        <f>I20+K20+M20+O20+Q20+S20+U20+W20+Y20+AA20+AC20</f>
        <v>52.432609999999997</v>
      </c>
      <c r="F20" s="106">
        <f>E20/B20</f>
        <v>0.99515278621317937</v>
      </c>
      <c r="G20" s="106">
        <f>E20/C20</f>
        <v>0.99515278621317937</v>
      </c>
      <c r="H20" s="108"/>
      <c r="I20" s="108"/>
      <c r="J20" s="108"/>
      <c r="K20" s="108"/>
      <c r="L20" s="110">
        <f>52688/1000</f>
        <v>52.688000000000002</v>
      </c>
      <c r="M20" s="108"/>
      <c r="N20" s="108"/>
      <c r="O20" s="108"/>
      <c r="P20" s="108"/>
      <c r="Q20" s="110">
        <f>4782.61/1000</f>
        <v>4.78261</v>
      </c>
      <c r="R20" s="108"/>
      <c r="S20" s="108">
        <v>0.49</v>
      </c>
      <c r="T20" s="108"/>
      <c r="U20" s="108"/>
      <c r="V20" s="108"/>
      <c r="W20" s="110">
        <v>47.16</v>
      </c>
      <c r="X20" s="108"/>
      <c r="Y20" s="108"/>
      <c r="Z20" s="108"/>
      <c r="AA20" s="108"/>
      <c r="AB20" s="108"/>
      <c r="AC20" s="108"/>
      <c r="AD20" s="108"/>
      <c r="AE20" s="108"/>
      <c r="AF20" s="221"/>
      <c r="AH20" s="36"/>
    </row>
    <row r="21" spans="1:34" s="35" customFormat="1">
      <c r="A21" s="72" t="s">
        <v>25</v>
      </c>
      <c r="B21" s="73">
        <f>B22+B23</f>
        <v>10652.2</v>
      </c>
      <c r="C21" s="73">
        <f>C22+C23</f>
        <v>10652.2</v>
      </c>
      <c r="D21" s="73">
        <f>D22+D23</f>
        <v>10640.49627</v>
      </c>
      <c r="E21" s="73">
        <f>E22+E23</f>
        <v>10478.512289999999</v>
      </c>
      <c r="F21" s="74">
        <f>E21/B21</f>
        <v>0.98369466307429432</v>
      </c>
      <c r="G21" s="74">
        <f>E21/C21</f>
        <v>0.98369466307429432</v>
      </c>
      <c r="H21" s="75">
        <f>H22+H23</f>
        <v>0</v>
      </c>
      <c r="I21" s="75">
        <f>I22+I23</f>
        <v>0</v>
      </c>
      <c r="J21" s="75">
        <f t="shared" ref="J21:AE21" si="5">J22+J23</f>
        <v>0</v>
      </c>
      <c r="K21" s="75">
        <f t="shared" si="5"/>
        <v>0</v>
      </c>
      <c r="L21" s="75">
        <f t="shared" si="5"/>
        <v>52.688000000000002</v>
      </c>
      <c r="M21" s="75">
        <f t="shared" si="5"/>
        <v>0</v>
      </c>
      <c r="N21" s="75">
        <f t="shared" si="5"/>
        <v>580.00900000000001</v>
      </c>
      <c r="O21" s="75">
        <f t="shared" si="5"/>
        <v>75.470759999999999</v>
      </c>
      <c r="P21" s="75">
        <f t="shared" si="5"/>
        <v>0</v>
      </c>
      <c r="Q21" s="75">
        <f t="shared" si="5"/>
        <v>11.58006</v>
      </c>
      <c r="R21" s="75">
        <f t="shared" si="5"/>
        <v>3454.576</v>
      </c>
      <c r="S21" s="75">
        <f t="shared" si="5"/>
        <v>3480.3528199999996</v>
      </c>
      <c r="T21" s="75">
        <f t="shared" si="5"/>
        <v>3131.5590000000002</v>
      </c>
      <c r="U21" s="75">
        <f t="shared" si="5"/>
        <v>3460.4103199999995</v>
      </c>
      <c r="V21" s="75">
        <f t="shared" si="5"/>
        <v>3433.3679999999999</v>
      </c>
      <c r="W21" s="75">
        <f t="shared" si="5"/>
        <v>3172.0983299999998</v>
      </c>
      <c r="X21" s="75">
        <f t="shared" si="5"/>
        <v>0</v>
      </c>
      <c r="Y21" s="75">
        <f t="shared" si="5"/>
        <v>278.60000000000002</v>
      </c>
      <c r="Z21" s="75">
        <f t="shared" si="5"/>
        <v>0</v>
      </c>
      <c r="AA21" s="75">
        <f t="shared" si="5"/>
        <v>0</v>
      </c>
      <c r="AB21" s="75">
        <f t="shared" si="5"/>
        <v>0</v>
      </c>
      <c r="AC21" s="75">
        <f t="shared" si="5"/>
        <v>0</v>
      </c>
      <c r="AD21" s="75">
        <f t="shared" si="5"/>
        <v>0</v>
      </c>
      <c r="AE21" s="75">
        <f t="shared" si="5"/>
        <v>0</v>
      </c>
      <c r="AF21" s="221"/>
      <c r="AH21" s="36"/>
    </row>
    <row r="22" spans="1:34" s="35" customFormat="1">
      <c r="A22" s="76" t="s">
        <v>104</v>
      </c>
      <c r="B22" s="77">
        <f>B15</f>
        <v>840</v>
      </c>
      <c r="C22" s="77">
        <f>C15</f>
        <v>840</v>
      </c>
      <c r="D22" s="77">
        <f>D15</f>
        <v>828.29727000000003</v>
      </c>
      <c r="E22" s="77">
        <f>E15</f>
        <v>828.29727000000003</v>
      </c>
      <c r="F22" s="79">
        <f>E22/B22</f>
        <v>0.98606817857142859</v>
      </c>
      <c r="G22" s="79">
        <f>E22/C22</f>
        <v>0.98606817857142859</v>
      </c>
      <c r="H22" s="77">
        <f>H15</f>
        <v>0</v>
      </c>
      <c r="I22" s="77">
        <f>I15</f>
        <v>0</v>
      </c>
      <c r="J22" s="77">
        <f t="shared" ref="J22:AD22" si="6">J15</f>
        <v>0</v>
      </c>
      <c r="K22" s="77">
        <f t="shared" si="6"/>
        <v>0</v>
      </c>
      <c r="L22" s="77">
        <f t="shared" si="6"/>
        <v>0</v>
      </c>
      <c r="M22" s="77">
        <f t="shared" si="6"/>
        <v>0</v>
      </c>
      <c r="N22" s="77">
        <f t="shared" si="6"/>
        <v>0</v>
      </c>
      <c r="O22" s="77">
        <f t="shared" si="6"/>
        <v>0</v>
      </c>
      <c r="P22" s="77">
        <f t="shared" si="6"/>
        <v>0</v>
      </c>
      <c r="Q22" s="77">
        <f t="shared" si="6"/>
        <v>0</v>
      </c>
      <c r="R22" s="77">
        <f t="shared" si="6"/>
        <v>0</v>
      </c>
      <c r="S22" s="77">
        <f t="shared" si="6"/>
        <v>0</v>
      </c>
      <c r="T22" s="77">
        <f t="shared" si="6"/>
        <v>280</v>
      </c>
      <c r="U22" s="77">
        <f t="shared" si="6"/>
        <v>275.87</v>
      </c>
      <c r="V22" s="77">
        <f t="shared" si="6"/>
        <v>560</v>
      </c>
      <c r="W22" s="77">
        <f t="shared" si="6"/>
        <v>273.82727</v>
      </c>
      <c r="X22" s="77">
        <f t="shared" si="6"/>
        <v>0</v>
      </c>
      <c r="Y22" s="77">
        <f t="shared" si="6"/>
        <v>278.60000000000002</v>
      </c>
      <c r="Z22" s="77">
        <f t="shared" si="6"/>
        <v>0</v>
      </c>
      <c r="AA22" s="77">
        <f t="shared" si="6"/>
        <v>0</v>
      </c>
      <c r="AB22" s="77">
        <f t="shared" si="6"/>
        <v>0</v>
      </c>
      <c r="AC22" s="77">
        <f t="shared" si="6"/>
        <v>0</v>
      </c>
      <c r="AD22" s="77">
        <f t="shared" si="6"/>
        <v>0</v>
      </c>
      <c r="AE22" s="77">
        <f>AE15</f>
        <v>0</v>
      </c>
      <c r="AF22" s="221"/>
      <c r="AH22" s="36"/>
    </row>
    <row r="23" spans="1:34" s="35" customFormat="1">
      <c r="A23" s="80" t="s">
        <v>105</v>
      </c>
      <c r="B23" s="81">
        <f>B16+B18+B20</f>
        <v>9812.2000000000007</v>
      </c>
      <c r="C23" s="81">
        <f>C16+C18+C20</f>
        <v>9812.2000000000007</v>
      </c>
      <c r="D23" s="81">
        <f t="shared" ref="D23:E23" si="7">D16+D18+D20</f>
        <v>9812.1990000000005</v>
      </c>
      <c r="E23" s="81">
        <f t="shared" si="7"/>
        <v>9650.2150199999996</v>
      </c>
      <c r="F23" s="83">
        <f>E23/B23</f>
        <v>0.98349147184117724</v>
      </c>
      <c r="G23" s="83">
        <f>E23/C23</f>
        <v>0.98349147184117724</v>
      </c>
      <c r="H23" s="81">
        <f>H16+H18+H20</f>
        <v>0</v>
      </c>
      <c r="I23" s="81">
        <f t="shared" ref="I23:AE23" si="8">I16+I18+I20</f>
        <v>0</v>
      </c>
      <c r="J23" s="81">
        <f t="shared" si="8"/>
        <v>0</v>
      </c>
      <c r="K23" s="81">
        <f t="shared" si="8"/>
        <v>0</v>
      </c>
      <c r="L23" s="81">
        <f t="shared" si="8"/>
        <v>52.688000000000002</v>
      </c>
      <c r="M23" s="81">
        <f t="shared" si="8"/>
        <v>0</v>
      </c>
      <c r="N23" s="81">
        <f t="shared" si="8"/>
        <v>580.00900000000001</v>
      </c>
      <c r="O23" s="81">
        <f t="shared" si="8"/>
        <v>75.470759999999999</v>
      </c>
      <c r="P23" s="81">
        <f t="shared" si="8"/>
        <v>0</v>
      </c>
      <c r="Q23" s="81">
        <f t="shared" si="8"/>
        <v>11.58006</v>
      </c>
      <c r="R23" s="81">
        <f t="shared" si="8"/>
        <v>3454.576</v>
      </c>
      <c r="S23" s="81">
        <f t="shared" si="8"/>
        <v>3480.3528199999996</v>
      </c>
      <c r="T23" s="81">
        <f t="shared" si="8"/>
        <v>2851.5590000000002</v>
      </c>
      <c r="U23" s="81">
        <f t="shared" si="8"/>
        <v>3184.5403199999996</v>
      </c>
      <c r="V23" s="81">
        <f t="shared" si="8"/>
        <v>2873.3679999999999</v>
      </c>
      <c r="W23" s="81">
        <f t="shared" si="8"/>
        <v>2898.27106</v>
      </c>
      <c r="X23" s="81">
        <f t="shared" si="8"/>
        <v>0</v>
      </c>
      <c r="Y23" s="81">
        <f t="shared" si="8"/>
        <v>0</v>
      </c>
      <c r="Z23" s="81">
        <f t="shared" si="8"/>
        <v>0</v>
      </c>
      <c r="AA23" s="81">
        <f t="shared" si="8"/>
        <v>0</v>
      </c>
      <c r="AB23" s="81">
        <f t="shared" si="8"/>
        <v>0</v>
      </c>
      <c r="AC23" s="81">
        <f t="shared" si="8"/>
        <v>0</v>
      </c>
      <c r="AD23" s="81">
        <f t="shared" si="8"/>
        <v>0</v>
      </c>
      <c r="AE23" s="81">
        <f t="shared" si="8"/>
        <v>0</v>
      </c>
      <c r="AF23" s="222"/>
      <c r="AH23" s="36"/>
    </row>
    <row r="24" spans="1:34" s="35" customFormat="1" ht="198.75" customHeight="1">
      <c r="A24" s="133" t="s">
        <v>113</v>
      </c>
      <c r="B24" s="139"/>
      <c r="C24" s="140"/>
      <c r="D24" s="140"/>
      <c r="E24" s="140"/>
      <c r="F24" s="141"/>
      <c r="G24" s="141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2"/>
      <c r="AF24" s="220" t="s">
        <v>157</v>
      </c>
      <c r="AH24" s="36"/>
    </row>
    <row r="25" spans="1:34" s="35" customFormat="1" ht="18.75" customHeight="1">
      <c r="A25" s="72" t="s">
        <v>25</v>
      </c>
      <c r="B25" s="73">
        <f>B27+B26</f>
        <v>1313.2</v>
      </c>
      <c r="C25" s="73">
        <f>C27+C26</f>
        <v>1313.2</v>
      </c>
      <c r="D25" s="73">
        <f>D27+D26</f>
        <v>1296.04999</v>
      </c>
      <c r="E25" s="73">
        <f>E27+E26</f>
        <v>1250.79134</v>
      </c>
      <c r="F25" s="74">
        <f>E25/B25</f>
        <v>0.95247589095339624</v>
      </c>
      <c r="G25" s="74">
        <f>E25/C25</f>
        <v>0.95247589095339624</v>
      </c>
      <c r="H25" s="73">
        <f>H27+H26</f>
        <v>0</v>
      </c>
      <c r="I25" s="73">
        <f t="shared" ref="I25:AE25" si="9">I27+I26</f>
        <v>0</v>
      </c>
      <c r="J25" s="73">
        <f t="shared" si="9"/>
        <v>147.71600000000001</v>
      </c>
      <c r="K25" s="73">
        <f t="shared" si="9"/>
        <v>129.91938000000002</v>
      </c>
      <c r="L25" s="73">
        <f t="shared" si="9"/>
        <v>160.98699999999999</v>
      </c>
      <c r="M25" s="73">
        <f t="shared" si="9"/>
        <v>163.38325</v>
      </c>
      <c r="N25" s="73">
        <f t="shared" si="9"/>
        <v>189.02826000000002</v>
      </c>
      <c r="O25" s="73">
        <f t="shared" si="9"/>
        <v>183.77611999999999</v>
      </c>
      <c r="P25" s="73">
        <f t="shared" si="9"/>
        <v>209.667</v>
      </c>
      <c r="Q25" s="73">
        <f t="shared" si="9"/>
        <v>210.67355000000001</v>
      </c>
      <c r="R25" s="73">
        <f t="shared" si="9"/>
        <v>1.6</v>
      </c>
      <c r="S25" s="73">
        <f t="shared" si="9"/>
        <v>0</v>
      </c>
      <c r="T25" s="73">
        <f t="shared" si="9"/>
        <v>0</v>
      </c>
      <c r="U25" s="73">
        <f t="shared" si="9"/>
        <v>0</v>
      </c>
      <c r="V25" s="73">
        <f t="shared" si="9"/>
        <v>0</v>
      </c>
      <c r="W25" s="73">
        <f t="shared" si="9"/>
        <v>0</v>
      </c>
      <c r="X25" s="73">
        <f t="shared" si="9"/>
        <v>207.22800000000001</v>
      </c>
      <c r="Y25" s="73">
        <f t="shared" si="9"/>
        <v>204.20670000000001</v>
      </c>
      <c r="Z25" s="73">
        <f t="shared" si="9"/>
        <v>206.05800000000002</v>
      </c>
      <c r="AA25" s="73">
        <f t="shared" si="9"/>
        <v>211.16945999999999</v>
      </c>
      <c r="AB25" s="73">
        <f t="shared" si="9"/>
        <v>190.91574</v>
      </c>
      <c r="AC25" s="73">
        <f t="shared" si="9"/>
        <v>147.66288000000003</v>
      </c>
      <c r="AD25" s="73">
        <f t="shared" si="9"/>
        <v>0</v>
      </c>
      <c r="AE25" s="73">
        <f t="shared" si="9"/>
        <v>0</v>
      </c>
      <c r="AF25" s="221"/>
      <c r="AG25" s="127"/>
      <c r="AH25" s="151"/>
    </row>
    <row r="26" spans="1:34" s="35" customFormat="1" ht="18.75" customHeight="1">
      <c r="A26" s="76" t="s">
        <v>104</v>
      </c>
      <c r="B26" s="77">
        <f>H26+J26+L26+N26+P26+R26+T26+V26+X26+Z26+AB26+AD26</f>
        <v>113.39999999999999</v>
      </c>
      <c r="C26" s="78">
        <f>H26+J26+L26+N26+P26+R26+T26+V26+X26+Z26+AB26</f>
        <v>113.39999999999999</v>
      </c>
      <c r="D26" s="84">
        <f>96249.99/1000</f>
        <v>96.249990000000011</v>
      </c>
      <c r="E26" s="78">
        <f>I26+K26+M26+O26+Q26+S26+U26+W26+Y26+AA26+AC26</f>
        <v>96.249989999999997</v>
      </c>
      <c r="F26" s="79">
        <f>E26/B26</f>
        <v>0.84876534391534397</v>
      </c>
      <c r="G26" s="79">
        <f>E26/C26</f>
        <v>0.84876534391534397</v>
      </c>
      <c r="H26" s="78">
        <v>0</v>
      </c>
      <c r="I26" s="78">
        <v>0</v>
      </c>
      <c r="J26" s="78">
        <f>14000/1000</f>
        <v>14</v>
      </c>
      <c r="K26" s="78"/>
      <c r="L26" s="78">
        <f>15400/1000</f>
        <v>15.4</v>
      </c>
      <c r="M26" s="78">
        <f>13999.99/1000</f>
        <v>13.99999</v>
      </c>
      <c r="N26" s="78">
        <f>16800/1000</f>
        <v>16.8</v>
      </c>
      <c r="O26" s="78">
        <f>15400/1000</f>
        <v>15.4</v>
      </c>
      <c r="P26" s="78">
        <f>16800/1000</f>
        <v>16.8</v>
      </c>
      <c r="Q26" s="78">
        <f>16800/1000</f>
        <v>16.8</v>
      </c>
      <c r="R26" s="78"/>
      <c r="S26" s="78">
        <v>16.8</v>
      </c>
      <c r="T26" s="78"/>
      <c r="U26" s="78"/>
      <c r="V26" s="78"/>
      <c r="W26" s="78"/>
      <c r="X26" s="78">
        <f>16800/1000</f>
        <v>16.8</v>
      </c>
      <c r="Y26" s="78"/>
      <c r="Z26" s="78">
        <f>16800/1000</f>
        <v>16.8</v>
      </c>
      <c r="AA26" s="78">
        <f>16450/1000</f>
        <v>16.45</v>
      </c>
      <c r="AB26" s="78">
        <f>16800/1000</f>
        <v>16.8</v>
      </c>
      <c r="AC26" s="78">
        <f>16800/1000</f>
        <v>16.8</v>
      </c>
      <c r="AD26" s="78"/>
      <c r="AE26" s="78"/>
      <c r="AF26" s="221"/>
      <c r="AG26" s="37"/>
      <c r="AH26" s="151"/>
    </row>
    <row r="27" spans="1:34" s="35" customFormat="1" ht="68.25" customHeight="1">
      <c r="A27" s="80" t="s">
        <v>105</v>
      </c>
      <c r="B27" s="81">
        <f>H27+J27+L27+N27+P27+R27+T27+V27+X27+Z27+AB27+AD27</f>
        <v>1199.8</v>
      </c>
      <c r="C27" s="82">
        <f>H27+J27+L27+N27+P27+R27+T27+V27+X27+Z27+AB27</f>
        <v>1199.8</v>
      </c>
      <c r="D27" s="82">
        <f>1199800/1000</f>
        <v>1199.8</v>
      </c>
      <c r="E27" s="82">
        <f>I27+K27+M27+O27+Q27+S27+U27+W27+Y27+AA27+AC27</f>
        <v>1154.54135</v>
      </c>
      <c r="F27" s="83">
        <f>E27/B27</f>
        <v>0.96227817136189364</v>
      </c>
      <c r="G27" s="83">
        <f>E27/C27</f>
        <v>0.96227817136189364</v>
      </c>
      <c r="H27" s="82">
        <v>0</v>
      </c>
      <c r="I27" s="82">
        <v>0</v>
      </c>
      <c r="J27" s="82">
        <f>133716/1000</f>
        <v>133.71600000000001</v>
      </c>
      <c r="K27" s="82">
        <f>129919.38/1000</f>
        <v>129.91938000000002</v>
      </c>
      <c r="L27" s="82">
        <f>145587/1000</f>
        <v>145.58699999999999</v>
      </c>
      <c r="M27" s="82">
        <f>149383.26/1000</f>
        <v>149.38326000000001</v>
      </c>
      <c r="N27" s="82">
        <f>172228.26/1000</f>
        <v>172.22826000000001</v>
      </c>
      <c r="O27" s="82">
        <f>168376.12/1000</f>
        <v>168.37611999999999</v>
      </c>
      <c r="P27" s="82">
        <f>192867/1000</f>
        <v>192.86699999999999</v>
      </c>
      <c r="Q27" s="82">
        <f>193873.55/1000</f>
        <v>193.87354999999999</v>
      </c>
      <c r="R27" s="82">
        <f>1600/1000</f>
        <v>1.6</v>
      </c>
      <c r="S27" s="82">
        <v>-16.8</v>
      </c>
      <c r="T27" s="82"/>
      <c r="U27" s="82"/>
      <c r="V27" s="82"/>
      <c r="W27" s="82"/>
      <c r="X27" s="82">
        <f>190428/1000</f>
        <v>190.428</v>
      </c>
      <c r="Y27" s="82">
        <f>204206.7/1000</f>
        <v>204.20670000000001</v>
      </c>
      <c r="Z27" s="82">
        <f>189258/1000</f>
        <v>189.25800000000001</v>
      </c>
      <c r="AA27" s="82">
        <f>194719.46/1000</f>
        <v>194.71946</v>
      </c>
      <c r="AB27" s="82">
        <f>174115.74/1000</f>
        <v>174.11573999999999</v>
      </c>
      <c r="AC27" s="82">
        <f>130862.88/1000</f>
        <v>130.86288000000002</v>
      </c>
      <c r="AD27" s="82"/>
      <c r="AE27" s="82"/>
      <c r="AF27" s="222"/>
      <c r="AG27" s="37"/>
      <c r="AH27" s="36"/>
    </row>
    <row r="28" spans="1:34" s="35" customFormat="1" ht="98.25" customHeight="1">
      <c r="A28" s="133" t="s">
        <v>114</v>
      </c>
      <c r="B28" s="143"/>
      <c r="C28" s="140"/>
      <c r="D28" s="140"/>
      <c r="E28" s="140"/>
      <c r="F28" s="141"/>
      <c r="G28" s="141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2"/>
      <c r="AF28" s="223" t="s">
        <v>161</v>
      </c>
      <c r="AG28" s="127"/>
      <c r="AH28" s="36"/>
    </row>
    <row r="29" spans="1:34" s="35" customFormat="1" ht="33.75" customHeight="1">
      <c r="A29" s="112" t="s">
        <v>120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224"/>
      <c r="AH29" s="36"/>
    </row>
    <row r="30" spans="1:34" s="35" customFormat="1" ht="15.75" customHeight="1">
      <c r="A30" s="100" t="s">
        <v>121</v>
      </c>
      <c r="B30" s="105">
        <f>B32+B31</f>
        <v>931.77879999999993</v>
      </c>
      <c r="C30" s="105">
        <f>C32+C31</f>
        <v>931.77879999999993</v>
      </c>
      <c r="D30" s="105">
        <f>D32+D31</f>
        <v>854.42569000000003</v>
      </c>
      <c r="E30" s="105">
        <f>E32+E31</f>
        <v>842.45479</v>
      </c>
      <c r="F30" s="104">
        <f>E30/B30</f>
        <v>0.90413603529077935</v>
      </c>
      <c r="G30" s="104">
        <f>E30/C30</f>
        <v>0.90413603529077935</v>
      </c>
      <c r="H30" s="85">
        <f>H32+H31</f>
        <v>0</v>
      </c>
      <c r="I30" s="85">
        <f>I32+I31</f>
        <v>0</v>
      </c>
      <c r="J30" s="85">
        <f t="shared" ref="J30:AE30" si="10">J32+J31</f>
        <v>232.21299999999999</v>
      </c>
      <c r="K30" s="85">
        <f t="shared" si="10"/>
        <v>14.339270000000001</v>
      </c>
      <c r="L30" s="85">
        <f t="shared" si="10"/>
        <v>202.69200000000001</v>
      </c>
      <c r="M30" s="85">
        <f t="shared" si="10"/>
        <v>59.977069999999998</v>
      </c>
      <c r="N30" s="85">
        <f t="shared" si="10"/>
        <v>216.94578999999999</v>
      </c>
      <c r="O30" s="85">
        <f t="shared" si="10"/>
        <v>167.07265999999998</v>
      </c>
      <c r="P30" s="85">
        <f t="shared" si="10"/>
        <v>102.35119999999999</v>
      </c>
      <c r="Q30" s="85">
        <f t="shared" si="10"/>
        <v>123.53781000000001</v>
      </c>
      <c r="R30" s="85">
        <f t="shared" si="10"/>
        <v>0</v>
      </c>
      <c r="S30" s="85">
        <f t="shared" si="10"/>
        <v>120.02308000000001</v>
      </c>
      <c r="T30" s="85">
        <f t="shared" si="10"/>
        <v>0</v>
      </c>
      <c r="U30" s="85">
        <f t="shared" si="10"/>
        <v>112.65867</v>
      </c>
      <c r="V30" s="85">
        <f t="shared" si="10"/>
        <v>31.815000000000001</v>
      </c>
      <c r="W30" s="85">
        <f t="shared" si="10"/>
        <v>122.47253000000001</v>
      </c>
      <c r="X30" s="85">
        <f t="shared" si="10"/>
        <v>63.633000000000003</v>
      </c>
      <c r="Y30" s="85">
        <f t="shared" si="10"/>
        <v>62.525980000000004</v>
      </c>
      <c r="Z30" s="85">
        <f t="shared" si="10"/>
        <v>82.128809999999945</v>
      </c>
      <c r="AA30" s="85">
        <f t="shared" si="10"/>
        <v>55.909619999999997</v>
      </c>
      <c r="AB30" s="85">
        <f t="shared" si="10"/>
        <v>0</v>
      </c>
      <c r="AC30" s="85">
        <f t="shared" si="10"/>
        <v>3.9381000000000004</v>
      </c>
      <c r="AD30" s="85">
        <f t="shared" si="10"/>
        <v>0</v>
      </c>
      <c r="AE30" s="85">
        <f t="shared" si="10"/>
        <v>0</v>
      </c>
      <c r="AF30" s="224"/>
      <c r="AH30" s="36"/>
    </row>
    <row r="31" spans="1:34" s="35" customFormat="1" ht="21.75" customHeight="1">
      <c r="A31" s="101" t="s">
        <v>104</v>
      </c>
      <c r="B31" s="86">
        <f>H31+J31+L31+N31+P31+R31+T31+V31+X31+Z31+AB31+AD31</f>
        <v>477.25059999999991</v>
      </c>
      <c r="C31" s="84">
        <f>H31+J31+L31+N31+P31+R31+T31+V31+X31+Z31+AB31</f>
        <v>477.25059999999991</v>
      </c>
      <c r="D31" s="84">
        <f>399897.49/1000</f>
        <v>399.89749</v>
      </c>
      <c r="E31" s="84">
        <f>I31+K31+M31+O31+Q31+S31+U31+W31+Y31+AA31+AC31</f>
        <v>399.89748999999995</v>
      </c>
      <c r="F31" s="106">
        <f>E31/B31</f>
        <v>0.83791930277300863</v>
      </c>
      <c r="G31" s="106">
        <f>E31/C31</f>
        <v>0.83791930277300863</v>
      </c>
      <c r="H31" s="109"/>
      <c r="I31" s="108"/>
      <c r="J31" s="110">
        <f>63636/1000</f>
        <v>63.636000000000003</v>
      </c>
      <c r="K31" s="108"/>
      <c r="L31" s="110">
        <f>127272/1000</f>
        <v>127.27200000000001</v>
      </c>
      <c r="M31" s="110">
        <f>25956.79/1000</f>
        <v>25.956790000000002</v>
      </c>
      <c r="N31" s="110">
        <f>108765.79/1000</f>
        <v>108.76579</v>
      </c>
      <c r="O31" s="110">
        <f>61249.65/1000</f>
        <v>61.249650000000003</v>
      </c>
      <c r="P31" s="110"/>
      <c r="Q31" s="110">
        <f>76514.71/1000</f>
        <v>76.514710000000008</v>
      </c>
      <c r="R31" s="110"/>
      <c r="S31" s="110">
        <f>66817.8/1000</f>
        <v>66.817800000000005</v>
      </c>
      <c r="T31" s="110"/>
      <c r="U31" s="110">
        <f>44545.2/1000</f>
        <v>44.545199999999994</v>
      </c>
      <c r="V31" s="110">
        <f>31815/1000</f>
        <v>31.815000000000001</v>
      </c>
      <c r="W31" s="110">
        <f>56404.64/1000</f>
        <v>56.404640000000001</v>
      </c>
      <c r="X31" s="110">
        <f>63633/1000</f>
        <v>63.633000000000003</v>
      </c>
      <c r="Y31" s="110">
        <f>31818/1000</f>
        <v>31.818000000000001</v>
      </c>
      <c r="Z31" s="110">
        <f>(559378.21-477249.4)/1000</f>
        <v>82.128809999999945</v>
      </c>
      <c r="AA31" s="110">
        <f>20681.7/1000</f>
        <v>20.681699999999999</v>
      </c>
      <c r="AB31" s="108"/>
      <c r="AC31" s="110">
        <f>15909/1000</f>
        <v>15.909000000000001</v>
      </c>
      <c r="AD31" s="108"/>
      <c r="AE31" s="108"/>
      <c r="AF31" s="224"/>
      <c r="AH31" s="36"/>
    </row>
    <row r="32" spans="1:34" s="35" customFormat="1" ht="22.5" customHeight="1">
      <c r="A32" s="101" t="s">
        <v>105</v>
      </c>
      <c r="B32" s="86">
        <f>H32+J32+L32+N32+P32+R32+T32+V32+X32+Z32+AB32+AD32</f>
        <v>454.52820000000003</v>
      </c>
      <c r="C32" s="84">
        <f>H32+J32+L32+N32+P32+R32+T32+V32+X32+Z32+AB32</f>
        <v>454.52820000000003</v>
      </c>
      <c r="D32" s="84">
        <f>454528.2/1000</f>
        <v>454.52820000000003</v>
      </c>
      <c r="E32" s="84">
        <f>I32+K32+M32+O32+Q32+S32+U32+W32+Y32+AA32+AC32</f>
        <v>442.55730000000005</v>
      </c>
      <c r="F32" s="106">
        <f>E32/B32</f>
        <v>0.97366302024824869</v>
      </c>
      <c r="G32" s="106">
        <f>E32/C32</f>
        <v>0.97366302024824869</v>
      </c>
      <c r="H32" s="108"/>
      <c r="I32" s="108"/>
      <c r="J32" s="110">
        <f>(189577-21000)/1000</f>
        <v>168.577</v>
      </c>
      <c r="K32" s="110">
        <f>14339.27/1000</f>
        <v>14.339270000000001</v>
      </c>
      <c r="L32" s="110">
        <f>(36706+38714)/1000</f>
        <v>75.42</v>
      </c>
      <c r="M32" s="110">
        <f>34020.28/1000</f>
        <v>34.02028</v>
      </c>
      <c r="N32" s="110">
        <f>(54934+53246)/1000</f>
        <v>108.18</v>
      </c>
      <c r="O32" s="110">
        <f>(105823.01)/1000</f>
        <v>105.82301</v>
      </c>
      <c r="P32" s="110">
        <f>(174816-21000-51464.8)/1000</f>
        <v>102.35119999999999</v>
      </c>
      <c r="Q32" s="110">
        <f>47023.1/1000</f>
        <v>47.023099999999999</v>
      </c>
      <c r="R32" s="110">
        <f>(166881-166881)/1000</f>
        <v>0</v>
      </c>
      <c r="S32" s="110">
        <f>53205.28/1000</f>
        <v>53.205280000000002</v>
      </c>
      <c r="T32" s="110">
        <f>(160879-160879)/1000</f>
        <v>0</v>
      </c>
      <c r="U32" s="110">
        <f>68113.47/1000</f>
        <v>68.113470000000007</v>
      </c>
      <c r="V32" s="108">
        <f>(106610-10500-96110)/1000</f>
        <v>0</v>
      </c>
      <c r="W32" s="110">
        <f>66067.89/1000</f>
        <v>66.067890000000006</v>
      </c>
      <c r="X32" s="110">
        <f>(64195-64195)/1000</f>
        <v>0</v>
      </c>
      <c r="Y32" s="110">
        <f>30707.98/1000</f>
        <v>30.707979999999999</v>
      </c>
      <c r="Z32" s="110">
        <f>(80642-80642)/1000</f>
        <v>0</v>
      </c>
      <c r="AA32" s="110">
        <f>35227.92/1000</f>
        <v>35.227919999999997</v>
      </c>
      <c r="AB32" s="108"/>
      <c r="AC32" s="110">
        <f>-11970.9/1000</f>
        <v>-11.9709</v>
      </c>
      <c r="AD32" s="108"/>
      <c r="AE32" s="108"/>
      <c r="AF32" s="224"/>
      <c r="AG32" s="127"/>
      <c r="AH32" s="151"/>
    </row>
    <row r="33" spans="1:34" s="35" customFormat="1" ht="101.25" customHeight="1">
      <c r="A33" s="112" t="s">
        <v>122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224"/>
      <c r="AH33" s="151"/>
    </row>
    <row r="34" spans="1:34" s="35" customFormat="1" ht="22.5" customHeight="1">
      <c r="A34" s="101" t="s">
        <v>105</v>
      </c>
      <c r="B34" s="86">
        <f>H34+J34+L34+N34+P34+R34+T34+V34+X34+Z34+AB34+AD34</f>
        <v>26.25</v>
      </c>
      <c r="C34" s="84">
        <f>H34+J34+L34+N34+P34+R34+T34+V34+X34+Z34+AB34</f>
        <v>26.25</v>
      </c>
      <c r="D34" s="84">
        <f>(42000-15750)/1000</f>
        <v>26.25</v>
      </c>
      <c r="E34" s="84">
        <f>I34+K34+M34+O34+Q34+S34+U34+W34+Y34+AA34+AC34</f>
        <v>19.40625</v>
      </c>
      <c r="F34" s="106">
        <f>E34/B34</f>
        <v>0.73928571428571432</v>
      </c>
      <c r="G34" s="106">
        <f>E34/C34</f>
        <v>0.73928571428571432</v>
      </c>
      <c r="H34" s="108"/>
      <c r="I34" s="108"/>
      <c r="J34" s="109">
        <f>(21000-1638)/1000</f>
        <v>19.361999999999998</v>
      </c>
      <c r="K34" s="108"/>
      <c r="L34" s="108"/>
      <c r="M34" s="108"/>
      <c r="N34" s="108"/>
      <c r="O34" s="110">
        <f>9149.25/1000</f>
        <v>9.1492500000000003</v>
      </c>
      <c r="P34" s="109">
        <f>(21000-14112)/1000</f>
        <v>6.8879999999999999</v>
      </c>
      <c r="Q34" s="108"/>
      <c r="R34" s="108"/>
      <c r="S34" s="110">
        <f>3419/1000</f>
        <v>3.419</v>
      </c>
      <c r="T34" s="108"/>
      <c r="U34" s="110">
        <f>3419/1000</f>
        <v>3.419</v>
      </c>
      <c r="V34" s="110">
        <f>(10500-10500)/1000</f>
        <v>0</v>
      </c>
      <c r="W34" s="108"/>
      <c r="X34" s="108"/>
      <c r="Y34" s="110">
        <f>2568/1000</f>
        <v>2.5680000000000001</v>
      </c>
      <c r="Z34" s="108"/>
      <c r="AA34" s="110">
        <f>851/1000</f>
        <v>0.85099999999999998</v>
      </c>
      <c r="AB34" s="108"/>
      <c r="AC34" s="108"/>
      <c r="AD34" s="108"/>
      <c r="AE34" s="108"/>
      <c r="AF34" s="224"/>
      <c r="AH34" s="36"/>
    </row>
    <row r="35" spans="1:34" s="35" customFormat="1" ht="20.25">
      <c r="A35" s="72" t="s">
        <v>25</v>
      </c>
      <c r="B35" s="73">
        <f>B36+B37</f>
        <v>958.02879999999993</v>
      </c>
      <c r="C35" s="73">
        <f>C36+C37</f>
        <v>958.02879999999993</v>
      </c>
      <c r="D35" s="73">
        <f>D36+D37</f>
        <v>880.67569000000003</v>
      </c>
      <c r="E35" s="73">
        <f>E36+E37</f>
        <v>861.86104</v>
      </c>
      <c r="F35" s="74">
        <f>E35/B35</f>
        <v>0.89961913462309284</v>
      </c>
      <c r="G35" s="74">
        <f>E35/C35</f>
        <v>0.89961913462309284</v>
      </c>
      <c r="H35" s="75">
        <f>H36+H37</f>
        <v>0</v>
      </c>
      <c r="I35" s="75">
        <f t="shared" ref="I35:AE35" si="11">I36+I37</f>
        <v>0</v>
      </c>
      <c r="J35" s="75">
        <f t="shared" si="11"/>
        <v>251.57499999999999</v>
      </c>
      <c r="K35" s="75">
        <f t="shared" si="11"/>
        <v>14.339270000000001</v>
      </c>
      <c r="L35" s="75">
        <f t="shared" si="11"/>
        <v>202.69200000000001</v>
      </c>
      <c r="M35" s="75">
        <f t="shared" si="11"/>
        <v>59.977069999999998</v>
      </c>
      <c r="N35" s="75">
        <f t="shared" si="11"/>
        <v>216.94578999999999</v>
      </c>
      <c r="O35" s="75">
        <f t="shared" si="11"/>
        <v>176.22190999999998</v>
      </c>
      <c r="P35" s="75">
        <f t="shared" si="11"/>
        <v>109.2392</v>
      </c>
      <c r="Q35" s="75">
        <f t="shared" si="11"/>
        <v>123.53781000000001</v>
      </c>
      <c r="R35" s="75">
        <f t="shared" si="11"/>
        <v>0</v>
      </c>
      <c r="S35" s="75">
        <f t="shared" si="11"/>
        <v>123.44208</v>
      </c>
      <c r="T35" s="75">
        <f t="shared" si="11"/>
        <v>0</v>
      </c>
      <c r="U35" s="75">
        <f t="shared" si="11"/>
        <v>116.07767</v>
      </c>
      <c r="V35" s="75">
        <f t="shared" si="11"/>
        <v>31.815000000000001</v>
      </c>
      <c r="W35" s="75">
        <f t="shared" si="11"/>
        <v>122.47253000000001</v>
      </c>
      <c r="X35" s="75">
        <f t="shared" si="11"/>
        <v>63.633000000000003</v>
      </c>
      <c r="Y35" s="75">
        <f t="shared" si="11"/>
        <v>65.093980000000002</v>
      </c>
      <c r="Z35" s="75">
        <f t="shared" si="11"/>
        <v>82.128809999999945</v>
      </c>
      <c r="AA35" s="75">
        <f t="shared" si="11"/>
        <v>56.760619999999996</v>
      </c>
      <c r="AB35" s="75">
        <f t="shared" si="11"/>
        <v>0</v>
      </c>
      <c r="AC35" s="75">
        <f t="shared" si="11"/>
        <v>3.9381000000000004</v>
      </c>
      <c r="AD35" s="75">
        <f t="shared" si="11"/>
        <v>0</v>
      </c>
      <c r="AE35" s="75">
        <f t="shared" si="11"/>
        <v>0</v>
      </c>
      <c r="AF35" s="224"/>
      <c r="AG35" s="38"/>
      <c r="AH35" s="39"/>
    </row>
    <row r="36" spans="1:34" s="35" customFormat="1" ht="20.25" customHeight="1">
      <c r="A36" s="76" t="s">
        <v>104</v>
      </c>
      <c r="B36" s="86">
        <f>B31</f>
        <v>477.25059999999991</v>
      </c>
      <c r="C36" s="78">
        <f>C31</f>
        <v>477.25059999999991</v>
      </c>
      <c r="D36" s="78">
        <f>D31</f>
        <v>399.89749</v>
      </c>
      <c r="E36" s="78">
        <f>I36+K36+M36+O36+Q36+S36+U36+W36+Y36+AA36+AC36+AE36</f>
        <v>399.89748999999995</v>
      </c>
      <c r="F36" s="79">
        <f>E36/B36</f>
        <v>0.83791930277300863</v>
      </c>
      <c r="G36" s="79">
        <f>E36/C36</f>
        <v>0.83791930277300863</v>
      </c>
      <c r="H36" s="78">
        <f>H31</f>
        <v>0</v>
      </c>
      <c r="I36" s="78">
        <f t="shared" ref="I36:AE36" si="12">I31</f>
        <v>0</v>
      </c>
      <c r="J36" s="78">
        <f t="shared" si="12"/>
        <v>63.636000000000003</v>
      </c>
      <c r="K36" s="78">
        <f t="shared" si="12"/>
        <v>0</v>
      </c>
      <c r="L36" s="78">
        <f t="shared" si="12"/>
        <v>127.27200000000001</v>
      </c>
      <c r="M36" s="78">
        <f t="shared" si="12"/>
        <v>25.956790000000002</v>
      </c>
      <c r="N36" s="78">
        <f t="shared" si="12"/>
        <v>108.76579</v>
      </c>
      <c r="O36" s="78">
        <f t="shared" si="12"/>
        <v>61.249650000000003</v>
      </c>
      <c r="P36" s="78">
        <f t="shared" si="12"/>
        <v>0</v>
      </c>
      <c r="Q36" s="78">
        <f t="shared" si="12"/>
        <v>76.514710000000008</v>
      </c>
      <c r="R36" s="78">
        <f t="shared" si="12"/>
        <v>0</v>
      </c>
      <c r="S36" s="78">
        <f t="shared" si="12"/>
        <v>66.817800000000005</v>
      </c>
      <c r="T36" s="78">
        <f t="shared" si="12"/>
        <v>0</v>
      </c>
      <c r="U36" s="78">
        <f t="shared" si="12"/>
        <v>44.545199999999994</v>
      </c>
      <c r="V36" s="78">
        <f t="shared" si="12"/>
        <v>31.815000000000001</v>
      </c>
      <c r="W36" s="78">
        <f t="shared" si="12"/>
        <v>56.404640000000001</v>
      </c>
      <c r="X36" s="78">
        <f t="shared" si="12"/>
        <v>63.633000000000003</v>
      </c>
      <c r="Y36" s="78">
        <f t="shared" si="12"/>
        <v>31.818000000000001</v>
      </c>
      <c r="Z36" s="78">
        <f t="shared" si="12"/>
        <v>82.128809999999945</v>
      </c>
      <c r="AA36" s="78">
        <f t="shared" si="12"/>
        <v>20.681699999999999</v>
      </c>
      <c r="AB36" s="78">
        <f t="shared" si="12"/>
        <v>0</v>
      </c>
      <c r="AC36" s="78">
        <f t="shared" si="12"/>
        <v>15.909000000000001</v>
      </c>
      <c r="AD36" s="78">
        <f t="shared" si="12"/>
        <v>0</v>
      </c>
      <c r="AE36" s="78">
        <f t="shared" si="12"/>
        <v>0</v>
      </c>
      <c r="AF36" s="224"/>
      <c r="AG36" s="38"/>
      <c r="AH36" s="39"/>
    </row>
    <row r="37" spans="1:34" s="35" customFormat="1" ht="20.25">
      <c r="A37" s="80" t="s">
        <v>105</v>
      </c>
      <c r="B37" s="81">
        <f>B32+B34</f>
        <v>480.77820000000003</v>
      </c>
      <c r="C37" s="81">
        <f>C32+C34</f>
        <v>480.77820000000003</v>
      </c>
      <c r="D37" s="82">
        <f>D32+D34</f>
        <v>480.77820000000003</v>
      </c>
      <c r="E37" s="82">
        <f>I37+K37+M37+O37+Q37+S37+U37+W37+Y37+AA37+AC37+AE37</f>
        <v>461.96355000000005</v>
      </c>
      <c r="F37" s="83">
        <f>E37/B37</f>
        <v>0.96086625807908932</v>
      </c>
      <c r="G37" s="83">
        <f>E37/C37</f>
        <v>0.96086625807908932</v>
      </c>
      <c r="H37" s="82">
        <f>H32+H34</f>
        <v>0</v>
      </c>
      <c r="I37" s="82">
        <f t="shared" ref="I37:AE37" si="13">I32+I34</f>
        <v>0</v>
      </c>
      <c r="J37" s="82">
        <f t="shared" si="13"/>
        <v>187.93899999999999</v>
      </c>
      <c r="K37" s="82">
        <f t="shared" si="13"/>
        <v>14.339270000000001</v>
      </c>
      <c r="L37" s="82">
        <f t="shared" si="13"/>
        <v>75.42</v>
      </c>
      <c r="M37" s="82">
        <f t="shared" si="13"/>
        <v>34.02028</v>
      </c>
      <c r="N37" s="82">
        <f t="shared" si="13"/>
        <v>108.18</v>
      </c>
      <c r="O37" s="82">
        <f t="shared" si="13"/>
        <v>114.97225999999999</v>
      </c>
      <c r="P37" s="82">
        <f t="shared" si="13"/>
        <v>109.2392</v>
      </c>
      <c r="Q37" s="82">
        <f t="shared" si="13"/>
        <v>47.023099999999999</v>
      </c>
      <c r="R37" s="82">
        <f t="shared" si="13"/>
        <v>0</v>
      </c>
      <c r="S37" s="82">
        <f t="shared" si="13"/>
        <v>56.624279999999999</v>
      </c>
      <c r="T37" s="82">
        <f t="shared" si="13"/>
        <v>0</v>
      </c>
      <c r="U37" s="82">
        <f t="shared" si="13"/>
        <v>71.532470000000004</v>
      </c>
      <c r="V37" s="82">
        <f t="shared" si="13"/>
        <v>0</v>
      </c>
      <c r="W37" s="82">
        <f t="shared" si="13"/>
        <v>66.067890000000006</v>
      </c>
      <c r="X37" s="82">
        <f t="shared" si="13"/>
        <v>0</v>
      </c>
      <c r="Y37" s="82">
        <f t="shared" si="13"/>
        <v>33.275979999999997</v>
      </c>
      <c r="Z37" s="82">
        <f t="shared" si="13"/>
        <v>0</v>
      </c>
      <c r="AA37" s="82">
        <f t="shared" si="13"/>
        <v>36.078919999999997</v>
      </c>
      <c r="AB37" s="82">
        <f t="shared" si="13"/>
        <v>0</v>
      </c>
      <c r="AC37" s="82">
        <f t="shared" si="13"/>
        <v>-11.9709</v>
      </c>
      <c r="AD37" s="82">
        <f t="shared" si="13"/>
        <v>0</v>
      </c>
      <c r="AE37" s="82">
        <f t="shared" si="13"/>
        <v>0</v>
      </c>
      <c r="AF37" s="224"/>
      <c r="AG37" s="38"/>
      <c r="AH37" s="39"/>
    </row>
    <row r="38" spans="1:34" s="35" customFormat="1" ht="91.5" customHeight="1">
      <c r="A38" s="133" t="s">
        <v>129</v>
      </c>
      <c r="B38" s="143"/>
      <c r="C38" s="140"/>
      <c r="D38" s="140"/>
      <c r="E38" s="140"/>
      <c r="F38" s="141"/>
      <c r="G38" s="141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2"/>
      <c r="AF38" s="220" t="s">
        <v>143</v>
      </c>
      <c r="AG38" s="127"/>
      <c r="AH38" s="36"/>
    </row>
    <row r="39" spans="1:34" s="35" customFormat="1" ht="33.75" hidden="1" customHeight="1">
      <c r="A39" s="112" t="s">
        <v>120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204"/>
      <c r="AH39" s="36"/>
    </row>
    <row r="40" spans="1:34" s="35" customFormat="1" ht="22.5" hidden="1" customHeight="1">
      <c r="A40" s="101" t="s">
        <v>105</v>
      </c>
      <c r="B40" s="86">
        <f>H40+J40+L40+N40+P40+R40+T40+V40+X40+Z40+AB40+AD40</f>
        <v>0</v>
      </c>
      <c r="C40" s="84">
        <f>H40+J40+L40</f>
        <v>0</v>
      </c>
      <c r="D40" s="84"/>
      <c r="E40" s="84">
        <f>I40+K40+M40+O40+Q40+S40+U40+W40+Y40+AA40+AC40+AE40</f>
        <v>0</v>
      </c>
      <c r="F40" s="106" t="e">
        <f>E40/B40</f>
        <v>#DIV/0!</v>
      </c>
      <c r="G40" s="106" t="e">
        <f>E40/C40</f>
        <v>#DIV/0!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204"/>
      <c r="AH40" s="36"/>
    </row>
    <row r="41" spans="1:34" s="35" customFormat="1" ht="89.25" hidden="1" customHeight="1">
      <c r="A41" s="112" t="s">
        <v>122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204"/>
      <c r="AH41" s="36"/>
    </row>
    <row r="42" spans="1:34" s="35" customFormat="1" ht="22.5" hidden="1" customHeight="1">
      <c r="A42" s="101" t="s">
        <v>105</v>
      </c>
      <c r="B42" s="86">
        <f>H42+J42+L42+N42+P42+R42+T42+V42+X42+Z42+AB42+AD42</f>
        <v>0</v>
      </c>
      <c r="C42" s="84">
        <f>H42+J42+L42</f>
        <v>0</v>
      </c>
      <c r="D42" s="84"/>
      <c r="E42" s="84">
        <f>I42+K42+M42+O42+Q42+S42+U42+W42+Y42+AA42+AC42+AE42</f>
        <v>0</v>
      </c>
      <c r="F42" s="106" t="e">
        <f>E42/B42</f>
        <v>#DIV/0!</v>
      </c>
      <c r="G42" s="106" t="e">
        <f>E42/C42</f>
        <v>#DIV/0!</v>
      </c>
      <c r="H42" s="108"/>
      <c r="I42" s="108"/>
      <c r="J42" s="109"/>
      <c r="K42" s="108"/>
      <c r="L42" s="108"/>
      <c r="M42" s="108"/>
      <c r="N42" s="108"/>
      <c r="O42" s="108"/>
      <c r="P42" s="109"/>
      <c r="Q42" s="108"/>
      <c r="R42" s="108"/>
      <c r="S42" s="108"/>
      <c r="T42" s="108"/>
      <c r="U42" s="108"/>
      <c r="V42" s="110"/>
      <c r="W42" s="108"/>
      <c r="X42" s="108"/>
      <c r="Y42" s="108"/>
      <c r="Z42" s="108"/>
      <c r="AA42" s="108"/>
      <c r="AB42" s="108"/>
      <c r="AC42" s="108"/>
      <c r="AD42" s="108"/>
      <c r="AE42" s="108"/>
      <c r="AF42" s="204"/>
      <c r="AH42" s="36"/>
    </row>
    <row r="43" spans="1:34" s="35" customFormat="1" ht="33.75" customHeight="1">
      <c r="A43" s="112" t="s">
        <v>120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204"/>
      <c r="AH43" s="36"/>
    </row>
    <row r="44" spans="1:34" s="35" customFormat="1" ht="22.5" customHeight="1">
      <c r="A44" s="101" t="s">
        <v>105</v>
      </c>
      <c r="B44" s="86">
        <f>H44+J44+L44+N44+P44+R44+T44+V44+X44+Z44+AB44+AD44</f>
        <v>1526.5562500000001</v>
      </c>
      <c r="C44" s="84">
        <f>H44+J44+L44+N44+P44+R44+T44+V44+X44+Z44</f>
        <v>1526.5562500000001</v>
      </c>
      <c r="D44" s="84">
        <f>1526556.25/1000</f>
        <v>1526.5562500000001</v>
      </c>
      <c r="E44" s="84">
        <f>I44+K44+M44+O44+Q44+S44+U44+W44+Y44+AA44+AC44</f>
        <v>1526.01828</v>
      </c>
      <c r="F44" s="106">
        <f>E44/B44</f>
        <v>0.99964759241593615</v>
      </c>
      <c r="G44" s="106">
        <f>E44/C44</f>
        <v>0.99964759241593615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10">
        <f>508824.75/1000</f>
        <v>508.82474999999999</v>
      </c>
      <c r="S44" s="110">
        <f>508824.18/1000</f>
        <v>508.82418000000001</v>
      </c>
      <c r="T44" s="110">
        <f>508824.75/1000</f>
        <v>508.82474999999999</v>
      </c>
      <c r="U44" s="110">
        <f>508825.19/1000</f>
        <v>508.82519000000002</v>
      </c>
      <c r="V44" s="110">
        <f>508906.75/1000</f>
        <v>508.90674999999999</v>
      </c>
      <c r="W44" s="110">
        <f>508368.91/1000</f>
        <v>508.36890999999997</v>
      </c>
      <c r="X44" s="108"/>
      <c r="Y44" s="108"/>
      <c r="Z44" s="108"/>
      <c r="AA44" s="108"/>
      <c r="AB44" s="108"/>
      <c r="AC44" s="108"/>
      <c r="AD44" s="108"/>
      <c r="AE44" s="108"/>
      <c r="AF44" s="204"/>
      <c r="AH44" s="36"/>
    </row>
    <row r="45" spans="1:34" s="35" customFormat="1" ht="102.75" customHeight="1">
      <c r="A45" s="112" t="s">
        <v>122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204"/>
      <c r="AH45" s="36"/>
    </row>
    <row r="46" spans="1:34" s="35" customFormat="1" ht="22.5" customHeight="1">
      <c r="A46" s="101" t="s">
        <v>105</v>
      </c>
      <c r="B46" s="86">
        <f>H46+J46+L46+N46+P46+R46+T46+V46+X46+Z46+AB46+AD46</f>
        <v>272.34375</v>
      </c>
      <c r="C46" s="84">
        <f>H46+J46+L46+N46+P46+R46+T46+V46+X46+Z46</f>
        <v>272.34375</v>
      </c>
      <c r="D46" s="84">
        <f>272343.75/1000</f>
        <v>272.34375</v>
      </c>
      <c r="E46" s="84">
        <f>I46+K46+M46+O46+Q46+S46+U46+W46+Y46+AA46+AC46</f>
        <v>135.30255</v>
      </c>
      <c r="F46" s="106">
        <f>E46/B46</f>
        <v>0.49680798623063682</v>
      </c>
      <c r="G46" s="106">
        <f>E46/C46</f>
        <v>0.49680798623063682</v>
      </c>
      <c r="H46" s="108"/>
      <c r="I46" s="108"/>
      <c r="J46" s="109"/>
      <c r="K46" s="108"/>
      <c r="L46" s="108"/>
      <c r="M46" s="108"/>
      <c r="N46" s="108">
        <f>45780/1000</f>
        <v>45.78</v>
      </c>
      <c r="O46" s="108"/>
      <c r="P46" s="109"/>
      <c r="Q46" s="108"/>
      <c r="R46" s="110">
        <f>75521.25/1000</f>
        <v>75.521249999999995</v>
      </c>
      <c r="S46" s="110">
        <f>76104.01/1000</f>
        <v>76.104009999999988</v>
      </c>
      <c r="T46" s="110">
        <f>75521.25/1000</f>
        <v>75.521249999999995</v>
      </c>
      <c r="U46" s="110">
        <f>37265.29/1000</f>
        <v>37.26529</v>
      </c>
      <c r="V46" s="110">
        <f>75521.25/1000</f>
        <v>75.521249999999995</v>
      </c>
      <c r="W46" s="110">
        <f>21933.25/1000</f>
        <v>21.933250000000001</v>
      </c>
      <c r="X46" s="108"/>
      <c r="Y46" s="108"/>
      <c r="Z46" s="108"/>
      <c r="AA46" s="108"/>
      <c r="AB46" s="108"/>
      <c r="AC46" s="108"/>
      <c r="AD46" s="108"/>
      <c r="AE46" s="108"/>
      <c r="AF46" s="204"/>
      <c r="AG46" s="127"/>
      <c r="AH46" s="36"/>
    </row>
    <row r="47" spans="1:34" s="35" customFormat="1" ht="20.25">
      <c r="A47" s="72" t="s">
        <v>25</v>
      </c>
      <c r="B47" s="73">
        <f>B48</f>
        <v>1798.9</v>
      </c>
      <c r="C47" s="73">
        <f t="shared" ref="C47:AE47" si="14">C48</f>
        <v>1798.9</v>
      </c>
      <c r="D47" s="73">
        <f t="shared" si="14"/>
        <v>1798.9</v>
      </c>
      <c r="E47" s="73">
        <f>E48</f>
        <v>1661.3208300000001</v>
      </c>
      <c r="F47" s="74">
        <f>E47/B47</f>
        <v>0.92352039023847909</v>
      </c>
      <c r="G47" s="74">
        <f>E47/C47</f>
        <v>0.92352039023847909</v>
      </c>
      <c r="H47" s="73">
        <f>H48</f>
        <v>0</v>
      </c>
      <c r="I47" s="73">
        <f>I48</f>
        <v>0</v>
      </c>
      <c r="J47" s="73">
        <f>J48</f>
        <v>0</v>
      </c>
      <c r="K47" s="73">
        <f t="shared" si="14"/>
        <v>0</v>
      </c>
      <c r="L47" s="73">
        <f t="shared" si="14"/>
        <v>0</v>
      </c>
      <c r="M47" s="73">
        <f t="shared" si="14"/>
        <v>0</v>
      </c>
      <c r="N47" s="73">
        <f t="shared" si="14"/>
        <v>45.78</v>
      </c>
      <c r="O47" s="73">
        <f t="shared" si="14"/>
        <v>0</v>
      </c>
      <c r="P47" s="73">
        <f>P48</f>
        <v>0</v>
      </c>
      <c r="Q47" s="73">
        <f t="shared" si="14"/>
        <v>0</v>
      </c>
      <c r="R47" s="73">
        <f t="shared" si="14"/>
        <v>584.346</v>
      </c>
      <c r="S47" s="73">
        <f t="shared" si="14"/>
        <v>584.92818999999997</v>
      </c>
      <c r="T47" s="73">
        <f t="shared" si="14"/>
        <v>584.346</v>
      </c>
      <c r="U47" s="73">
        <f t="shared" si="14"/>
        <v>546.09048000000007</v>
      </c>
      <c r="V47" s="73">
        <f t="shared" si="14"/>
        <v>584.428</v>
      </c>
      <c r="W47" s="73">
        <f t="shared" si="14"/>
        <v>530.30215999999996</v>
      </c>
      <c r="X47" s="73">
        <f t="shared" si="14"/>
        <v>0</v>
      </c>
      <c r="Y47" s="73">
        <f t="shared" si="14"/>
        <v>0</v>
      </c>
      <c r="Z47" s="73">
        <f t="shared" si="14"/>
        <v>0</v>
      </c>
      <c r="AA47" s="73">
        <f t="shared" si="14"/>
        <v>0</v>
      </c>
      <c r="AB47" s="73">
        <f t="shared" si="14"/>
        <v>0</v>
      </c>
      <c r="AC47" s="73">
        <f t="shared" si="14"/>
        <v>0</v>
      </c>
      <c r="AD47" s="73">
        <f t="shared" si="14"/>
        <v>0</v>
      </c>
      <c r="AE47" s="73">
        <f t="shared" si="14"/>
        <v>0</v>
      </c>
      <c r="AF47" s="205"/>
      <c r="AG47" s="38"/>
      <c r="AH47" s="36"/>
    </row>
    <row r="48" spans="1:34" s="35" customFormat="1" ht="19.5" customHeight="1">
      <c r="A48" s="89" t="s">
        <v>105</v>
      </c>
      <c r="B48" s="81">
        <f>B44+B46</f>
        <v>1798.9</v>
      </c>
      <c r="C48" s="82">
        <f>C46+C44</f>
        <v>1798.9</v>
      </c>
      <c r="D48" s="82">
        <f>D46+D44</f>
        <v>1798.9</v>
      </c>
      <c r="E48" s="82">
        <f>E46+E44</f>
        <v>1661.3208300000001</v>
      </c>
      <c r="F48" s="83">
        <f>E48/B48</f>
        <v>0.92352039023847909</v>
      </c>
      <c r="G48" s="83">
        <f>E48/C48</f>
        <v>0.92352039023847909</v>
      </c>
      <c r="H48" s="82">
        <f>H46+H44</f>
        <v>0</v>
      </c>
      <c r="I48" s="82">
        <f>I46+I44</f>
        <v>0</v>
      </c>
      <c r="J48" s="82">
        <f>J46+J44</f>
        <v>0</v>
      </c>
      <c r="K48" s="82">
        <f t="shared" ref="K48:AE48" si="15">K46+K44</f>
        <v>0</v>
      </c>
      <c r="L48" s="82">
        <f t="shared" si="15"/>
        <v>0</v>
      </c>
      <c r="M48" s="82">
        <f t="shared" si="15"/>
        <v>0</v>
      </c>
      <c r="N48" s="82">
        <f t="shared" si="15"/>
        <v>45.78</v>
      </c>
      <c r="O48" s="82">
        <f t="shared" si="15"/>
        <v>0</v>
      </c>
      <c r="P48" s="82">
        <f t="shared" si="15"/>
        <v>0</v>
      </c>
      <c r="Q48" s="82">
        <f t="shared" si="15"/>
        <v>0</v>
      </c>
      <c r="R48" s="82">
        <f t="shared" si="15"/>
        <v>584.346</v>
      </c>
      <c r="S48" s="82">
        <f t="shared" si="15"/>
        <v>584.92818999999997</v>
      </c>
      <c r="T48" s="82">
        <f t="shared" si="15"/>
        <v>584.346</v>
      </c>
      <c r="U48" s="82">
        <f t="shared" si="15"/>
        <v>546.09048000000007</v>
      </c>
      <c r="V48" s="82">
        <f t="shared" si="15"/>
        <v>584.428</v>
      </c>
      <c r="W48" s="82">
        <f t="shared" si="15"/>
        <v>530.30215999999996</v>
      </c>
      <c r="X48" s="82">
        <f t="shared" si="15"/>
        <v>0</v>
      </c>
      <c r="Y48" s="82">
        <f t="shared" si="15"/>
        <v>0</v>
      </c>
      <c r="Z48" s="82">
        <f t="shared" si="15"/>
        <v>0</v>
      </c>
      <c r="AA48" s="82">
        <f t="shared" si="15"/>
        <v>0</v>
      </c>
      <c r="AB48" s="82">
        <f t="shared" si="15"/>
        <v>0</v>
      </c>
      <c r="AC48" s="82">
        <f t="shared" si="15"/>
        <v>0</v>
      </c>
      <c r="AD48" s="82">
        <f t="shared" si="15"/>
        <v>0</v>
      </c>
      <c r="AE48" s="82">
        <f t="shared" si="15"/>
        <v>0</v>
      </c>
      <c r="AF48" s="82"/>
      <c r="AG48" s="38"/>
      <c r="AH48" s="39"/>
    </row>
    <row r="49" spans="1:163" s="35" customFormat="1" ht="91.5" customHeight="1">
      <c r="A49" s="133" t="s">
        <v>118</v>
      </c>
      <c r="B49" s="143"/>
      <c r="C49" s="140"/>
      <c r="D49" s="140"/>
      <c r="E49" s="140"/>
      <c r="F49" s="141"/>
      <c r="G49" s="141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2"/>
      <c r="AF49" s="148"/>
      <c r="AH49" s="36"/>
    </row>
    <row r="50" spans="1:163" s="35" customFormat="1">
      <c r="A50" s="72" t="s">
        <v>25</v>
      </c>
      <c r="B50" s="73">
        <f>B51</f>
        <v>0</v>
      </c>
      <c r="C50" s="73">
        <f t="shared" ref="C50:AE50" si="16">C51</f>
        <v>0</v>
      </c>
      <c r="D50" s="73">
        <f t="shared" si="16"/>
        <v>0</v>
      </c>
      <c r="E50" s="73">
        <f t="shared" si="16"/>
        <v>0</v>
      </c>
      <c r="F50" s="74">
        <f t="shared" si="16"/>
        <v>0</v>
      </c>
      <c r="G50" s="74">
        <f t="shared" si="16"/>
        <v>0</v>
      </c>
      <c r="H50" s="75">
        <f t="shared" si="16"/>
        <v>0</v>
      </c>
      <c r="I50" s="75">
        <f t="shared" si="16"/>
        <v>0</v>
      </c>
      <c r="J50" s="75">
        <f t="shared" si="16"/>
        <v>0</v>
      </c>
      <c r="K50" s="75">
        <f t="shared" si="16"/>
        <v>0</v>
      </c>
      <c r="L50" s="75">
        <f t="shared" si="16"/>
        <v>0</v>
      </c>
      <c r="M50" s="75">
        <f t="shared" si="16"/>
        <v>0</v>
      </c>
      <c r="N50" s="75">
        <f t="shared" si="16"/>
        <v>0</v>
      </c>
      <c r="O50" s="75">
        <f t="shared" si="16"/>
        <v>0</v>
      </c>
      <c r="P50" s="75">
        <f t="shared" si="16"/>
        <v>0</v>
      </c>
      <c r="Q50" s="75">
        <f t="shared" si="16"/>
        <v>0</v>
      </c>
      <c r="R50" s="75">
        <f t="shared" si="16"/>
        <v>0</v>
      </c>
      <c r="S50" s="75">
        <f t="shared" si="16"/>
        <v>0</v>
      </c>
      <c r="T50" s="75">
        <f t="shared" si="16"/>
        <v>0</v>
      </c>
      <c r="U50" s="75">
        <f t="shared" si="16"/>
        <v>0</v>
      </c>
      <c r="V50" s="75">
        <f t="shared" si="16"/>
        <v>0</v>
      </c>
      <c r="W50" s="75">
        <f t="shared" si="16"/>
        <v>0</v>
      </c>
      <c r="X50" s="75">
        <f t="shared" si="16"/>
        <v>0</v>
      </c>
      <c r="Y50" s="75">
        <f t="shared" si="16"/>
        <v>0</v>
      </c>
      <c r="Z50" s="75">
        <f t="shared" si="16"/>
        <v>0</v>
      </c>
      <c r="AA50" s="75">
        <f t="shared" si="16"/>
        <v>0</v>
      </c>
      <c r="AB50" s="75">
        <f t="shared" si="16"/>
        <v>0</v>
      </c>
      <c r="AC50" s="75">
        <f t="shared" si="16"/>
        <v>0</v>
      </c>
      <c r="AD50" s="75">
        <f t="shared" si="16"/>
        <v>0</v>
      </c>
      <c r="AE50" s="92">
        <f t="shared" si="16"/>
        <v>0</v>
      </c>
      <c r="AF50" s="40"/>
      <c r="AH50" s="36"/>
    </row>
    <row r="51" spans="1:163" s="33" customFormat="1" ht="23.25" customHeight="1" thickBot="1">
      <c r="A51" s="115" t="s">
        <v>105</v>
      </c>
      <c r="B51" s="116">
        <f>H51+J51+L51+N51+P51+R51+T51+V51+X51+Z51+AB51+AD51</f>
        <v>0</v>
      </c>
      <c r="C51" s="118">
        <f>H51+J51+L51+N51+P51+R51+T51+V51</f>
        <v>0</v>
      </c>
      <c r="D51" s="118">
        <f>H51+J51+L51+N51+P51+R51+T51+V51</f>
        <v>0</v>
      </c>
      <c r="E51" s="118">
        <f>I51+K51+M51+O51+Q51+S51+U51+W51+Y51+AA51+AC51+AE51</f>
        <v>0</v>
      </c>
      <c r="F51" s="117"/>
      <c r="G51" s="117"/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>
        <v>0</v>
      </c>
      <c r="AD51" s="118">
        <v>0</v>
      </c>
      <c r="AE51" s="118">
        <v>0</v>
      </c>
      <c r="AF51" s="118"/>
      <c r="AH51" s="34"/>
    </row>
    <row r="52" spans="1:163" s="35" customFormat="1" ht="21.75" customHeight="1">
      <c r="A52" s="144" t="s">
        <v>106</v>
      </c>
      <c r="B52" s="145">
        <f>B53+B54</f>
        <v>14722.328799999999</v>
      </c>
      <c r="C52" s="145">
        <f>C53+C54</f>
        <v>14722.328799999999</v>
      </c>
      <c r="D52" s="145">
        <f>D53+D54</f>
        <v>14616.121950000001</v>
      </c>
      <c r="E52" s="145">
        <f t="shared" ref="E52:AC52" si="17">E53+E54</f>
        <v>14252.485500000001</v>
      </c>
      <c r="F52" s="146">
        <f>E52/B52</f>
        <v>0.96808634650246372</v>
      </c>
      <c r="G52" s="146">
        <f>E52/C52</f>
        <v>0.96808634650246372</v>
      </c>
      <c r="H52" s="145">
        <f>H53+H54</f>
        <v>0</v>
      </c>
      <c r="I52" s="145">
        <f t="shared" si="17"/>
        <v>0</v>
      </c>
      <c r="J52" s="145">
        <f>J53+J54</f>
        <v>399.29099999999994</v>
      </c>
      <c r="K52" s="145">
        <f t="shared" si="17"/>
        <v>144.25865000000002</v>
      </c>
      <c r="L52" s="145">
        <f>L53+L54</f>
        <v>416.36699999999996</v>
      </c>
      <c r="M52" s="145">
        <f t="shared" si="17"/>
        <v>223.36032000000003</v>
      </c>
      <c r="N52" s="145">
        <f>N53+N54</f>
        <v>1031.76305</v>
      </c>
      <c r="O52" s="145">
        <f t="shared" si="17"/>
        <v>435.46879000000001</v>
      </c>
      <c r="P52" s="145">
        <f>P53+P54</f>
        <v>318.90620000000001</v>
      </c>
      <c r="Q52" s="145">
        <f t="shared" si="17"/>
        <v>345.79142000000002</v>
      </c>
      <c r="R52" s="145">
        <f>R53+R54</f>
        <v>4040.5219999999999</v>
      </c>
      <c r="S52" s="145">
        <f t="shared" si="17"/>
        <v>4188.7230899999995</v>
      </c>
      <c r="T52" s="145">
        <f>T53+T54</f>
        <v>3715.9050000000002</v>
      </c>
      <c r="U52" s="145">
        <f t="shared" si="17"/>
        <v>4122.5784700000004</v>
      </c>
      <c r="V52" s="145">
        <f>V53+V54</f>
        <v>4049.6109999999999</v>
      </c>
      <c r="W52" s="145">
        <f t="shared" si="17"/>
        <v>3824.8730199999995</v>
      </c>
      <c r="X52" s="145">
        <f>X53+X54</f>
        <v>270.86099999999999</v>
      </c>
      <c r="Y52" s="145">
        <f t="shared" si="17"/>
        <v>547.90067999999997</v>
      </c>
      <c r="Z52" s="145">
        <f>Z53+Z54</f>
        <v>288.18680999999992</v>
      </c>
      <c r="AA52" s="145">
        <f t="shared" si="17"/>
        <v>267.93007999999998</v>
      </c>
      <c r="AB52" s="145">
        <f>AB53+AB54</f>
        <v>190.91574</v>
      </c>
      <c r="AC52" s="145">
        <f t="shared" si="17"/>
        <v>151.60098000000002</v>
      </c>
      <c r="AD52" s="145">
        <f>AD53+AD54</f>
        <v>0</v>
      </c>
      <c r="AE52" s="145">
        <f>AE53+AE54</f>
        <v>0</v>
      </c>
      <c r="AF52" s="147"/>
      <c r="AG52" s="127"/>
      <c r="AH52" s="36"/>
    </row>
    <row r="53" spans="1:163" s="35" customFormat="1" ht="24" customHeight="1">
      <c r="A53" s="155" t="s">
        <v>104</v>
      </c>
      <c r="B53" s="156">
        <f>B22+B26+B36</f>
        <v>1430.6505999999999</v>
      </c>
      <c r="C53" s="157">
        <f>C22+C26+C36</f>
        <v>1430.6505999999999</v>
      </c>
      <c r="D53" s="157">
        <f>D22+D26+D36</f>
        <v>1324.4447500000001</v>
      </c>
      <c r="E53" s="157">
        <f>E22+E26+E36</f>
        <v>1324.4447500000001</v>
      </c>
      <c r="F53" s="158">
        <f>E53/B53</f>
        <v>0.92576394963242614</v>
      </c>
      <c r="G53" s="158">
        <f>E53/C53</f>
        <v>0.92576394963242614</v>
      </c>
      <c r="H53" s="157">
        <f t="shared" ref="H53:AE53" si="18">H22+H26+H36</f>
        <v>0</v>
      </c>
      <c r="I53" s="157">
        <f t="shared" si="18"/>
        <v>0</v>
      </c>
      <c r="J53" s="157">
        <f t="shared" si="18"/>
        <v>77.635999999999996</v>
      </c>
      <c r="K53" s="157">
        <f t="shared" si="18"/>
        <v>0</v>
      </c>
      <c r="L53" s="157">
        <f t="shared" si="18"/>
        <v>142.672</v>
      </c>
      <c r="M53" s="157">
        <f t="shared" si="18"/>
        <v>39.956780000000002</v>
      </c>
      <c r="N53" s="157">
        <f t="shared" si="18"/>
        <v>125.56578999999999</v>
      </c>
      <c r="O53" s="157">
        <f t="shared" si="18"/>
        <v>76.649650000000008</v>
      </c>
      <c r="P53" s="157">
        <f t="shared" si="18"/>
        <v>16.8</v>
      </c>
      <c r="Q53" s="157">
        <f t="shared" si="18"/>
        <v>93.314710000000005</v>
      </c>
      <c r="R53" s="157">
        <f t="shared" si="18"/>
        <v>0</v>
      </c>
      <c r="S53" s="157">
        <f t="shared" si="18"/>
        <v>83.617800000000003</v>
      </c>
      <c r="T53" s="157">
        <f t="shared" si="18"/>
        <v>280</v>
      </c>
      <c r="U53" s="157">
        <f t="shared" si="18"/>
        <v>320.41520000000003</v>
      </c>
      <c r="V53" s="157">
        <f t="shared" si="18"/>
        <v>591.81500000000005</v>
      </c>
      <c r="W53" s="157">
        <f t="shared" si="18"/>
        <v>330.23190999999997</v>
      </c>
      <c r="X53" s="157">
        <f t="shared" si="18"/>
        <v>80.433000000000007</v>
      </c>
      <c r="Y53" s="157">
        <f t="shared" si="18"/>
        <v>310.41800000000001</v>
      </c>
      <c r="Z53" s="157">
        <f t="shared" si="18"/>
        <v>98.928809999999942</v>
      </c>
      <c r="AA53" s="157">
        <f t="shared" si="18"/>
        <v>37.131699999999995</v>
      </c>
      <c r="AB53" s="157">
        <f t="shared" si="18"/>
        <v>16.8</v>
      </c>
      <c r="AC53" s="157">
        <f t="shared" si="18"/>
        <v>32.709000000000003</v>
      </c>
      <c r="AD53" s="157">
        <f t="shared" si="18"/>
        <v>0</v>
      </c>
      <c r="AE53" s="157">
        <f t="shared" si="18"/>
        <v>0</v>
      </c>
      <c r="AF53" s="159"/>
      <c r="AH53" s="36"/>
    </row>
    <row r="54" spans="1:163" s="153" customFormat="1" ht="24" customHeight="1">
      <c r="A54" s="80" t="s">
        <v>105</v>
      </c>
      <c r="B54" s="81">
        <f>B23+B27+B37+B48+B51</f>
        <v>13291.6782</v>
      </c>
      <c r="C54" s="81">
        <f>C23+C27+C37+C48+C51</f>
        <v>13291.6782</v>
      </c>
      <c r="D54" s="81">
        <f>D23+D27+D37+D48+D51</f>
        <v>13291.6772</v>
      </c>
      <c r="E54" s="81">
        <f>E23+E27+E37+E48+E51</f>
        <v>12928.04075</v>
      </c>
      <c r="F54" s="83">
        <f>E54/B54</f>
        <v>0.97264172029082074</v>
      </c>
      <c r="G54" s="83">
        <f>E54/C54</f>
        <v>0.97264172029082074</v>
      </c>
      <c r="H54" s="82">
        <f t="shared" ref="H54:AE54" si="19">H23+H27+H37+H48+H51</f>
        <v>0</v>
      </c>
      <c r="I54" s="82">
        <f t="shared" si="19"/>
        <v>0</v>
      </c>
      <c r="J54" s="82">
        <f t="shared" si="19"/>
        <v>321.65499999999997</v>
      </c>
      <c r="K54" s="82">
        <f t="shared" si="19"/>
        <v>144.25865000000002</v>
      </c>
      <c r="L54" s="82">
        <f t="shared" si="19"/>
        <v>273.69499999999999</v>
      </c>
      <c r="M54" s="82">
        <f t="shared" si="19"/>
        <v>183.40354000000002</v>
      </c>
      <c r="N54" s="82">
        <f t="shared" si="19"/>
        <v>906.19725999999991</v>
      </c>
      <c r="O54" s="82">
        <f t="shared" si="19"/>
        <v>358.81914</v>
      </c>
      <c r="P54" s="82">
        <f t="shared" si="19"/>
        <v>302.1062</v>
      </c>
      <c r="Q54" s="82">
        <f t="shared" si="19"/>
        <v>252.47671</v>
      </c>
      <c r="R54" s="82">
        <f t="shared" si="19"/>
        <v>4040.5219999999999</v>
      </c>
      <c r="S54" s="82">
        <f t="shared" si="19"/>
        <v>4105.1052899999995</v>
      </c>
      <c r="T54" s="82">
        <f t="shared" si="19"/>
        <v>3435.9050000000002</v>
      </c>
      <c r="U54" s="82">
        <f t="shared" si="19"/>
        <v>3802.16327</v>
      </c>
      <c r="V54" s="82">
        <f t="shared" si="19"/>
        <v>3457.7959999999998</v>
      </c>
      <c r="W54" s="82">
        <f t="shared" si="19"/>
        <v>3494.6411099999996</v>
      </c>
      <c r="X54" s="82">
        <f t="shared" si="19"/>
        <v>190.428</v>
      </c>
      <c r="Y54" s="82">
        <f t="shared" si="19"/>
        <v>237.48268000000002</v>
      </c>
      <c r="Z54" s="82">
        <f t="shared" si="19"/>
        <v>189.25800000000001</v>
      </c>
      <c r="AA54" s="82">
        <f t="shared" si="19"/>
        <v>230.79838000000001</v>
      </c>
      <c r="AB54" s="82">
        <f t="shared" si="19"/>
        <v>174.11573999999999</v>
      </c>
      <c r="AC54" s="82">
        <f t="shared" si="19"/>
        <v>118.89198000000002</v>
      </c>
      <c r="AD54" s="82">
        <f t="shared" si="19"/>
        <v>0</v>
      </c>
      <c r="AE54" s="82">
        <f t="shared" si="19"/>
        <v>0</v>
      </c>
      <c r="AF54" s="173"/>
      <c r="AG54" s="35"/>
      <c r="AH54" s="36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174"/>
    </row>
    <row r="55" spans="1:163" s="153" customFormat="1" ht="111" customHeight="1">
      <c r="A55" s="133" t="s">
        <v>119</v>
      </c>
      <c r="B55" s="143"/>
      <c r="C55" s="140"/>
      <c r="D55" s="140"/>
      <c r="E55" s="140"/>
      <c r="F55" s="141"/>
      <c r="G55" s="141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65"/>
      <c r="AF55" s="140"/>
      <c r="AG55" s="35"/>
      <c r="AH55" s="36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174"/>
    </row>
    <row r="56" spans="1:163" s="35" customFormat="1" ht="34.5" customHeight="1">
      <c r="A56" s="160" t="s">
        <v>124</v>
      </c>
      <c r="B56" s="161"/>
      <c r="C56" s="162"/>
      <c r="D56" s="162"/>
      <c r="E56" s="162"/>
      <c r="F56" s="163"/>
      <c r="G56" s="163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4"/>
      <c r="AF56" s="203" t="s">
        <v>151</v>
      </c>
      <c r="AH56" s="36"/>
    </row>
    <row r="57" spans="1:163" s="35" customFormat="1" ht="39" customHeight="1">
      <c r="A57" s="112" t="s">
        <v>120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204"/>
      <c r="AH57" s="36"/>
    </row>
    <row r="58" spans="1:163" s="35" customFormat="1" ht="15.75" customHeight="1">
      <c r="A58" s="100" t="s">
        <v>121</v>
      </c>
      <c r="B58" s="105">
        <f>B60+B59</f>
        <v>3489.6549999999997</v>
      </c>
      <c r="C58" s="105">
        <f>C60+C59</f>
        <v>3489.6549999999997</v>
      </c>
      <c r="D58" s="105">
        <f>D60+D59</f>
        <v>3062.2240599999996</v>
      </c>
      <c r="E58" s="105">
        <f>E60+E59</f>
        <v>2275.6071999999999</v>
      </c>
      <c r="F58" s="104">
        <f>E58/B58</f>
        <v>0.65210090968878009</v>
      </c>
      <c r="G58" s="104">
        <f>E58/C58</f>
        <v>0.65210090968878009</v>
      </c>
      <c r="H58" s="85">
        <f>H60+H59</f>
        <v>0</v>
      </c>
      <c r="I58" s="85">
        <f>I60+I59</f>
        <v>0</v>
      </c>
      <c r="J58" s="85">
        <f t="shared" ref="J58:AE58" si="20">J60+J59</f>
        <v>0</v>
      </c>
      <c r="K58" s="85">
        <f t="shared" si="20"/>
        <v>0</v>
      </c>
      <c r="L58" s="85">
        <f t="shared" si="20"/>
        <v>0</v>
      </c>
      <c r="M58" s="85">
        <f t="shared" si="20"/>
        <v>0</v>
      </c>
      <c r="N58" s="85">
        <f t="shared" si="20"/>
        <v>22.704229999999999</v>
      </c>
      <c r="O58" s="85">
        <f t="shared" si="20"/>
        <v>22.704229999999999</v>
      </c>
      <c r="P58" s="85">
        <f>P60+P59</f>
        <v>112.67602000000001</v>
      </c>
      <c r="Q58" s="85">
        <f t="shared" si="20"/>
        <v>102.599</v>
      </c>
      <c r="R58" s="85">
        <f t="shared" si="20"/>
        <v>241.90176</v>
      </c>
      <c r="S58" s="85">
        <f t="shared" si="20"/>
        <v>251.97809000000001</v>
      </c>
      <c r="T58" s="85">
        <f t="shared" si="20"/>
        <v>331.98277999999999</v>
      </c>
      <c r="U58" s="85">
        <f t="shared" si="20"/>
        <v>331.98577999999998</v>
      </c>
      <c r="V58" s="85">
        <f t="shared" si="20"/>
        <v>591.41041999999993</v>
      </c>
      <c r="W58" s="85">
        <f t="shared" si="20"/>
        <v>315.82675</v>
      </c>
      <c r="X58" s="85">
        <f t="shared" si="20"/>
        <v>820.80500000000006</v>
      </c>
      <c r="Y58" s="85">
        <f t="shared" si="20"/>
        <v>545.88586999999995</v>
      </c>
      <c r="Z58" s="85">
        <f t="shared" si="20"/>
        <v>302.92500000000001</v>
      </c>
      <c r="AA58" s="85">
        <f t="shared" si="20"/>
        <v>323.23352000000006</v>
      </c>
      <c r="AB58" s="85">
        <f t="shared" si="20"/>
        <v>1065.2497899999998</v>
      </c>
      <c r="AC58" s="85">
        <f t="shared" si="20"/>
        <v>381.39395999999999</v>
      </c>
      <c r="AD58" s="85">
        <f t="shared" si="20"/>
        <v>0</v>
      </c>
      <c r="AE58" s="85">
        <f t="shared" si="20"/>
        <v>0</v>
      </c>
      <c r="AF58" s="204"/>
      <c r="AH58" s="36"/>
    </row>
    <row r="59" spans="1:163" s="35" customFormat="1" ht="21.75" customHeight="1">
      <c r="A59" s="101" t="s">
        <v>104</v>
      </c>
      <c r="B59" s="86">
        <f>H59+J59+L59+N59+P59+R59+T59+V59+X59+Z59+AB59+AD59</f>
        <v>859.89999999999986</v>
      </c>
      <c r="C59" s="84">
        <f>H59+J59+L59+N59+P59+R59+T59+V59+X59+Z59+AB59</f>
        <v>859.89999999999986</v>
      </c>
      <c r="D59" s="84">
        <f>432466.06/1000</f>
        <v>432.46605999999997</v>
      </c>
      <c r="E59" s="84">
        <f>I59+K59+M59+O59+Q59+S59+U59+W59+Y59+AA59+AC59</f>
        <v>432.46587</v>
      </c>
      <c r="F59" s="106">
        <f>E59/B59</f>
        <v>0.50292577043842313</v>
      </c>
      <c r="G59" s="106">
        <f>E59/C59</f>
        <v>0.50292577043842313</v>
      </c>
      <c r="H59" s="108"/>
      <c r="I59" s="108"/>
      <c r="J59" s="108"/>
      <c r="K59" s="108"/>
      <c r="L59" s="108"/>
      <c r="M59" s="108"/>
      <c r="N59" s="108"/>
      <c r="O59" s="108"/>
      <c r="P59" s="110"/>
      <c r="Q59" s="108"/>
      <c r="R59" s="110"/>
      <c r="S59" s="110"/>
      <c r="T59" s="110">
        <f>161956.36/1000</f>
        <v>161.95635999999999</v>
      </c>
      <c r="U59" s="110">
        <f>161956.36/1000</f>
        <v>161.95635999999999</v>
      </c>
      <c r="V59" s="110">
        <f>70457.42/1000</f>
        <v>70.457419999999999</v>
      </c>
      <c r="W59" s="110">
        <f>55178/1000</f>
        <v>55.177999999999997</v>
      </c>
      <c r="X59" s="110">
        <f>337200/1000</f>
        <v>337.2</v>
      </c>
      <c r="Y59" s="110">
        <f>99327.39/1000</f>
        <v>99.327389999999994</v>
      </c>
      <c r="Z59" s="110">
        <v>0</v>
      </c>
      <c r="AA59" s="110">
        <f>54795/1000</f>
        <v>54.795000000000002</v>
      </c>
      <c r="AB59" s="110">
        <f>290286.22/1000</f>
        <v>290.28621999999996</v>
      </c>
      <c r="AC59" s="110">
        <f>61209.12/1000</f>
        <v>61.209120000000006</v>
      </c>
      <c r="AD59" s="108"/>
      <c r="AE59" s="108"/>
      <c r="AF59" s="204"/>
      <c r="AH59" s="36"/>
    </row>
    <row r="60" spans="1:163" s="35" customFormat="1" ht="22.5" customHeight="1">
      <c r="A60" s="101" t="s">
        <v>105</v>
      </c>
      <c r="B60" s="86">
        <f>H60+J60+L60+N60+P60+R60+T60+V60+X60+Z60+AB60+AD60</f>
        <v>2629.7550000000001</v>
      </c>
      <c r="C60" s="84">
        <f>H60+J60+L60+N60+P60+R60+T60+V60+X60+Z60+AB60</f>
        <v>2629.7550000000001</v>
      </c>
      <c r="D60" s="84">
        <f>2629758/1000</f>
        <v>2629.7579999999998</v>
      </c>
      <c r="E60" s="84">
        <f>I60+K60+M60+O60+Q60+S60+U60+W60+Y60+AA60+AC60</f>
        <v>1843.1413299999999</v>
      </c>
      <c r="F60" s="106">
        <f>E60/B60</f>
        <v>0.70087948497103336</v>
      </c>
      <c r="G60" s="106">
        <f>E60/C60</f>
        <v>0.70087948497103336</v>
      </c>
      <c r="H60" s="108"/>
      <c r="I60" s="108"/>
      <c r="J60" s="108"/>
      <c r="K60" s="108"/>
      <c r="L60" s="108"/>
      <c r="M60" s="108"/>
      <c r="N60" s="110">
        <f>22704.23/1000</f>
        <v>22.704229999999999</v>
      </c>
      <c r="O60" s="110">
        <f>22704.23/1000</f>
        <v>22.704229999999999</v>
      </c>
      <c r="P60" s="110">
        <f>112676.02/1000</f>
        <v>112.67602000000001</v>
      </c>
      <c r="Q60" s="110">
        <f>102599/1000</f>
        <v>102.599</v>
      </c>
      <c r="R60" s="110">
        <f>241901.76/1000</f>
        <v>241.90176</v>
      </c>
      <c r="S60" s="110">
        <f>251978.09/1000</f>
        <v>251.97809000000001</v>
      </c>
      <c r="T60" s="110">
        <f>170026.42/1000</f>
        <v>170.02642</v>
      </c>
      <c r="U60" s="110">
        <f>170029.42/1000</f>
        <v>170.02942000000002</v>
      </c>
      <c r="V60" s="110">
        <f>520953/1000</f>
        <v>520.95299999999997</v>
      </c>
      <c r="W60" s="110">
        <f>260648.75/1000</f>
        <v>260.64875000000001</v>
      </c>
      <c r="X60" s="110">
        <f>483605/1000</f>
        <v>483.60500000000002</v>
      </c>
      <c r="Y60" s="110">
        <f>446558.48/1000</f>
        <v>446.55847999999997</v>
      </c>
      <c r="Z60" s="110">
        <f>302925/1000</f>
        <v>302.92500000000001</v>
      </c>
      <c r="AA60" s="110">
        <f>268438.52/1000</f>
        <v>268.43852000000004</v>
      </c>
      <c r="AB60" s="110">
        <f>774963.57/1000</f>
        <v>774.96357</v>
      </c>
      <c r="AC60" s="110">
        <f>320184.84/1000</f>
        <v>320.18484000000001</v>
      </c>
      <c r="AD60" s="108"/>
      <c r="AE60" s="108"/>
      <c r="AF60" s="204"/>
      <c r="AH60" s="36"/>
    </row>
    <row r="61" spans="1:163" s="35" customFormat="1" ht="102.75" customHeight="1">
      <c r="A61" s="112" t="s">
        <v>122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204"/>
      <c r="AH61" s="151"/>
      <c r="AI61" s="152"/>
    </row>
    <row r="62" spans="1:163" s="35" customFormat="1" ht="22.5" customHeight="1">
      <c r="A62" s="101" t="s">
        <v>105</v>
      </c>
      <c r="B62" s="86">
        <f>H62+J62+L62+N62+P62+R62+T62+V62+X62+Z62+AB62+AD62</f>
        <v>236.642</v>
      </c>
      <c r="C62" s="84">
        <f>H62+J62+L62+N62+P62+R62+T62+V62+X62+Z62+AB62</f>
        <v>236.642</v>
      </c>
      <c r="D62" s="126">
        <f>236642/1000</f>
        <v>236.642</v>
      </c>
      <c r="E62" s="84">
        <f>I62+K62+M62+O62+Q62+S62+U62+W62+Y62+AA62+AC62</f>
        <v>154.98400000000001</v>
      </c>
      <c r="F62" s="106">
        <f>E62/B62</f>
        <v>0.65493023216504265</v>
      </c>
      <c r="G62" s="106">
        <f>E62/C62</f>
        <v>0.65493023216504265</v>
      </c>
      <c r="H62" s="108"/>
      <c r="I62" s="108"/>
      <c r="J62" s="108"/>
      <c r="K62" s="108"/>
      <c r="L62" s="110">
        <f>58142/1000</f>
        <v>58.142000000000003</v>
      </c>
      <c r="M62" s="108"/>
      <c r="N62" s="110">
        <f>17500/1000</f>
        <v>17.5</v>
      </c>
      <c r="O62" s="110">
        <f>75642/1000</f>
        <v>75.641999999999996</v>
      </c>
      <c r="P62" s="110">
        <f>3465/1000</f>
        <v>3.4649999999999999</v>
      </c>
      <c r="Q62" s="110">
        <f>3465/1000</f>
        <v>3.4649999999999999</v>
      </c>
      <c r="R62" s="110">
        <f>19881/1000</f>
        <v>19.881</v>
      </c>
      <c r="S62" s="110">
        <f>19881/1000</f>
        <v>19.881</v>
      </c>
      <c r="T62" s="110">
        <f>3287/1000</f>
        <v>3.2869999999999999</v>
      </c>
      <c r="U62" s="110">
        <f>3287/1000</f>
        <v>3.2869999999999999</v>
      </c>
      <c r="V62" s="110">
        <f>35000/1000</f>
        <v>35</v>
      </c>
      <c r="W62" s="108">
        <f>23860/1000</f>
        <v>23.86</v>
      </c>
      <c r="X62" s="110">
        <f>28000/1000</f>
        <v>28</v>
      </c>
      <c r="Y62" s="110">
        <f>7425/1000</f>
        <v>7.4249999999999998</v>
      </c>
      <c r="Z62" s="110">
        <f>7000/1000</f>
        <v>7</v>
      </c>
      <c r="AA62" s="110">
        <f>21424/1000</f>
        <v>21.423999999999999</v>
      </c>
      <c r="AB62" s="110">
        <f>64367/1000</f>
        <v>64.367000000000004</v>
      </c>
      <c r="AC62" s="108"/>
      <c r="AD62" s="108"/>
      <c r="AE62" s="108"/>
      <c r="AF62" s="204"/>
      <c r="AH62" s="151"/>
      <c r="AI62" s="152"/>
    </row>
    <row r="63" spans="1:163" s="35" customFormat="1" ht="22.5" customHeight="1">
      <c r="A63" s="95" t="s">
        <v>126</v>
      </c>
      <c r="B63" s="73">
        <f>B65+B64</f>
        <v>3726.2969999999996</v>
      </c>
      <c r="C63" s="73">
        <f>C65+C64</f>
        <v>3726.2969999999996</v>
      </c>
      <c r="D63" s="73">
        <f>D65+D64</f>
        <v>3298.8660599999994</v>
      </c>
      <c r="E63" s="73">
        <f>E65+E64</f>
        <v>2430.5911999999998</v>
      </c>
      <c r="F63" s="74">
        <f>E63/B63</f>
        <v>0.65228058847697867</v>
      </c>
      <c r="G63" s="74">
        <f>E63/C63</f>
        <v>0.65228058847697867</v>
      </c>
      <c r="H63" s="75">
        <f>H65+H64</f>
        <v>0</v>
      </c>
      <c r="I63" s="75">
        <f>I65+I64</f>
        <v>0</v>
      </c>
      <c r="J63" s="75">
        <f t="shared" ref="J63:AE63" si="21">J65+J64</f>
        <v>0</v>
      </c>
      <c r="K63" s="75">
        <f t="shared" si="21"/>
        <v>0</v>
      </c>
      <c r="L63" s="75">
        <f t="shared" si="21"/>
        <v>58.142000000000003</v>
      </c>
      <c r="M63" s="75">
        <f t="shared" si="21"/>
        <v>0</v>
      </c>
      <c r="N63" s="75">
        <f t="shared" si="21"/>
        <v>40.204229999999995</v>
      </c>
      <c r="O63" s="75">
        <f t="shared" si="21"/>
        <v>98.346229999999991</v>
      </c>
      <c r="P63" s="75">
        <f>P65+P64</f>
        <v>116.14102000000001</v>
      </c>
      <c r="Q63" s="75">
        <f t="shared" si="21"/>
        <v>106.06400000000001</v>
      </c>
      <c r="R63" s="75">
        <f t="shared" si="21"/>
        <v>261.78276</v>
      </c>
      <c r="S63" s="75">
        <f t="shared" si="21"/>
        <v>271.85909000000004</v>
      </c>
      <c r="T63" s="75">
        <f t="shared" si="21"/>
        <v>335.26977999999997</v>
      </c>
      <c r="U63" s="75">
        <f t="shared" si="21"/>
        <v>335.27278000000001</v>
      </c>
      <c r="V63" s="75">
        <f t="shared" si="21"/>
        <v>626.41041999999993</v>
      </c>
      <c r="W63" s="75">
        <f t="shared" si="21"/>
        <v>339.68675000000002</v>
      </c>
      <c r="X63" s="75">
        <f t="shared" si="21"/>
        <v>848.80500000000006</v>
      </c>
      <c r="Y63" s="75">
        <f t="shared" si="21"/>
        <v>553.31087000000002</v>
      </c>
      <c r="Z63" s="75">
        <f t="shared" si="21"/>
        <v>309.92500000000001</v>
      </c>
      <c r="AA63" s="75">
        <f>AA65+AA64</f>
        <v>344.65752000000003</v>
      </c>
      <c r="AB63" s="75">
        <f t="shared" si="21"/>
        <v>1129.61679</v>
      </c>
      <c r="AC63" s="75">
        <f t="shared" si="21"/>
        <v>381.39395999999999</v>
      </c>
      <c r="AD63" s="75">
        <f t="shared" si="21"/>
        <v>0</v>
      </c>
      <c r="AE63" s="75">
        <f t="shared" si="21"/>
        <v>0</v>
      </c>
      <c r="AF63" s="204"/>
      <c r="AG63" s="127"/>
      <c r="AH63" s="36"/>
    </row>
    <row r="64" spans="1:163" s="35" customFormat="1" ht="22.5" customHeight="1">
      <c r="A64" s="101" t="s">
        <v>104</v>
      </c>
      <c r="B64" s="86">
        <f>H64+J64+L64+N64+P64+R64+T64+V64+X64+Z64+AB64+AD64</f>
        <v>859.89999999999986</v>
      </c>
      <c r="C64" s="84">
        <f>C59</f>
        <v>859.89999999999986</v>
      </c>
      <c r="D64" s="84">
        <f>D59</f>
        <v>432.46605999999997</v>
      </c>
      <c r="E64" s="84">
        <f>E59</f>
        <v>432.46587</v>
      </c>
      <c r="F64" s="106">
        <f>E64/B64</f>
        <v>0.50292577043842313</v>
      </c>
      <c r="G64" s="106">
        <f>E64/C64</f>
        <v>0.50292577043842313</v>
      </c>
      <c r="H64" s="109">
        <f>H59</f>
        <v>0</v>
      </c>
      <c r="I64" s="109">
        <f t="shared" ref="I64:AE64" si="22">I59</f>
        <v>0</v>
      </c>
      <c r="J64" s="109">
        <f t="shared" si="22"/>
        <v>0</v>
      </c>
      <c r="K64" s="109">
        <f t="shared" si="22"/>
        <v>0</v>
      </c>
      <c r="L64" s="109">
        <f t="shared" si="22"/>
        <v>0</v>
      </c>
      <c r="M64" s="109">
        <f t="shared" si="22"/>
        <v>0</v>
      </c>
      <c r="N64" s="109">
        <f t="shared" si="22"/>
        <v>0</v>
      </c>
      <c r="O64" s="109">
        <f t="shared" si="22"/>
        <v>0</v>
      </c>
      <c r="P64" s="109">
        <f t="shared" si="22"/>
        <v>0</v>
      </c>
      <c r="Q64" s="109">
        <f t="shared" si="22"/>
        <v>0</v>
      </c>
      <c r="R64" s="109">
        <f t="shared" si="22"/>
        <v>0</v>
      </c>
      <c r="S64" s="109">
        <f t="shared" si="22"/>
        <v>0</v>
      </c>
      <c r="T64" s="109">
        <f t="shared" si="22"/>
        <v>161.95635999999999</v>
      </c>
      <c r="U64" s="109">
        <f t="shared" si="22"/>
        <v>161.95635999999999</v>
      </c>
      <c r="V64" s="109">
        <f t="shared" si="22"/>
        <v>70.457419999999999</v>
      </c>
      <c r="W64" s="109">
        <f t="shared" si="22"/>
        <v>55.177999999999997</v>
      </c>
      <c r="X64" s="109">
        <f t="shared" si="22"/>
        <v>337.2</v>
      </c>
      <c r="Y64" s="109">
        <f t="shared" si="22"/>
        <v>99.327389999999994</v>
      </c>
      <c r="Z64" s="109">
        <f t="shared" si="22"/>
        <v>0</v>
      </c>
      <c r="AA64" s="109">
        <f t="shared" si="22"/>
        <v>54.795000000000002</v>
      </c>
      <c r="AB64" s="109">
        <f t="shared" si="22"/>
        <v>290.28621999999996</v>
      </c>
      <c r="AC64" s="109">
        <f t="shared" si="22"/>
        <v>61.209120000000006</v>
      </c>
      <c r="AD64" s="109">
        <f t="shared" si="22"/>
        <v>0</v>
      </c>
      <c r="AE64" s="109">
        <f t="shared" si="22"/>
        <v>0</v>
      </c>
      <c r="AF64" s="204"/>
      <c r="AH64" s="36"/>
    </row>
    <row r="65" spans="1:34" s="35" customFormat="1" ht="22.5" customHeight="1">
      <c r="A65" s="101" t="s">
        <v>105</v>
      </c>
      <c r="B65" s="86">
        <f>B60+B62</f>
        <v>2866.3969999999999</v>
      </c>
      <c r="C65" s="84">
        <f>C60+C62</f>
        <v>2866.3969999999999</v>
      </c>
      <c r="D65" s="84">
        <f>D60+D62</f>
        <v>2866.3999999999996</v>
      </c>
      <c r="E65" s="84">
        <f>E60+E62</f>
        <v>1998.1253299999998</v>
      </c>
      <c r="F65" s="106">
        <f>E65/B65</f>
        <v>0.69708603867503349</v>
      </c>
      <c r="G65" s="106">
        <f>E65/C65</f>
        <v>0.69708603867503349</v>
      </c>
      <c r="H65" s="109">
        <f>H60+H62</f>
        <v>0</v>
      </c>
      <c r="I65" s="109">
        <f t="shared" ref="I65:AE65" si="23">I60+I62</f>
        <v>0</v>
      </c>
      <c r="J65" s="109">
        <f t="shared" si="23"/>
        <v>0</v>
      </c>
      <c r="K65" s="109">
        <f t="shared" si="23"/>
        <v>0</v>
      </c>
      <c r="L65" s="109">
        <f t="shared" si="23"/>
        <v>58.142000000000003</v>
      </c>
      <c r="M65" s="109">
        <f t="shared" si="23"/>
        <v>0</v>
      </c>
      <c r="N65" s="109">
        <f t="shared" si="23"/>
        <v>40.204229999999995</v>
      </c>
      <c r="O65" s="109">
        <f t="shared" si="23"/>
        <v>98.346229999999991</v>
      </c>
      <c r="P65" s="109">
        <f t="shared" si="23"/>
        <v>116.14102000000001</v>
      </c>
      <c r="Q65" s="109">
        <f t="shared" si="23"/>
        <v>106.06400000000001</v>
      </c>
      <c r="R65" s="109">
        <f t="shared" si="23"/>
        <v>261.78276</v>
      </c>
      <c r="S65" s="109">
        <f t="shared" si="23"/>
        <v>271.85909000000004</v>
      </c>
      <c r="T65" s="109">
        <f t="shared" si="23"/>
        <v>173.31342000000001</v>
      </c>
      <c r="U65" s="109">
        <f t="shared" si="23"/>
        <v>173.31642000000002</v>
      </c>
      <c r="V65" s="109">
        <f t="shared" si="23"/>
        <v>555.95299999999997</v>
      </c>
      <c r="W65" s="109">
        <f t="shared" si="23"/>
        <v>284.50875000000002</v>
      </c>
      <c r="X65" s="109">
        <f t="shared" si="23"/>
        <v>511.60500000000002</v>
      </c>
      <c r="Y65" s="109">
        <f t="shared" si="23"/>
        <v>453.98347999999999</v>
      </c>
      <c r="Z65" s="109">
        <f t="shared" si="23"/>
        <v>309.92500000000001</v>
      </c>
      <c r="AA65" s="109">
        <f t="shared" si="23"/>
        <v>289.86252000000002</v>
      </c>
      <c r="AB65" s="109">
        <f t="shared" si="23"/>
        <v>839.33056999999997</v>
      </c>
      <c r="AC65" s="109">
        <f t="shared" si="23"/>
        <v>320.18484000000001</v>
      </c>
      <c r="AD65" s="109">
        <f t="shared" si="23"/>
        <v>0</v>
      </c>
      <c r="AE65" s="109">
        <f t="shared" si="23"/>
        <v>0</v>
      </c>
      <c r="AF65" s="205"/>
      <c r="AH65" s="36"/>
    </row>
    <row r="66" spans="1:34" s="35" customFormat="1" ht="22.5" customHeight="1">
      <c r="A66" s="103" t="s">
        <v>125</v>
      </c>
      <c r="B66" s="101"/>
      <c r="C66" s="101"/>
      <c r="D66" s="101"/>
      <c r="E66" s="101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203" t="s">
        <v>158</v>
      </c>
      <c r="AH66" s="36"/>
    </row>
    <row r="67" spans="1:34" s="35" customFormat="1" ht="33" customHeight="1">
      <c r="A67" s="112" t="s">
        <v>120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204"/>
      <c r="AH67" s="36"/>
    </row>
    <row r="68" spans="1:34" s="35" customFormat="1" ht="184.5" customHeight="1">
      <c r="A68" s="102" t="s">
        <v>105</v>
      </c>
      <c r="B68" s="86">
        <f>H68+J68+L68+N68+P68+R68+T68+V68+X68+Z68+AB68+AD68</f>
        <v>5165.7997400000004</v>
      </c>
      <c r="C68" s="84">
        <f>H68+J68+L68+N68+P68+R68+T68+V68+X68+Z68+AB68</f>
        <v>3982.1497399999998</v>
      </c>
      <c r="D68" s="84">
        <f>C68</f>
        <v>3982.1497399999998</v>
      </c>
      <c r="E68" s="84">
        <f>I68+K68+M68+O68+Q68+S68+U68+W68+Y68+AA68+AC68</f>
        <v>3905.61</v>
      </c>
      <c r="F68" s="106">
        <f>E68/B68</f>
        <v>0.7560513756965731</v>
      </c>
      <c r="G68" s="106">
        <f>E68/C68</f>
        <v>0.98077929133825092</v>
      </c>
      <c r="H68" s="86"/>
      <c r="I68" s="86"/>
      <c r="J68" s="86">
        <f>470000/1000</f>
        <v>470</v>
      </c>
      <c r="K68" s="86">
        <v>141.06</v>
      </c>
      <c r="L68" s="86">
        <f>470000/1000</f>
        <v>470</v>
      </c>
      <c r="M68" s="86">
        <v>469.7</v>
      </c>
      <c r="N68" s="86">
        <f>470000/1000</f>
        <v>470</v>
      </c>
      <c r="O68" s="86">
        <v>484.9</v>
      </c>
      <c r="P68" s="86">
        <f>450000/1000</f>
        <v>450</v>
      </c>
      <c r="Q68" s="86">
        <v>388.32</v>
      </c>
      <c r="R68" s="86">
        <v>477.25</v>
      </c>
      <c r="S68" s="86">
        <v>282.93</v>
      </c>
      <c r="T68" s="86">
        <f>(170000+49629.74)/1000</f>
        <v>219.62974</v>
      </c>
      <c r="U68" s="86">
        <v>89.63</v>
      </c>
      <c r="V68" s="86">
        <f>200000/1000</f>
        <v>200</v>
      </c>
      <c r="W68" s="86">
        <v>614.14</v>
      </c>
      <c r="X68" s="86">
        <f>200000/1000</f>
        <v>200</v>
      </c>
      <c r="Y68" s="86">
        <v>235.86</v>
      </c>
      <c r="Z68" s="86">
        <v>486.41</v>
      </c>
      <c r="AA68" s="86">
        <v>561.96</v>
      </c>
      <c r="AB68" s="86">
        <f>(450000+80000+8860)/1000</f>
        <v>538.86</v>
      </c>
      <c r="AC68" s="86">
        <v>637.11</v>
      </c>
      <c r="AD68" s="86">
        <f>1192.51-8.86</f>
        <v>1183.6500000000001</v>
      </c>
      <c r="AE68" s="86"/>
      <c r="AF68" s="205"/>
      <c r="AG68" s="127"/>
      <c r="AH68" s="36"/>
    </row>
    <row r="69" spans="1:34" s="35" customFormat="1">
      <c r="A69" s="72" t="s">
        <v>138</v>
      </c>
      <c r="B69" s="73">
        <f>B71+B70</f>
        <v>8892.0967400000009</v>
      </c>
      <c r="C69" s="73">
        <f>C71+C70</f>
        <v>7708.4467399999994</v>
      </c>
      <c r="D69" s="73">
        <f>D71+D70</f>
        <v>7281.0157999999992</v>
      </c>
      <c r="E69" s="73">
        <f>E71+E70</f>
        <v>6336.2011999999995</v>
      </c>
      <c r="F69" s="74">
        <f>E69/B69</f>
        <v>0.71256548205299874</v>
      </c>
      <c r="G69" s="74">
        <f>E69/C69</f>
        <v>0.82198157601851707</v>
      </c>
      <c r="H69" s="75">
        <f t="shared" ref="H69:AE69" si="24">H71+H70</f>
        <v>0</v>
      </c>
      <c r="I69" s="75">
        <f t="shared" si="24"/>
        <v>0</v>
      </c>
      <c r="J69" s="75">
        <f t="shared" si="24"/>
        <v>470</v>
      </c>
      <c r="K69" s="75">
        <f>K71+K70</f>
        <v>141.06</v>
      </c>
      <c r="L69" s="75">
        <f t="shared" si="24"/>
        <v>528.14200000000005</v>
      </c>
      <c r="M69" s="75">
        <f t="shared" si="24"/>
        <v>469.7</v>
      </c>
      <c r="N69" s="75">
        <f t="shared" si="24"/>
        <v>510.20423</v>
      </c>
      <c r="O69" s="75">
        <f t="shared" si="24"/>
        <v>583.24622999999997</v>
      </c>
      <c r="P69" s="75">
        <f t="shared" si="24"/>
        <v>566.14102000000003</v>
      </c>
      <c r="Q69" s="75">
        <f t="shared" si="24"/>
        <v>494.38400000000001</v>
      </c>
      <c r="R69" s="75">
        <f t="shared" si="24"/>
        <v>739.03276000000005</v>
      </c>
      <c r="S69" s="75">
        <f t="shared" si="24"/>
        <v>554.78908999999999</v>
      </c>
      <c r="T69" s="75">
        <f>T71+T70</f>
        <v>554.89952000000005</v>
      </c>
      <c r="U69" s="75">
        <f>U71+U70</f>
        <v>424.90278000000001</v>
      </c>
      <c r="V69" s="75">
        <f t="shared" si="24"/>
        <v>826.41041999999993</v>
      </c>
      <c r="W69" s="75">
        <f t="shared" si="24"/>
        <v>953.82675000000006</v>
      </c>
      <c r="X69" s="75">
        <f t="shared" si="24"/>
        <v>1048.8050000000001</v>
      </c>
      <c r="Y69" s="75">
        <f t="shared" si="24"/>
        <v>789.17087000000004</v>
      </c>
      <c r="Z69" s="75">
        <f t="shared" si="24"/>
        <v>796.33500000000004</v>
      </c>
      <c r="AA69" s="75">
        <f t="shared" si="24"/>
        <v>906.61752000000001</v>
      </c>
      <c r="AB69" s="75">
        <f t="shared" si="24"/>
        <v>1668.4767899999999</v>
      </c>
      <c r="AC69" s="75">
        <f t="shared" si="24"/>
        <v>1018.50396</v>
      </c>
      <c r="AD69" s="75">
        <f t="shared" si="24"/>
        <v>1183.6500000000001</v>
      </c>
      <c r="AE69" s="75">
        <f t="shared" si="24"/>
        <v>0</v>
      </c>
      <c r="AF69" s="75"/>
      <c r="AH69" s="36"/>
    </row>
    <row r="70" spans="1:34" s="35" customFormat="1">
      <c r="A70" s="91" t="s">
        <v>104</v>
      </c>
      <c r="B70" s="111">
        <f>B64</f>
        <v>859.89999999999986</v>
      </c>
      <c r="C70" s="107">
        <f>C64</f>
        <v>859.89999999999986</v>
      </c>
      <c r="D70" s="107">
        <f>D64</f>
        <v>432.46605999999997</v>
      </c>
      <c r="E70" s="107">
        <f>E64</f>
        <v>432.46587</v>
      </c>
      <c r="F70" s="79">
        <f>E70/B70</f>
        <v>0.50292577043842313</v>
      </c>
      <c r="G70" s="79">
        <f>E70/C70</f>
        <v>0.50292577043842313</v>
      </c>
      <c r="H70" s="111">
        <f>H64</f>
        <v>0</v>
      </c>
      <c r="I70" s="111">
        <f t="shared" ref="I70:AE70" si="25">I64</f>
        <v>0</v>
      </c>
      <c r="J70" s="111">
        <f>J64</f>
        <v>0</v>
      </c>
      <c r="K70" s="111">
        <f t="shared" si="25"/>
        <v>0</v>
      </c>
      <c r="L70" s="111">
        <f t="shared" ref="L70:AA70" si="26">L64</f>
        <v>0</v>
      </c>
      <c r="M70" s="111">
        <f t="shared" si="26"/>
        <v>0</v>
      </c>
      <c r="N70" s="111">
        <f t="shared" si="26"/>
        <v>0</v>
      </c>
      <c r="O70" s="111">
        <f t="shared" si="26"/>
        <v>0</v>
      </c>
      <c r="P70" s="111">
        <f t="shared" si="26"/>
        <v>0</v>
      </c>
      <c r="Q70" s="111">
        <f t="shared" si="26"/>
        <v>0</v>
      </c>
      <c r="R70" s="111">
        <f t="shared" si="26"/>
        <v>0</v>
      </c>
      <c r="S70" s="111">
        <f t="shared" si="26"/>
        <v>0</v>
      </c>
      <c r="T70" s="111">
        <f t="shared" si="26"/>
        <v>161.95635999999999</v>
      </c>
      <c r="U70" s="111">
        <f t="shared" si="26"/>
        <v>161.95635999999999</v>
      </c>
      <c r="V70" s="111">
        <f t="shared" si="26"/>
        <v>70.457419999999999</v>
      </c>
      <c r="W70" s="111">
        <f t="shared" si="26"/>
        <v>55.177999999999997</v>
      </c>
      <c r="X70" s="111">
        <f t="shared" si="26"/>
        <v>337.2</v>
      </c>
      <c r="Y70" s="111">
        <f t="shared" si="26"/>
        <v>99.327389999999994</v>
      </c>
      <c r="Z70" s="111">
        <f t="shared" si="26"/>
        <v>0</v>
      </c>
      <c r="AA70" s="111">
        <f t="shared" si="26"/>
        <v>54.795000000000002</v>
      </c>
      <c r="AB70" s="111">
        <f t="shared" si="25"/>
        <v>290.28621999999996</v>
      </c>
      <c r="AC70" s="111">
        <f t="shared" si="25"/>
        <v>61.209120000000006</v>
      </c>
      <c r="AD70" s="111">
        <f t="shared" si="25"/>
        <v>0</v>
      </c>
      <c r="AE70" s="111">
        <f t="shared" si="25"/>
        <v>0</v>
      </c>
      <c r="AF70" s="107"/>
      <c r="AH70" s="36"/>
    </row>
    <row r="71" spans="1:34" s="33" customFormat="1" ht="26.25" customHeight="1">
      <c r="A71" s="89" t="s">
        <v>105</v>
      </c>
      <c r="B71" s="81">
        <f>B65+B68</f>
        <v>8032.1967400000003</v>
      </c>
      <c r="C71" s="81">
        <f>C65+C68</f>
        <v>6848.5467399999998</v>
      </c>
      <c r="D71" s="81">
        <f>D65+D68</f>
        <v>6848.5497399999995</v>
      </c>
      <c r="E71" s="81">
        <f>E65+E68</f>
        <v>5903.7353299999995</v>
      </c>
      <c r="F71" s="83">
        <f>E71/B71</f>
        <v>0.73500880532465629</v>
      </c>
      <c r="G71" s="83">
        <f>E71/C71</f>
        <v>0.862042058575481</v>
      </c>
      <c r="H71" s="81">
        <f t="shared" ref="H71:AE71" si="27">H65+H68</f>
        <v>0</v>
      </c>
      <c r="I71" s="81">
        <f t="shared" si="27"/>
        <v>0</v>
      </c>
      <c r="J71" s="81">
        <f t="shared" si="27"/>
        <v>470</v>
      </c>
      <c r="K71" s="81">
        <f t="shared" si="27"/>
        <v>141.06</v>
      </c>
      <c r="L71" s="81">
        <f>L65+L68</f>
        <v>528.14200000000005</v>
      </c>
      <c r="M71" s="81">
        <f t="shared" si="27"/>
        <v>469.7</v>
      </c>
      <c r="N71" s="81">
        <f t="shared" si="27"/>
        <v>510.20423</v>
      </c>
      <c r="O71" s="81">
        <f t="shared" si="27"/>
        <v>583.24622999999997</v>
      </c>
      <c r="P71" s="81">
        <f t="shared" si="27"/>
        <v>566.14102000000003</v>
      </c>
      <c r="Q71" s="81">
        <f t="shared" si="27"/>
        <v>494.38400000000001</v>
      </c>
      <c r="R71" s="81">
        <f t="shared" si="27"/>
        <v>739.03276000000005</v>
      </c>
      <c r="S71" s="81">
        <f t="shared" si="27"/>
        <v>554.78908999999999</v>
      </c>
      <c r="T71" s="81">
        <f t="shared" si="27"/>
        <v>392.94316000000003</v>
      </c>
      <c r="U71" s="81">
        <f t="shared" si="27"/>
        <v>262.94641999999999</v>
      </c>
      <c r="V71" s="81">
        <f t="shared" si="27"/>
        <v>755.95299999999997</v>
      </c>
      <c r="W71" s="81">
        <f t="shared" si="27"/>
        <v>898.64875000000006</v>
      </c>
      <c r="X71" s="81">
        <f t="shared" si="27"/>
        <v>711.60500000000002</v>
      </c>
      <c r="Y71" s="81">
        <f t="shared" si="27"/>
        <v>689.84348</v>
      </c>
      <c r="Z71" s="81">
        <f t="shared" si="27"/>
        <v>796.33500000000004</v>
      </c>
      <c r="AA71" s="81">
        <f t="shared" si="27"/>
        <v>851.82252000000005</v>
      </c>
      <c r="AB71" s="81">
        <f t="shared" si="27"/>
        <v>1378.19057</v>
      </c>
      <c r="AC71" s="81">
        <f t="shared" si="27"/>
        <v>957.29484000000002</v>
      </c>
      <c r="AD71" s="81">
        <f t="shared" si="27"/>
        <v>1183.6500000000001</v>
      </c>
      <c r="AE71" s="81">
        <f t="shared" si="27"/>
        <v>0</v>
      </c>
      <c r="AF71" s="81"/>
      <c r="AH71" s="34"/>
    </row>
    <row r="72" spans="1:34" s="35" customFormat="1" ht="122.25" customHeight="1">
      <c r="A72" s="133" t="s">
        <v>131</v>
      </c>
      <c r="B72" s="143"/>
      <c r="C72" s="140"/>
      <c r="D72" s="140"/>
      <c r="E72" s="140"/>
      <c r="F72" s="141"/>
      <c r="G72" s="141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2"/>
      <c r="AF72" s="149" t="s">
        <v>139</v>
      </c>
      <c r="AH72" s="36"/>
    </row>
    <row r="73" spans="1:34" s="35" customFormat="1">
      <c r="A73" s="72" t="s">
        <v>25</v>
      </c>
      <c r="B73" s="73">
        <f>B74</f>
        <v>0</v>
      </c>
      <c r="C73" s="73">
        <f>C74</f>
        <v>0</v>
      </c>
      <c r="D73" s="73">
        <f>D74</f>
        <v>0</v>
      </c>
      <c r="E73" s="73">
        <f t="shared" ref="E73:AE73" si="28">E74</f>
        <v>0</v>
      </c>
      <c r="F73" s="74">
        <f t="shared" si="28"/>
        <v>0</v>
      </c>
      <c r="G73" s="74">
        <v>0</v>
      </c>
      <c r="H73" s="73">
        <f t="shared" si="28"/>
        <v>0</v>
      </c>
      <c r="I73" s="73">
        <f t="shared" si="28"/>
        <v>0</v>
      </c>
      <c r="J73" s="73">
        <f t="shared" si="28"/>
        <v>0</v>
      </c>
      <c r="K73" s="73">
        <f t="shared" si="28"/>
        <v>0</v>
      </c>
      <c r="L73" s="73">
        <f t="shared" si="28"/>
        <v>0</v>
      </c>
      <c r="M73" s="73">
        <f t="shared" si="28"/>
        <v>0</v>
      </c>
      <c r="N73" s="73">
        <f t="shared" si="28"/>
        <v>0</v>
      </c>
      <c r="O73" s="73">
        <f t="shared" si="28"/>
        <v>0</v>
      </c>
      <c r="P73" s="73">
        <f t="shared" si="28"/>
        <v>0</v>
      </c>
      <c r="Q73" s="73">
        <f t="shared" si="28"/>
        <v>0</v>
      </c>
      <c r="R73" s="73">
        <f t="shared" si="28"/>
        <v>0</v>
      </c>
      <c r="S73" s="73">
        <f t="shared" si="28"/>
        <v>0</v>
      </c>
      <c r="T73" s="73">
        <f t="shared" si="28"/>
        <v>0</v>
      </c>
      <c r="U73" s="73">
        <f t="shared" si="28"/>
        <v>0</v>
      </c>
      <c r="V73" s="73">
        <f t="shared" si="28"/>
        <v>0</v>
      </c>
      <c r="W73" s="73">
        <f t="shared" si="28"/>
        <v>0</v>
      </c>
      <c r="X73" s="73">
        <f t="shared" si="28"/>
        <v>0</v>
      </c>
      <c r="Y73" s="73">
        <f t="shared" si="28"/>
        <v>0</v>
      </c>
      <c r="Z73" s="73">
        <f t="shared" si="28"/>
        <v>0</v>
      </c>
      <c r="AA73" s="73">
        <f t="shared" si="28"/>
        <v>0</v>
      </c>
      <c r="AB73" s="73">
        <f t="shared" si="28"/>
        <v>0</v>
      </c>
      <c r="AC73" s="73">
        <f t="shared" si="28"/>
        <v>0</v>
      </c>
      <c r="AD73" s="73">
        <f t="shared" si="28"/>
        <v>0</v>
      </c>
      <c r="AE73" s="73">
        <f t="shared" si="28"/>
        <v>0</v>
      </c>
      <c r="AF73" s="73"/>
      <c r="AH73" s="36"/>
    </row>
    <row r="74" spans="1:34" s="35" customFormat="1" ht="21" customHeight="1">
      <c r="A74" s="76" t="s">
        <v>104</v>
      </c>
      <c r="B74" s="77">
        <f>H74+J74+L74+N74+P74+R74+T74+V74+X74+Z74+AB74+AD74</f>
        <v>0</v>
      </c>
      <c r="C74" s="78">
        <f>H74+J74+L74+N74+P74+R74+T74+V74+X74</f>
        <v>0</v>
      </c>
      <c r="D74" s="78">
        <f>H74+J74+L74+N74+P74+R74+T74+V74</f>
        <v>0</v>
      </c>
      <c r="E74" s="78">
        <f>I74+K74+M74+O74+Q74+S74+U74+W74+Y74+AA74+AC74+AE74</f>
        <v>0</v>
      </c>
      <c r="F74" s="79">
        <v>0</v>
      </c>
      <c r="G74" s="79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78">
        <v>0</v>
      </c>
      <c r="AE74" s="78">
        <v>0</v>
      </c>
      <c r="AF74" s="78"/>
      <c r="AH74" s="36"/>
    </row>
    <row r="75" spans="1:34" s="35" customFormat="1" ht="51" customHeight="1">
      <c r="A75" s="94" t="s">
        <v>115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41"/>
      <c r="AH75" s="36"/>
    </row>
    <row r="76" spans="1:34" s="35" customFormat="1">
      <c r="A76" s="72" t="s">
        <v>25</v>
      </c>
      <c r="B76" s="73">
        <f>B77+B78</f>
        <v>3144.1</v>
      </c>
      <c r="C76" s="73">
        <f>C77+C78</f>
        <v>2918.6898200000001</v>
      </c>
      <c r="D76" s="73">
        <f>D77+D78</f>
        <v>2846.1</v>
      </c>
      <c r="E76" s="73">
        <f>E77+E78</f>
        <v>2737.9902899999993</v>
      </c>
      <c r="F76" s="74">
        <f>E76/B76</f>
        <v>0.87083435323303948</v>
      </c>
      <c r="G76" s="74">
        <f>E76/C76</f>
        <v>0.93808882027758578</v>
      </c>
      <c r="H76" s="73">
        <f t="shared" ref="H76" si="29">H77+H78</f>
        <v>524.64462000000003</v>
      </c>
      <c r="I76" s="73">
        <f t="shared" ref="I76" si="30">I77+I78</f>
        <v>484.70751000000001</v>
      </c>
      <c r="J76" s="73">
        <f t="shared" ref="J76" si="31">J77+J78</f>
        <v>249.03572</v>
      </c>
      <c r="K76" s="73">
        <f t="shared" ref="K76" si="32">K77+K78</f>
        <v>285.25</v>
      </c>
      <c r="L76" s="73">
        <f t="shared" ref="L76" si="33">L77+L78</f>
        <v>102.92872</v>
      </c>
      <c r="M76" s="73">
        <f t="shared" ref="M76" si="34">M77+M78</f>
        <v>90.22</v>
      </c>
      <c r="N76" s="73">
        <f t="shared" ref="N76" si="35">N77+N78</f>
        <v>233.56572</v>
      </c>
      <c r="O76" s="73">
        <f t="shared" ref="O76" si="36">O77+O78</f>
        <v>228.02</v>
      </c>
      <c r="P76" s="73">
        <f t="shared" ref="P76" si="37">P77+P78</f>
        <v>308.98971999999998</v>
      </c>
      <c r="Q76" s="73">
        <f t="shared" ref="Q76" si="38">Q77+Q78</f>
        <v>136.16</v>
      </c>
      <c r="R76" s="73">
        <f t="shared" ref="R76" si="39">R77+R78</f>
        <v>120.23872</v>
      </c>
      <c r="S76" s="73">
        <f t="shared" ref="S76" si="40">S77+S78</f>
        <v>306.14278000000002</v>
      </c>
      <c r="T76" s="73">
        <f t="shared" ref="T76" si="41">T77+T78</f>
        <v>633.34371999999996</v>
      </c>
      <c r="U76" s="73">
        <f t="shared" ref="U76" si="42">U77+U78</f>
        <v>582.28</v>
      </c>
      <c r="V76" s="73">
        <f t="shared" ref="V76" si="43">V77+V78</f>
        <v>174.05472</v>
      </c>
      <c r="W76" s="73">
        <f t="shared" ref="W76" si="44">W77+W78</f>
        <v>174.5</v>
      </c>
      <c r="X76" s="73">
        <f t="shared" ref="X76" si="45">X77+X78</f>
        <v>200.15371999999999</v>
      </c>
      <c r="Y76" s="73">
        <f t="shared" ref="Y76" si="46">Y77+Y78</f>
        <v>104.22</v>
      </c>
      <c r="Z76" s="73">
        <f t="shared" ref="Z76" si="47">Z77+Z78</f>
        <v>233.29172</v>
      </c>
      <c r="AA76" s="73">
        <f t="shared" ref="AA76" si="48">AA77+AA78</f>
        <v>217.7</v>
      </c>
      <c r="AB76" s="73">
        <f t="shared" ref="AB76" si="49">AB77+AB78</f>
        <v>138.44272000000001</v>
      </c>
      <c r="AC76" s="73">
        <f t="shared" ref="AC76" si="50">AC77+AC78</f>
        <v>128.79</v>
      </c>
      <c r="AD76" s="73">
        <f t="shared" ref="AD76" si="51">AD77+AD78</f>
        <v>225.41018</v>
      </c>
      <c r="AE76" s="73">
        <f>AE77+AE78</f>
        <v>0</v>
      </c>
      <c r="AF76" s="73"/>
      <c r="AH76" s="36"/>
    </row>
    <row r="77" spans="1:34" s="35" customFormat="1">
      <c r="A77" s="76" t="s">
        <v>104</v>
      </c>
      <c r="B77" s="77">
        <f>B81</f>
        <v>3144.1</v>
      </c>
      <c r="C77" s="77">
        <f t="shared" ref="C77:AE77" si="52">C81</f>
        <v>2918.6898200000001</v>
      </c>
      <c r="D77" s="77">
        <f t="shared" si="52"/>
        <v>2846.1</v>
      </c>
      <c r="E77" s="77">
        <f t="shared" si="52"/>
        <v>2737.9902899999993</v>
      </c>
      <c r="F77" s="119">
        <f>E77/B77</f>
        <v>0.87083435323303948</v>
      </c>
      <c r="G77" s="119">
        <f>E77/C77</f>
        <v>0.93808882027758578</v>
      </c>
      <c r="H77" s="77">
        <f t="shared" si="52"/>
        <v>524.64462000000003</v>
      </c>
      <c r="I77" s="77">
        <f t="shared" si="52"/>
        <v>484.70751000000001</v>
      </c>
      <c r="J77" s="77">
        <f t="shared" si="52"/>
        <v>249.03572</v>
      </c>
      <c r="K77" s="77">
        <f t="shared" si="52"/>
        <v>285.25</v>
      </c>
      <c r="L77" s="77">
        <f t="shared" si="52"/>
        <v>102.92872</v>
      </c>
      <c r="M77" s="77">
        <f t="shared" si="52"/>
        <v>90.22</v>
      </c>
      <c r="N77" s="77">
        <f t="shared" si="52"/>
        <v>233.56572</v>
      </c>
      <c r="O77" s="77">
        <f t="shared" si="52"/>
        <v>228.02</v>
      </c>
      <c r="P77" s="77">
        <f t="shared" si="52"/>
        <v>308.98971999999998</v>
      </c>
      <c r="Q77" s="77">
        <f t="shared" si="52"/>
        <v>136.16</v>
      </c>
      <c r="R77" s="77">
        <f t="shared" si="52"/>
        <v>120.23872</v>
      </c>
      <c r="S77" s="77">
        <f t="shared" si="52"/>
        <v>306.14278000000002</v>
      </c>
      <c r="T77" s="77">
        <f t="shared" si="52"/>
        <v>633.34371999999996</v>
      </c>
      <c r="U77" s="77">
        <f t="shared" si="52"/>
        <v>582.28</v>
      </c>
      <c r="V77" s="77">
        <f t="shared" si="52"/>
        <v>174.05472</v>
      </c>
      <c r="W77" s="77">
        <f t="shared" si="52"/>
        <v>174.5</v>
      </c>
      <c r="X77" s="77">
        <f t="shared" si="52"/>
        <v>200.15371999999999</v>
      </c>
      <c r="Y77" s="77">
        <f t="shared" si="52"/>
        <v>104.22</v>
      </c>
      <c r="Z77" s="77">
        <f t="shared" si="52"/>
        <v>233.29172</v>
      </c>
      <c r="AA77" s="77">
        <f t="shared" si="52"/>
        <v>217.7</v>
      </c>
      <c r="AB77" s="77">
        <f t="shared" si="52"/>
        <v>138.44272000000001</v>
      </c>
      <c r="AC77" s="77">
        <f t="shared" si="52"/>
        <v>128.79</v>
      </c>
      <c r="AD77" s="77">
        <f t="shared" si="52"/>
        <v>225.41018</v>
      </c>
      <c r="AE77" s="77">
        <f t="shared" si="52"/>
        <v>0</v>
      </c>
      <c r="AF77" s="77"/>
      <c r="AH77" s="36"/>
    </row>
    <row r="78" spans="1:34" s="35" customFormat="1">
      <c r="A78" s="80" t="s">
        <v>105</v>
      </c>
      <c r="B78" s="81">
        <f>B84</f>
        <v>0</v>
      </c>
      <c r="C78" s="81">
        <f t="shared" ref="C78:AE78" si="53">C84</f>
        <v>0</v>
      </c>
      <c r="D78" s="81">
        <f t="shared" si="53"/>
        <v>0</v>
      </c>
      <c r="E78" s="81">
        <f t="shared" si="53"/>
        <v>0</v>
      </c>
      <c r="F78" s="120">
        <v>0</v>
      </c>
      <c r="G78" s="120">
        <v>0</v>
      </c>
      <c r="H78" s="81">
        <f t="shared" si="53"/>
        <v>0</v>
      </c>
      <c r="I78" s="81">
        <f t="shared" si="53"/>
        <v>0</v>
      </c>
      <c r="J78" s="81">
        <f t="shared" si="53"/>
        <v>0</v>
      </c>
      <c r="K78" s="81">
        <f t="shared" si="53"/>
        <v>0</v>
      </c>
      <c r="L78" s="81">
        <f t="shared" si="53"/>
        <v>0</v>
      </c>
      <c r="M78" s="81">
        <f t="shared" si="53"/>
        <v>0</v>
      </c>
      <c r="N78" s="81">
        <f t="shared" si="53"/>
        <v>0</v>
      </c>
      <c r="O78" s="81">
        <f t="shared" si="53"/>
        <v>0</v>
      </c>
      <c r="P78" s="81">
        <f t="shared" si="53"/>
        <v>0</v>
      </c>
      <c r="Q78" s="81">
        <f t="shared" si="53"/>
        <v>0</v>
      </c>
      <c r="R78" s="81">
        <f t="shared" si="53"/>
        <v>0</v>
      </c>
      <c r="S78" s="81">
        <f t="shared" si="53"/>
        <v>0</v>
      </c>
      <c r="T78" s="81">
        <f t="shared" si="53"/>
        <v>0</v>
      </c>
      <c r="U78" s="81">
        <f t="shared" si="53"/>
        <v>0</v>
      </c>
      <c r="V78" s="81">
        <f t="shared" si="53"/>
        <v>0</v>
      </c>
      <c r="W78" s="81">
        <f t="shared" si="53"/>
        <v>0</v>
      </c>
      <c r="X78" s="81">
        <f t="shared" si="53"/>
        <v>0</v>
      </c>
      <c r="Y78" s="81">
        <f t="shared" si="53"/>
        <v>0</v>
      </c>
      <c r="Z78" s="81">
        <f t="shared" si="53"/>
        <v>0</v>
      </c>
      <c r="AA78" s="81">
        <f t="shared" si="53"/>
        <v>0</v>
      </c>
      <c r="AB78" s="81">
        <f t="shared" si="53"/>
        <v>0</v>
      </c>
      <c r="AC78" s="81">
        <f t="shared" si="53"/>
        <v>0</v>
      </c>
      <c r="AD78" s="81">
        <f t="shared" si="53"/>
        <v>0</v>
      </c>
      <c r="AE78" s="81">
        <f t="shared" si="53"/>
        <v>0</v>
      </c>
      <c r="AF78" s="81"/>
      <c r="AH78" s="36"/>
    </row>
    <row r="79" spans="1:34" s="35" customFormat="1" ht="130.5" customHeight="1">
      <c r="A79" s="129" t="s">
        <v>132</v>
      </c>
      <c r="B79" s="70"/>
      <c r="C79" s="130"/>
      <c r="D79" s="130"/>
      <c r="E79" s="130"/>
      <c r="F79" s="131"/>
      <c r="G79" s="131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2"/>
      <c r="AF79" s="207" t="s">
        <v>159</v>
      </c>
      <c r="AG79" s="127"/>
      <c r="AH79" s="36"/>
    </row>
    <row r="80" spans="1:34" s="35" customFormat="1">
      <c r="A80" s="72" t="s">
        <v>25</v>
      </c>
      <c r="B80" s="73">
        <f>B81</f>
        <v>3144.1</v>
      </c>
      <c r="C80" s="73">
        <f>C81</f>
        <v>2918.6898200000001</v>
      </c>
      <c r="D80" s="73">
        <f>D81</f>
        <v>2846.1</v>
      </c>
      <c r="E80" s="73">
        <f>E81</f>
        <v>2737.9902899999993</v>
      </c>
      <c r="F80" s="74">
        <f>E80/B80</f>
        <v>0.87083435323303948</v>
      </c>
      <c r="G80" s="74">
        <f>E80/C80</f>
        <v>0.93808882027758578</v>
      </c>
      <c r="H80" s="73">
        <f t="shared" ref="H80:AE80" si="54">H81</f>
        <v>524.64462000000003</v>
      </c>
      <c r="I80" s="73">
        <f t="shared" si="54"/>
        <v>484.70751000000001</v>
      </c>
      <c r="J80" s="73">
        <f t="shared" si="54"/>
        <v>249.03572</v>
      </c>
      <c r="K80" s="73">
        <f t="shared" si="54"/>
        <v>285.25</v>
      </c>
      <c r="L80" s="73">
        <f t="shared" si="54"/>
        <v>102.92872</v>
      </c>
      <c r="M80" s="73">
        <f t="shared" si="54"/>
        <v>90.22</v>
      </c>
      <c r="N80" s="73">
        <f t="shared" si="54"/>
        <v>233.56572</v>
      </c>
      <c r="O80" s="73">
        <f t="shared" si="54"/>
        <v>228.02</v>
      </c>
      <c r="P80" s="73">
        <f t="shared" si="54"/>
        <v>308.98971999999998</v>
      </c>
      <c r="Q80" s="73">
        <f t="shared" si="54"/>
        <v>136.16</v>
      </c>
      <c r="R80" s="73">
        <f t="shared" si="54"/>
        <v>120.23872</v>
      </c>
      <c r="S80" s="73">
        <f t="shared" si="54"/>
        <v>306.14278000000002</v>
      </c>
      <c r="T80" s="73">
        <f t="shared" si="54"/>
        <v>633.34371999999996</v>
      </c>
      <c r="U80" s="73">
        <f t="shared" si="54"/>
        <v>582.28</v>
      </c>
      <c r="V80" s="73">
        <f t="shared" si="54"/>
        <v>174.05472</v>
      </c>
      <c r="W80" s="73">
        <f t="shared" si="54"/>
        <v>174.5</v>
      </c>
      <c r="X80" s="73">
        <f t="shared" si="54"/>
        <v>200.15371999999999</v>
      </c>
      <c r="Y80" s="73">
        <f t="shared" si="54"/>
        <v>104.22</v>
      </c>
      <c r="Z80" s="73">
        <f t="shared" si="54"/>
        <v>233.29172</v>
      </c>
      <c r="AA80" s="73">
        <f t="shared" si="54"/>
        <v>217.7</v>
      </c>
      <c r="AB80" s="73">
        <f t="shared" si="54"/>
        <v>138.44272000000001</v>
      </c>
      <c r="AC80" s="73">
        <f t="shared" si="54"/>
        <v>128.79</v>
      </c>
      <c r="AD80" s="73">
        <f t="shared" si="54"/>
        <v>225.41018</v>
      </c>
      <c r="AE80" s="73">
        <f t="shared" si="54"/>
        <v>0</v>
      </c>
      <c r="AF80" s="207"/>
      <c r="AH80" s="36"/>
    </row>
    <row r="81" spans="1:34" s="35" customFormat="1" ht="93" customHeight="1">
      <c r="A81" s="91" t="s">
        <v>104</v>
      </c>
      <c r="B81" s="77">
        <f>H81+J81+L81+N81+P81+R81+T81+V81+X81+Z81+AB81+AD81</f>
        <v>3144.1</v>
      </c>
      <c r="C81" s="78">
        <f>H81+J81+L81+N81+P81+R81+T81+V81+X81+Z81+AB81</f>
        <v>2918.6898200000001</v>
      </c>
      <c r="D81" s="78">
        <f>2846100/1000</f>
        <v>2846.1</v>
      </c>
      <c r="E81" s="78">
        <f>I81+K81+M81+O81+Q81+S81+U81+W81+Y81+AA81+AC81</f>
        <v>2737.9902899999993</v>
      </c>
      <c r="F81" s="79">
        <f>E81/B81</f>
        <v>0.87083435323303948</v>
      </c>
      <c r="G81" s="79">
        <f>E81/C81</f>
        <v>0.93808882027758578</v>
      </c>
      <c r="H81" s="78">
        <f>524644.62/1000</f>
        <v>524.64462000000003</v>
      </c>
      <c r="I81" s="78">
        <f>484707.51/1000</f>
        <v>484.70751000000001</v>
      </c>
      <c r="J81" s="78">
        <f>249035.72/1000</f>
        <v>249.03572</v>
      </c>
      <c r="K81" s="78">
        <v>285.25</v>
      </c>
      <c r="L81" s="78">
        <f>102928.72/1000</f>
        <v>102.92872</v>
      </c>
      <c r="M81" s="78">
        <v>90.22</v>
      </c>
      <c r="N81" s="78">
        <f>233565.72/1000</f>
        <v>233.56572</v>
      </c>
      <c r="O81" s="78">
        <f>228.02</f>
        <v>228.02</v>
      </c>
      <c r="P81" s="78">
        <f>308989.72/1000</f>
        <v>308.98971999999998</v>
      </c>
      <c r="Q81" s="78">
        <v>136.16</v>
      </c>
      <c r="R81" s="78">
        <f>120238.72/1000</f>
        <v>120.23872</v>
      </c>
      <c r="S81" s="78">
        <f>306142.78/1000</f>
        <v>306.14278000000002</v>
      </c>
      <c r="T81" s="78">
        <f>633343.72/1000</f>
        <v>633.34371999999996</v>
      </c>
      <c r="U81" s="78">
        <v>582.28</v>
      </c>
      <c r="V81" s="78">
        <f>174054.72/1000</f>
        <v>174.05472</v>
      </c>
      <c r="W81" s="78">
        <v>174.5</v>
      </c>
      <c r="X81" s="78">
        <f>200153.72/1000</f>
        <v>200.15371999999999</v>
      </c>
      <c r="Y81" s="78">
        <v>104.22</v>
      </c>
      <c r="Z81" s="78">
        <f>233291.72/1000</f>
        <v>233.29172</v>
      </c>
      <c r="AA81" s="78">
        <v>217.7</v>
      </c>
      <c r="AB81" s="78">
        <f>138442.72/1000</f>
        <v>138.44272000000001</v>
      </c>
      <c r="AC81" s="78">
        <v>128.79</v>
      </c>
      <c r="AD81" s="78">
        <f>225410.18/1000</f>
        <v>225.41018</v>
      </c>
      <c r="AE81" s="78"/>
      <c r="AF81" s="207"/>
      <c r="AG81" s="127"/>
      <c r="AH81" s="36"/>
    </row>
    <row r="82" spans="1:34" s="61" customFormat="1" ht="126" customHeight="1">
      <c r="A82" s="129" t="s">
        <v>133</v>
      </c>
      <c r="B82" s="70">
        <v>0</v>
      </c>
      <c r="C82" s="71">
        <v>0</v>
      </c>
      <c r="D82" s="130"/>
      <c r="E82" s="130">
        <v>0</v>
      </c>
      <c r="F82" s="131">
        <v>0</v>
      </c>
      <c r="G82" s="131">
        <v>0</v>
      </c>
      <c r="H82" s="130">
        <v>0</v>
      </c>
      <c r="I82" s="130">
        <v>0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0">
        <v>0</v>
      </c>
      <c r="R82" s="130">
        <v>0</v>
      </c>
      <c r="S82" s="130">
        <v>0</v>
      </c>
      <c r="T82" s="130">
        <v>0</v>
      </c>
      <c r="U82" s="130">
        <v>0</v>
      </c>
      <c r="V82" s="130">
        <v>0</v>
      </c>
      <c r="W82" s="130">
        <v>0</v>
      </c>
      <c r="X82" s="130">
        <v>0</v>
      </c>
      <c r="Y82" s="130">
        <v>0</v>
      </c>
      <c r="Z82" s="130">
        <v>0</v>
      </c>
      <c r="AA82" s="130">
        <v>0</v>
      </c>
      <c r="AB82" s="130">
        <v>0</v>
      </c>
      <c r="AC82" s="130">
        <v>0</v>
      </c>
      <c r="AD82" s="130">
        <v>0</v>
      </c>
      <c r="AE82" s="132"/>
      <c r="AF82" s="63"/>
      <c r="AH82" s="62"/>
    </row>
    <row r="83" spans="1:34" s="61" customFormat="1">
      <c r="A83" s="72" t="s">
        <v>25</v>
      </c>
      <c r="B83" s="73">
        <f>B84</f>
        <v>0</v>
      </c>
      <c r="C83" s="73">
        <f t="shared" ref="C83:E83" si="55">C84</f>
        <v>0</v>
      </c>
      <c r="D83" s="73">
        <f t="shared" si="55"/>
        <v>0</v>
      </c>
      <c r="E83" s="73">
        <f t="shared" si="55"/>
        <v>0</v>
      </c>
      <c r="F83" s="74">
        <v>0</v>
      </c>
      <c r="G83" s="74">
        <v>0</v>
      </c>
      <c r="H83" s="73">
        <f>H84</f>
        <v>0</v>
      </c>
      <c r="I83" s="73">
        <f t="shared" ref="I83:AD83" si="56">I84</f>
        <v>0</v>
      </c>
      <c r="J83" s="73">
        <f t="shared" si="56"/>
        <v>0</v>
      </c>
      <c r="K83" s="73">
        <f t="shared" si="56"/>
        <v>0</v>
      </c>
      <c r="L83" s="73">
        <f t="shared" si="56"/>
        <v>0</v>
      </c>
      <c r="M83" s="73">
        <f t="shared" si="56"/>
        <v>0</v>
      </c>
      <c r="N83" s="73">
        <f>N84</f>
        <v>0</v>
      </c>
      <c r="O83" s="73">
        <f t="shared" si="56"/>
        <v>0</v>
      </c>
      <c r="P83" s="73">
        <f t="shared" si="56"/>
        <v>0</v>
      </c>
      <c r="Q83" s="73">
        <f t="shared" si="56"/>
        <v>0</v>
      </c>
      <c r="R83" s="73">
        <f t="shared" si="56"/>
        <v>0</v>
      </c>
      <c r="S83" s="73">
        <f t="shared" si="56"/>
        <v>0</v>
      </c>
      <c r="T83" s="73">
        <f t="shared" si="56"/>
        <v>0</v>
      </c>
      <c r="U83" s="73">
        <f t="shared" si="56"/>
        <v>0</v>
      </c>
      <c r="V83" s="73">
        <f t="shared" si="56"/>
        <v>0</v>
      </c>
      <c r="W83" s="73">
        <f t="shared" si="56"/>
        <v>0</v>
      </c>
      <c r="X83" s="73">
        <f t="shared" si="56"/>
        <v>0</v>
      </c>
      <c r="Y83" s="73">
        <f t="shared" si="56"/>
        <v>0</v>
      </c>
      <c r="Z83" s="73">
        <f t="shared" si="56"/>
        <v>0</v>
      </c>
      <c r="AA83" s="73">
        <f t="shared" si="56"/>
        <v>0</v>
      </c>
      <c r="AB83" s="73">
        <f t="shared" si="56"/>
        <v>0</v>
      </c>
      <c r="AC83" s="73">
        <f t="shared" si="56"/>
        <v>0</v>
      </c>
      <c r="AD83" s="73">
        <f t="shared" si="56"/>
        <v>0</v>
      </c>
      <c r="AE83" s="93">
        <f t="shared" ref="AE83" si="57">AE84</f>
        <v>0</v>
      </c>
      <c r="AF83" s="42"/>
      <c r="AH83" s="62"/>
    </row>
    <row r="84" spans="1:34" s="61" customFormat="1" ht="18.75" customHeight="1">
      <c r="A84" s="80" t="s">
        <v>105</v>
      </c>
      <c r="B84" s="81">
        <f>H84+J84+L84+N84+P84+R84+T84+V84+X84+Z84+AB84+AD84</f>
        <v>0</v>
      </c>
      <c r="C84" s="82">
        <f>H84+J84+L84+N84+P84+R84+T84+V84</f>
        <v>0</v>
      </c>
      <c r="D84" s="82"/>
      <c r="E84" s="82">
        <f>I84+K84+M84+O84+Q84+S84+U84+W84+Y84+AA84+AC84+AE84</f>
        <v>0</v>
      </c>
      <c r="F84" s="83">
        <v>0</v>
      </c>
      <c r="G84" s="83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82">
        <v>0</v>
      </c>
      <c r="AF84" s="82"/>
      <c r="AH84" s="62"/>
    </row>
    <row r="85" spans="1:34" s="35" customFormat="1" ht="90.75" customHeight="1">
      <c r="A85" s="133" t="s">
        <v>134</v>
      </c>
      <c r="B85" s="143"/>
      <c r="C85" s="140"/>
      <c r="D85" s="140"/>
      <c r="E85" s="140"/>
      <c r="F85" s="141"/>
      <c r="G85" s="141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2"/>
      <c r="AF85" s="150" t="s">
        <v>153</v>
      </c>
      <c r="AH85" s="36"/>
    </row>
    <row r="86" spans="1:34" s="35" customFormat="1">
      <c r="A86" s="72" t="s">
        <v>25</v>
      </c>
      <c r="B86" s="73">
        <f>B87</f>
        <v>0</v>
      </c>
      <c r="C86" s="73">
        <f>C87</f>
        <v>0</v>
      </c>
      <c r="D86" s="73">
        <f>D87</f>
        <v>0</v>
      </c>
      <c r="E86" s="73">
        <f>E87</f>
        <v>0</v>
      </c>
      <c r="F86" s="74">
        <f t="shared" ref="F86:AE86" si="58">F87</f>
        <v>0</v>
      </c>
      <c r="G86" s="74">
        <v>0</v>
      </c>
      <c r="H86" s="73">
        <f t="shared" si="58"/>
        <v>0</v>
      </c>
      <c r="I86" s="73">
        <f t="shared" si="58"/>
        <v>0</v>
      </c>
      <c r="J86" s="73">
        <f t="shared" si="58"/>
        <v>0</v>
      </c>
      <c r="K86" s="73">
        <f t="shared" si="58"/>
        <v>0</v>
      </c>
      <c r="L86" s="73">
        <f t="shared" si="58"/>
        <v>0</v>
      </c>
      <c r="M86" s="73">
        <f t="shared" si="58"/>
        <v>0</v>
      </c>
      <c r="N86" s="73">
        <f t="shared" si="58"/>
        <v>0</v>
      </c>
      <c r="O86" s="73">
        <f t="shared" si="58"/>
        <v>0</v>
      </c>
      <c r="P86" s="73">
        <f t="shared" si="58"/>
        <v>0</v>
      </c>
      <c r="Q86" s="73">
        <f t="shared" si="58"/>
        <v>0</v>
      </c>
      <c r="R86" s="73">
        <f t="shared" si="58"/>
        <v>0</v>
      </c>
      <c r="S86" s="73">
        <f t="shared" si="58"/>
        <v>0</v>
      </c>
      <c r="T86" s="73">
        <f t="shared" si="58"/>
        <v>0</v>
      </c>
      <c r="U86" s="73">
        <f t="shared" si="58"/>
        <v>0</v>
      </c>
      <c r="V86" s="73">
        <f t="shared" si="58"/>
        <v>0</v>
      </c>
      <c r="W86" s="73">
        <f t="shared" si="58"/>
        <v>0</v>
      </c>
      <c r="X86" s="73">
        <f t="shared" si="58"/>
        <v>0</v>
      </c>
      <c r="Y86" s="73">
        <f t="shared" si="58"/>
        <v>0</v>
      </c>
      <c r="Z86" s="73">
        <f t="shared" si="58"/>
        <v>0</v>
      </c>
      <c r="AA86" s="73">
        <f t="shared" si="58"/>
        <v>0</v>
      </c>
      <c r="AB86" s="73">
        <f t="shared" si="58"/>
        <v>0</v>
      </c>
      <c r="AC86" s="73">
        <f t="shared" si="58"/>
        <v>0</v>
      </c>
      <c r="AD86" s="73">
        <f t="shared" si="58"/>
        <v>0</v>
      </c>
      <c r="AE86" s="93">
        <f t="shared" si="58"/>
        <v>0</v>
      </c>
      <c r="AF86" s="42"/>
      <c r="AH86" s="36"/>
    </row>
    <row r="87" spans="1:34" s="35" customFormat="1" ht="27.75" customHeight="1">
      <c r="A87" s="80" t="s">
        <v>105</v>
      </c>
      <c r="B87" s="81">
        <f>H87+J87+L87+N87+P87+R87+T87+V87+X87+Z87+AB87+AD87</f>
        <v>0</v>
      </c>
      <c r="C87" s="82">
        <f>H87+J87+L87+N87+P87+R87+T87+V87+X87</f>
        <v>0</v>
      </c>
      <c r="D87" s="82"/>
      <c r="E87" s="82">
        <f>I87+K87+M87+O87+Q87+S87+U87+W87+Y87+AA87+AC87+AE87</f>
        <v>0</v>
      </c>
      <c r="F87" s="83">
        <v>0</v>
      </c>
      <c r="G87" s="83">
        <v>0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H87" s="36"/>
    </row>
    <row r="88" spans="1:34" s="35" customFormat="1" ht="291" customHeight="1">
      <c r="A88" s="133" t="s">
        <v>135</v>
      </c>
      <c r="B88" s="143"/>
      <c r="C88" s="140"/>
      <c r="D88" s="140"/>
      <c r="E88" s="140"/>
      <c r="F88" s="141"/>
      <c r="G88" s="141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2"/>
      <c r="AF88" s="150" t="s">
        <v>140</v>
      </c>
      <c r="AH88" s="36"/>
    </row>
    <row r="89" spans="1:34" s="35" customFormat="1">
      <c r="A89" s="72" t="s">
        <v>25</v>
      </c>
      <c r="B89" s="73">
        <f>B90</f>
        <v>0</v>
      </c>
      <c r="C89" s="73">
        <f>C90</f>
        <v>0</v>
      </c>
      <c r="D89" s="73">
        <f>D90</f>
        <v>0</v>
      </c>
      <c r="E89" s="73">
        <f>E90</f>
        <v>0</v>
      </c>
      <c r="F89" s="74">
        <f t="shared" ref="F89:AE89" si="59">F90</f>
        <v>0</v>
      </c>
      <c r="G89" s="74">
        <v>0</v>
      </c>
      <c r="H89" s="73">
        <f t="shared" si="59"/>
        <v>0</v>
      </c>
      <c r="I89" s="73">
        <f t="shared" si="59"/>
        <v>0</v>
      </c>
      <c r="J89" s="73">
        <f t="shared" si="59"/>
        <v>0</v>
      </c>
      <c r="K89" s="73">
        <f t="shared" si="59"/>
        <v>0</v>
      </c>
      <c r="L89" s="73">
        <f t="shared" si="59"/>
        <v>0</v>
      </c>
      <c r="M89" s="73">
        <f t="shared" si="59"/>
        <v>0</v>
      </c>
      <c r="N89" s="73">
        <f t="shared" si="59"/>
        <v>0</v>
      </c>
      <c r="O89" s="73">
        <f t="shared" si="59"/>
        <v>0</v>
      </c>
      <c r="P89" s="73">
        <f t="shared" si="59"/>
        <v>0</v>
      </c>
      <c r="Q89" s="73">
        <f t="shared" si="59"/>
        <v>0</v>
      </c>
      <c r="R89" s="73">
        <f t="shared" si="59"/>
        <v>0</v>
      </c>
      <c r="S89" s="73">
        <f t="shared" si="59"/>
        <v>0</v>
      </c>
      <c r="T89" s="73">
        <f t="shared" si="59"/>
        <v>0</v>
      </c>
      <c r="U89" s="73">
        <f t="shared" si="59"/>
        <v>0</v>
      </c>
      <c r="V89" s="73">
        <f t="shared" si="59"/>
        <v>0</v>
      </c>
      <c r="W89" s="73">
        <f t="shared" si="59"/>
        <v>0</v>
      </c>
      <c r="X89" s="73">
        <f t="shared" si="59"/>
        <v>0</v>
      </c>
      <c r="Y89" s="73">
        <f t="shared" si="59"/>
        <v>0</v>
      </c>
      <c r="Z89" s="73">
        <f t="shared" si="59"/>
        <v>0</v>
      </c>
      <c r="AA89" s="73">
        <f t="shared" si="59"/>
        <v>0</v>
      </c>
      <c r="AB89" s="73">
        <f t="shared" si="59"/>
        <v>0</v>
      </c>
      <c r="AC89" s="73">
        <f t="shared" si="59"/>
        <v>0</v>
      </c>
      <c r="AD89" s="73">
        <f t="shared" si="59"/>
        <v>0</v>
      </c>
      <c r="AE89" s="73">
        <f t="shared" si="59"/>
        <v>0</v>
      </c>
      <c r="AF89" s="42"/>
      <c r="AH89" s="36"/>
    </row>
    <row r="90" spans="1:34" s="35" customFormat="1" ht="22.5" customHeight="1">
      <c r="A90" s="80" t="s">
        <v>105</v>
      </c>
      <c r="B90" s="81">
        <f>H90+J90+L90+N90+P90+R90+T90+V90+X90+Z90+AB90+AD90</f>
        <v>0</v>
      </c>
      <c r="C90" s="82">
        <f>H90+J90+L90+N90+P90+R90+T90+V90+X90</f>
        <v>0</v>
      </c>
      <c r="D90" s="82"/>
      <c r="E90" s="82">
        <f>I90+K90+M90+O90+Q90+S90+U90+W90+Y90+AA90+AC90+AE90</f>
        <v>0</v>
      </c>
      <c r="F90" s="83">
        <v>0</v>
      </c>
      <c r="G90" s="83"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H90" s="36"/>
    </row>
    <row r="91" spans="1:34" s="35" customFormat="1" ht="75.75" customHeight="1">
      <c r="A91" s="94" t="s">
        <v>136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H91" s="36"/>
    </row>
    <row r="92" spans="1:34" s="35" customFormat="1" ht="111" customHeight="1">
      <c r="A92" s="133" t="s">
        <v>137</v>
      </c>
      <c r="B92" s="143"/>
      <c r="C92" s="140"/>
      <c r="D92" s="140"/>
      <c r="E92" s="140"/>
      <c r="F92" s="141"/>
      <c r="G92" s="141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2"/>
      <c r="AF92" s="149" t="s">
        <v>139</v>
      </c>
      <c r="AH92" s="36"/>
    </row>
    <row r="93" spans="1:34" s="35" customFormat="1">
      <c r="A93" s="72" t="s">
        <v>25</v>
      </c>
      <c r="B93" s="73">
        <f>B94</f>
        <v>0</v>
      </c>
      <c r="C93" s="73">
        <f>C94</f>
        <v>0</v>
      </c>
      <c r="D93" s="73">
        <f>D94</f>
        <v>0</v>
      </c>
      <c r="E93" s="73">
        <f>E94</f>
        <v>0</v>
      </c>
      <c r="F93" s="74">
        <v>0</v>
      </c>
      <c r="G93" s="74">
        <v>0</v>
      </c>
      <c r="H93" s="73">
        <f t="shared" ref="H93:AE93" si="60">H94</f>
        <v>0</v>
      </c>
      <c r="I93" s="73">
        <f t="shared" si="60"/>
        <v>0</v>
      </c>
      <c r="J93" s="73">
        <f t="shared" si="60"/>
        <v>0</v>
      </c>
      <c r="K93" s="73">
        <f t="shared" si="60"/>
        <v>0</v>
      </c>
      <c r="L93" s="73">
        <f t="shared" si="60"/>
        <v>0</v>
      </c>
      <c r="M93" s="73">
        <f t="shared" si="60"/>
        <v>0</v>
      </c>
      <c r="N93" s="73">
        <f t="shared" si="60"/>
        <v>0</v>
      </c>
      <c r="O93" s="73">
        <f t="shared" si="60"/>
        <v>0</v>
      </c>
      <c r="P93" s="73">
        <f t="shared" si="60"/>
        <v>0</v>
      </c>
      <c r="Q93" s="73">
        <f t="shared" si="60"/>
        <v>0</v>
      </c>
      <c r="R93" s="73">
        <f t="shared" si="60"/>
        <v>0</v>
      </c>
      <c r="S93" s="73">
        <f t="shared" si="60"/>
        <v>0</v>
      </c>
      <c r="T93" s="73">
        <f t="shared" si="60"/>
        <v>0</v>
      </c>
      <c r="U93" s="73">
        <f t="shared" si="60"/>
        <v>0</v>
      </c>
      <c r="V93" s="73">
        <f t="shared" si="60"/>
        <v>0</v>
      </c>
      <c r="W93" s="73">
        <f t="shared" si="60"/>
        <v>0</v>
      </c>
      <c r="X93" s="73">
        <f t="shared" si="60"/>
        <v>0</v>
      </c>
      <c r="Y93" s="73">
        <f t="shared" si="60"/>
        <v>0</v>
      </c>
      <c r="Z93" s="73">
        <f t="shared" si="60"/>
        <v>0</v>
      </c>
      <c r="AA93" s="73">
        <f t="shared" si="60"/>
        <v>0</v>
      </c>
      <c r="AB93" s="73">
        <f t="shared" si="60"/>
        <v>0</v>
      </c>
      <c r="AC93" s="73">
        <f t="shared" si="60"/>
        <v>0</v>
      </c>
      <c r="AD93" s="73">
        <f t="shared" si="60"/>
        <v>0</v>
      </c>
      <c r="AE93" s="73">
        <f t="shared" si="60"/>
        <v>0</v>
      </c>
      <c r="AF93" s="73"/>
      <c r="AH93" s="36"/>
    </row>
    <row r="94" spans="1:34" s="35" customFormat="1" ht="20.25" customHeight="1">
      <c r="A94" s="76" t="s">
        <v>104</v>
      </c>
      <c r="B94" s="77">
        <f>H94+J94+L94+N94+P94+R94+T94+V94+X94+Z94+AB94+AD94</f>
        <v>0</v>
      </c>
      <c r="C94" s="78">
        <f>H94+J94+L94+N94+P94+R94+T94+V94+X94+Z94+AB94</f>
        <v>0</v>
      </c>
      <c r="D94" s="78">
        <v>0</v>
      </c>
      <c r="E94" s="78">
        <f>I94+K94+M94+O94+Q94+S94+U94+W94+Y94+AA94+AC94+AE94</f>
        <v>0</v>
      </c>
      <c r="F94" s="79">
        <v>0</v>
      </c>
      <c r="G94" s="79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/>
      <c r="U94" s="78"/>
      <c r="V94" s="78">
        <v>0</v>
      </c>
      <c r="W94" s="78">
        <v>0</v>
      </c>
      <c r="X94" s="78">
        <v>0</v>
      </c>
      <c r="Y94" s="78">
        <v>0</v>
      </c>
      <c r="Z94" s="78"/>
      <c r="AA94" s="78"/>
      <c r="AB94" s="78"/>
      <c r="AC94" s="78">
        <v>0</v>
      </c>
      <c r="AD94" s="78">
        <v>0</v>
      </c>
      <c r="AE94" s="78">
        <v>0</v>
      </c>
      <c r="AF94" s="78"/>
      <c r="AH94" s="36"/>
    </row>
    <row r="95" spans="1:34" s="43" customFormat="1" ht="37.5" customHeight="1">
      <c r="A95" s="72" t="s">
        <v>107</v>
      </c>
      <c r="B95" s="73">
        <f>B96+B97</f>
        <v>26758.525540000002</v>
      </c>
      <c r="C95" s="73">
        <f>C96+C97</f>
        <v>25349.465360000002</v>
      </c>
      <c r="D95" s="73">
        <f t="shared" ref="D95:AE95" si="61">D96+D97</f>
        <v>24743.23775</v>
      </c>
      <c r="E95" s="73">
        <f t="shared" si="61"/>
        <v>23326.67699</v>
      </c>
      <c r="F95" s="74">
        <f>E95/B95</f>
        <v>0.8717474718526661</v>
      </c>
      <c r="G95" s="74">
        <f>E95/C95</f>
        <v>0.92020390405582886</v>
      </c>
      <c r="H95" s="73">
        <f t="shared" si="61"/>
        <v>524.64462000000003</v>
      </c>
      <c r="I95" s="73">
        <f t="shared" si="61"/>
        <v>484.70751000000001</v>
      </c>
      <c r="J95" s="73">
        <f t="shared" si="61"/>
        <v>1118.32672</v>
      </c>
      <c r="K95" s="73">
        <f t="shared" si="61"/>
        <v>570.56865000000005</v>
      </c>
      <c r="L95" s="73">
        <f t="shared" si="61"/>
        <v>1047.4377199999999</v>
      </c>
      <c r="M95" s="73">
        <f t="shared" si="61"/>
        <v>783.28032000000007</v>
      </c>
      <c r="N95" s="73">
        <f t="shared" si="61"/>
        <v>1775.5329999999999</v>
      </c>
      <c r="O95" s="73">
        <f t="shared" si="61"/>
        <v>1246.7350200000001</v>
      </c>
      <c r="P95" s="73">
        <f t="shared" si="61"/>
        <v>1194.03694</v>
      </c>
      <c r="Q95" s="73">
        <f t="shared" si="61"/>
        <v>976.33542000000011</v>
      </c>
      <c r="R95" s="73">
        <f t="shared" si="61"/>
        <v>4899.7934800000003</v>
      </c>
      <c r="S95" s="73">
        <f t="shared" si="61"/>
        <v>5049.6549599999998</v>
      </c>
      <c r="T95" s="73">
        <f t="shared" si="61"/>
        <v>4904.1482400000004</v>
      </c>
      <c r="U95" s="73">
        <f t="shared" si="61"/>
        <v>5129.7612500000005</v>
      </c>
      <c r="V95" s="73">
        <f t="shared" si="61"/>
        <v>5050.0761400000001</v>
      </c>
      <c r="W95" s="73">
        <f t="shared" si="61"/>
        <v>4953.1997700000002</v>
      </c>
      <c r="X95" s="73">
        <f t="shared" si="61"/>
        <v>1519.81972</v>
      </c>
      <c r="Y95" s="73">
        <f t="shared" si="61"/>
        <v>1441.2915499999999</v>
      </c>
      <c r="Z95" s="73">
        <f t="shared" si="61"/>
        <v>1317.8135299999999</v>
      </c>
      <c r="AA95" s="73">
        <f t="shared" si="61"/>
        <v>1392.2476000000001</v>
      </c>
      <c r="AB95" s="73">
        <f t="shared" si="61"/>
        <v>1997.8352499999999</v>
      </c>
      <c r="AC95" s="73">
        <f t="shared" si="61"/>
        <v>1298.8949400000001</v>
      </c>
      <c r="AD95" s="73">
        <f t="shared" si="61"/>
        <v>1409.0601800000002</v>
      </c>
      <c r="AE95" s="73">
        <f t="shared" si="61"/>
        <v>0</v>
      </c>
      <c r="AF95" s="42"/>
      <c r="AG95" s="66"/>
      <c r="AH95" s="44"/>
    </row>
    <row r="96" spans="1:34" s="35" customFormat="1" ht="24" customHeight="1">
      <c r="A96" s="76" t="s">
        <v>104</v>
      </c>
      <c r="B96" s="77">
        <f>B10+B77+B94</f>
        <v>5434.650599999999</v>
      </c>
      <c r="C96" s="77">
        <f>C10+C77+C94</f>
        <v>5209.2404200000001</v>
      </c>
      <c r="D96" s="77">
        <f>D10+D77+D94</f>
        <v>4603.0108099999998</v>
      </c>
      <c r="E96" s="77">
        <f>E10+E77+E94</f>
        <v>4494.9009099999994</v>
      </c>
      <c r="F96" s="119">
        <f>E96/B96</f>
        <v>0.82708185692747205</v>
      </c>
      <c r="G96" s="119">
        <f>E96/C96</f>
        <v>0.86287069660724147</v>
      </c>
      <c r="H96" s="77">
        <f t="shared" ref="H96:AE96" si="62">H10+H77+H94</f>
        <v>524.64462000000003</v>
      </c>
      <c r="I96" s="77">
        <f t="shared" si="62"/>
        <v>484.70751000000001</v>
      </c>
      <c r="J96" s="77">
        <f t="shared" si="62"/>
        <v>326.67171999999999</v>
      </c>
      <c r="K96" s="77">
        <f t="shared" si="62"/>
        <v>285.25</v>
      </c>
      <c r="L96" s="77">
        <f t="shared" si="62"/>
        <v>245.60072</v>
      </c>
      <c r="M96" s="77">
        <f t="shared" si="62"/>
        <v>130.17678000000001</v>
      </c>
      <c r="N96" s="77">
        <f t="shared" si="62"/>
        <v>359.13150999999999</v>
      </c>
      <c r="O96" s="77">
        <f t="shared" si="62"/>
        <v>304.66965000000005</v>
      </c>
      <c r="P96" s="77">
        <f t="shared" si="62"/>
        <v>325.78971999999999</v>
      </c>
      <c r="Q96" s="77">
        <f t="shared" si="62"/>
        <v>229.47471000000002</v>
      </c>
      <c r="R96" s="77">
        <f t="shared" si="62"/>
        <v>120.23872</v>
      </c>
      <c r="S96" s="77">
        <f t="shared" si="62"/>
        <v>389.76058</v>
      </c>
      <c r="T96" s="77">
        <f t="shared" si="62"/>
        <v>1075.30008</v>
      </c>
      <c r="U96" s="77">
        <f t="shared" si="62"/>
        <v>1064.65156</v>
      </c>
      <c r="V96" s="77">
        <f t="shared" si="62"/>
        <v>836.32713999999999</v>
      </c>
      <c r="W96" s="77">
        <f t="shared" si="62"/>
        <v>559.90990999999997</v>
      </c>
      <c r="X96" s="77">
        <f t="shared" si="62"/>
        <v>617.78671999999995</v>
      </c>
      <c r="Y96" s="77">
        <f t="shared" si="62"/>
        <v>513.96538999999996</v>
      </c>
      <c r="Z96" s="77">
        <f t="shared" si="62"/>
        <v>332.22052999999994</v>
      </c>
      <c r="AA96" s="77">
        <f t="shared" si="62"/>
        <v>309.62669999999997</v>
      </c>
      <c r="AB96" s="77">
        <f t="shared" si="62"/>
        <v>445.52893999999998</v>
      </c>
      <c r="AC96" s="77">
        <f t="shared" si="62"/>
        <v>222.70812000000001</v>
      </c>
      <c r="AD96" s="77">
        <f t="shared" si="62"/>
        <v>225.41018</v>
      </c>
      <c r="AE96" s="77">
        <f t="shared" si="62"/>
        <v>0</v>
      </c>
      <c r="AF96" s="77"/>
      <c r="AG96" s="66"/>
      <c r="AH96" s="36"/>
    </row>
    <row r="97" spans="1:43" s="35" customFormat="1" ht="24" customHeight="1">
      <c r="A97" s="80" t="s">
        <v>105</v>
      </c>
      <c r="B97" s="81">
        <f>B11+B78</f>
        <v>21323.874940000002</v>
      </c>
      <c r="C97" s="81">
        <f>C11+C78</f>
        <v>20140.22494</v>
      </c>
      <c r="D97" s="81">
        <f>D11+D78</f>
        <v>20140.22694</v>
      </c>
      <c r="E97" s="81">
        <f>E11+E78</f>
        <v>18831.77608</v>
      </c>
      <c r="F97" s="120">
        <f>E97/B97</f>
        <v>0.88313105066447173</v>
      </c>
      <c r="G97" s="120">
        <f>E97/C97</f>
        <v>0.93503305628919153</v>
      </c>
      <c r="H97" s="81">
        <f t="shared" ref="H97:AE97" si="63">H11+H78</f>
        <v>0</v>
      </c>
      <c r="I97" s="81">
        <f t="shared" si="63"/>
        <v>0</v>
      </c>
      <c r="J97" s="81">
        <f t="shared" si="63"/>
        <v>791.65499999999997</v>
      </c>
      <c r="K97" s="81">
        <f t="shared" si="63"/>
        <v>285.31865000000005</v>
      </c>
      <c r="L97" s="81">
        <f t="shared" si="63"/>
        <v>801.83699999999999</v>
      </c>
      <c r="M97" s="81">
        <f t="shared" si="63"/>
        <v>653.10354000000007</v>
      </c>
      <c r="N97" s="81">
        <f t="shared" si="63"/>
        <v>1416.40149</v>
      </c>
      <c r="O97" s="81">
        <f t="shared" si="63"/>
        <v>942.06537000000003</v>
      </c>
      <c r="P97" s="81">
        <f t="shared" si="63"/>
        <v>868.24721999999997</v>
      </c>
      <c r="Q97" s="81">
        <f t="shared" si="63"/>
        <v>746.86071000000004</v>
      </c>
      <c r="R97" s="81">
        <f t="shared" si="63"/>
        <v>4779.55476</v>
      </c>
      <c r="S97" s="81">
        <f t="shared" si="63"/>
        <v>4659.8943799999997</v>
      </c>
      <c r="T97" s="81">
        <f t="shared" si="63"/>
        <v>3828.8481600000005</v>
      </c>
      <c r="U97" s="81">
        <f t="shared" si="63"/>
        <v>4065.1096900000002</v>
      </c>
      <c r="V97" s="81">
        <f t="shared" si="63"/>
        <v>4213.7489999999998</v>
      </c>
      <c r="W97" s="81">
        <f t="shared" si="63"/>
        <v>4393.2898599999999</v>
      </c>
      <c r="X97" s="81">
        <f t="shared" si="63"/>
        <v>902.03300000000002</v>
      </c>
      <c r="Y97" s="81">
        <f t="shared" si="63"/>
        <v>927.32616000000007</v>
      </c>
      <c r="Z97" s="81">
        <f t="shared" si="63"/>
        <v>985.59300000000007</v>
      </c>
      <c r="AA97" s="81">
        <f t="shared" si="63"/>
        <v>1082.6209000000001</v>
      </c>
      <c r="AB97" s="81">
        <f t="shared" si="63"/>
        <v>1552.3063099999999</v>
      </c>
      <c r="AC97" s="81">
        <f t="shared" si="63"/>
        <v>1076.1868200000001</v>
      </c>
      <c r="AD97" s="81">
        <f t="shared" si="63"/>
        <v>1183.6500000000001</v>
      </c>
      <c r="AE97" s="81">
        <f t="shared" si="63"/>
        <v>0</v>
      </c>
      <c r="AF97" s="81"/>
      <c r="AG97" s="66"/>
      <c r="AH97" s="36"/>
    </row>
    <row r="98" spans="1:43" s="35" customFormat="1">
      <c r="A98" s="45"/>
      <c r="B98" s="45"/>
      <c r="C98" s="46"/>
      <c r="D98" s="46"/>
      <c r="E98" s="47"/>
      <c r="F98" s="47"/>
      <c r="G98" s="47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9"/>
      <c r="AH98" s="36"/>
    </row>
    <row r="99" spans="1:43" s="35" customFormat="1" ht="63.75" customHeight="1">
      <c r="A99" s="125" t="s">
        <v>154</v>
      </c>
      <c r="B99" s="208"/>
      <c r="C99" s="208"/>
      <c r="D99" s="209" t="s">
        <v>155</v>
      </c>
      <c r="E99" s="210"/>
      <c r="F99" s="210"/>
      <c r="G99" s="210"/>
      <c r="H99" s="211"/>
      <c r="I99" s="211"/>
      <c r="J99" s="211"/>
      <c r="K99" s="48"/>
      <c r="L99" s="48"/>
      <c r="M99" s="48"/>
      <c r="N99" s="48"/>
      <c r="O99" s="48"/>
      <c r="P99" s="48"/>
      <c r="Q99" s="48"/>
      <c r="R99" s="48"/>
      <c r="S99" s="48"/>
      <c r="T99" s="46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9"/>
      <c r="AH99" s="36"/>
    </row>
    <row r="100" spans="1:43" ht="15.75" customHeight="1">
      <c r="B100" s="58" t="s">
        <v>108</v>
      </c>
      <c r="D100" s="212" t="s">
        <v>109</v>
      </c>
      <c r="E100" s="212"/>
      <c r="F100" s="212"/>
      <c r="G100" s="60"/>
      <c r="H100" s="213"/>
      <c r="I100" s="213"/>
      <c r="J100" s="213"/>
      <c r="M100" s="33"/>
      <c r="N100" s="33"/>
      <c r="U100" s="51"/>
      <c r="AA100" s="59"/>
      <c r="AB100" s="59"/>
      <c r="AC100" s="59"/>
      <c r="AD100" s="52"/>
    </row>
    <row r="101" spans="1:43" ht="15.75" customHeight="1">
      <c r="A101" s="51"/>
      <c r="B101" s="50"/>
      <c r="E101" s="51"/>
      <c r="F101" s="52"/>
      <c r="G101" s="52"/>
      <c r="H101" s="53"/>
      <c r="I101" s="54"/>
      <c r="M101" s="33"/>
      <c r="N101" s="33"/>
      <c r="R101" s="55"/>
      <c r="S101" s="19"/>
      <c r="U101" s="51"/>
      <c r="V101" s="20"/>
      <c r="W101" s="20"/>
      <c r="X101" s="20"/>
      <c r="Y101" s="20"/>
      <c r="AA101" s="20"/>
      <c r="AB101" s="33"/>
      <c r="AC101" s="59"/>
      <c r="AD101" s="52"/>
      <c r="AE101" s="20"/>
      <c r="AF101" s="19"/>
      <c r="AG101" s="19"/>
      <c r="AH101" s="56"/>
      <c r="AI101" s="19"/>
      <c r="AJ101" s="19"/>
      <c r="AK101" s="19"/>
      <c r="AL101" s="19"/>
      <c r="AM101" s="19"/>
      <c r="AN101" s="19"/>
      <c r="AO101" s="19"/>
      <c r="AP101" s="19"/>
      <c r="AQ101" s="18"/>
    </row>
    <row r="102" spans="1:43" ht="18.75" customHeight="1">
      <c r="A102" s="206" t="s">
        <v>110</v>
      </c>
      <c r="B102" s="206"/>
      <c r="C102" s="206"/>
      <c r="D102" s="206"/>
      <c r="E102" s="206"/>
      <c r="F102" s="206"/>
      <c r="G102" s="206"/>
      <c r="H102" s="206"/>
      <c r="U102" s="57"/>
      <c r="Y102" s="57"/>
    </row>
    <row r="103" spans="1:43" ht="15.75" customHeight="1">
      <c r="A103" s="18" t="s">
        <v>141</v>
      </c>
    </row>
    <row r="104" spans="1:43" ht="15.75" customHeight="1">
      <c r="A104" s="64"/>
    </row>
    <row r="105" spans="1:43" ht="15.75" customHeight="1"/>
    <row r="106" spans="1:43" ht="15.75" customHeight="1"/>
    <row r="107" spans="1:43" ht="69" customHeight="1">
      <c r="A107" s="202" t="s">
        <v>144</v>
      </c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</row>
    <row r="108" spans="1:43" ht="15.75" customHeight="1">
      <c r="F108" s="20"/>
      <c r="G108" s="20"/>
    </row>
    <row r="109" spans="1:43" s="43" customFormat="1" ht="37.5" customHeight="1">
      <c r="A109" s="154" t="s">
        <v>107</v>
      </c>
      <c r="B109" s="170">
        <f>B110+B111</f>
        <v>27405.100000000006</v>
      </c>
      <c r="C109" s="105">
        <f>C110+C111</f>
        <v>23954.550000000003</v>
      </c>
      <c r="D109" s="105">
        <f>D110+D111</f>
        <v>24743.23775</v>
      </c>
      <c r="E109" s="105">
        <f>E110+E111</f>
        <v>23326.67699</v>
      </c>
      <c r="F109" s="104">
        <f>E109/B109</f>
        <v>0.85118014493652627</v>
      </c>
      <c r="G109" s="104">
        <f>E109/C109</f>
        <v>0.97378898747837039</v>
      </c>
      <c r="H109" s="105">
        <f>H110+H111</f>
        <v>524.64</v>
      </c>
      <c r="I109" s="105">
        <f t="shared" ref="I109:AE109" si="64">I110+I111</f>
        <v>484.71</v>
      </c>
      <c r="J109" s="105">
        <f t="shared" si="64"/>
        <v>1119.96</v>
      </c>
      <c r="K109" s="105">
        <f t="shared" si="64"/>
        <v>570.56999999999994</v>
      </c>
      <c r="L109" s="105">
        <f t="shared" si="64"/>
        <v>1047.44</v>
      </c>
      <c r="M109" s="105">
        <f t="shared" si="64"/>
        <v>783.28</v>
      </c>
      <c r="N109" s="105">
        <f t="shared" si="64"/>
        <v>1775.5300000000002</v>
      </c>
      <c r="O109" s="105">
        <f t="shared" si="64"/>
        <v>1246.74</v>
      </c>
      <c r="P109" s="105">
        <f t="shared" si="64"/>
        <v>1259.6100000000001</v>
      </c>
      <c r="Q109" s="105">
        <f t="shared" si="64"/>
        <v>976.33</v>
      </c>
      <c r="R109" s="105">
        <f t="shared" si="64"/>
        <v>5066.6799999999994</v>
      </c>
      <c r="S109" s="105">
        <f t="shared" si="64"/>
        <v>5049.6500000000005</v>
      </c>
      <c r="T109" s="105">
        <f t="shared" si="64"/>
        <v>5065.03</v>
      </c>
      <c r="U109" s="105">
        <f t="shared" si="64"/>
        <v>5129.76</v>
      </c>
      <c r="V109" s="105">
        <f t="shared" si="64"/>
        <v>5156.6899999999996</v>
      </c>
      <c r="W109" s="105">
        <f t="shared" si="64"/>
        <v>4422.8999999999996</v>
      </c>
      <c r="X109" s="105">
        <f t="shared" si="64"/>
        <v>1584.02</v>
      </c>
      <c r="Y109" s="105">
        <f t="shared" si="64"/>
        <v>0</v>
      </c>
      <c r="Z109" s="105">
        <f t="shared" si="64"/>
        <v>1354.95</v>
      </c>
      <c r="AA109" s="105">
        <f t="shared" si="64"/>
        <v>0</v>
      </c>
      <c r="AB109" s="105">
        <f t="shared" si="64"/>
        <v>1988.98</v>
      </c>
      <c r="AC109" s="105">
        <f t="shared" si="64"/>
        <v>0</v>
      </c>
      <c r="AD109" s="105">
        <f t="shared" si="64"/>
        <v>1461.5800000000002</v>
      </c>
      <c r="AE109" s="105">
        <f t="shared" si="64"/>
        <v>0</v>
      </c>
      <c r="AF109" s="166"/>
      <c r="AG109" s="66"/>
      <c r="AH109" s="44"/>
    </row>
    <row r="110" spans="1:43" s="35" customFormat="1" ht="24" customHeight="1">
      <c r="A110" s="101" t="s">
        <v>104</v>
      </c>
      <c r="B110" s="86">
        <f>H110+J110+L110+N110+P110+R110+T110+V110+X110+Z110+AB110+AD110</f>
        <v>5434.7999999999993</v>
      </c>
      <c r="C110" s="86">
        <f>H110+J110+L110+N110+P110+R110+T110+V110+X110+Z110</f>
        <v>4763.8599999999997</v>
      </c>
      <c r="D110" s="86">
        <f>D96</f>
        <v>4603.0108099999998</v>
      </c>
      <c r="E110" s="86">
        <f>E96</f>
        <v>4494.9009099999994</v>
      </c>
      <c r="F110" s="167">
        <f>E110/B110</f>
        <v>0.82705912085081323</v>
      </c>
      <c r="G110" s="167">
        <f>E110/C110</f>
        <v>0.94354177284806851</v>
      </c>
      <c r="H110" s="86">
        <v>524.64</v>
      </c>
      <c r="I110" s="86">
        <v>484.71</v>
      </c>
      <c r="J110" s="86">
        <v>326.67</v>
      </c>
      <c r="K110" s="86">
        <v>285.25</v>
      </c>
      <c r="L110" s="86">
        <v>245.6</v>
      </c>
      <c r="M110" s="86">
        <v>130.18</v>
      </c>
      <c r="N110" s="86">
        <v>359.13</v>
      </c>
      <c r="O110" s="86">
        <v>304.67</v>
      </c>
      <c r="P110" s="86">
        <v>325.79000000000002</v>
      </c>
      <c r="Q110" s="86">
        <v>229.47</v>
      </c>
      <c r="R110" s="86">
        <v>120.24</v>
      </c>
      <c r="S110" s="86">
        <v>389.76</v>
      </c>
      <c r="T110" s="86">
        <v>1075.3</v>
      </c>
      <c r="U110" s="86">
        <v>1064.6500000000001</v>
      </c>
      <c r="V110" s="86">
        <v>836.33</v>
      </c>
      <c r="W110" s="86">
        <v>559.91</v>
      </c>
      <c r="X110" s="86">
        <v>617.79</v>
      </c>
      <c r="Y110" s="86">
        <f>Y23+Y90+Y108</f>
        <v>0</v>
      </c>
      <c r="Z110" s="86">
        <v>332.37</v>
      </c>
      <c r="AA110" s="86">
        <f>AA23+AA90+AA108</f>
        <v>0</v>
      </c>
      <c r="AB110" s="86">
        <v>445.53</v>
      </c>
      <c r="AC110" s="86">
        <f>AC23+AC90+AC108</f>
        <v>0</v>
      </c>
      <c r="AD110" s="86">
        <v>225.41</v>
      </c>
      <c r="AE110" s="86">
        <f>AE23+AE90+AE108</f>
        <v>0</v>
      </c>
      <c r="AF110" s="86"/>
      <c r="AG110" s="66"/>
      <c r="AH110" s="36"/>
    </row>
    <row r="111" spans="1:43" s="35" customFormat="1" ht="24" customHeight="1">
      <c r="A111" s="101" t="s">
        <v>105</v>
      </c>
      <c r="B111" s="86">
        <f>H111+J111+L111+N111+P111+R111+T111+V111+X111+Z111+AB111+AD111-0.01</f>
        <v>21970.300000000007</v>
      </c>
      <c r="C111" s="86">
        <f>H111+J111+L111+N111+P111+R111+T111+V111+X111+Z111</f>
        <v>19190.690000000002</v>
      </c>
      <c r="D111" s="86">
        <f>D97</f>
        <v>20140.22694</v>
      </c>
      <c r="E111" s="86">
        <f>E97</f>
        <v>18831.77608</v>
      </c>
      <c r="F111" s="167">
        <f>E111/B111</f>
        <v>0.85714697022798936</v>
      </c>
      <c r="G111" s="167">
        <f>E111/C111</f>
        <v>0.98129749790132592</v>
      </c>
      <c r="H111" s="86">
        <f>H24+H91</f>
        <v>0</v>
      </c>
      <c r="I111" s="86">
        <f>I24+I91</f>
        <v>0</v>
      </c>
      <c r="J111" s="86">
        <v>793.29</v>
      </c>
      <c r="K111" s="86">
        <v>285.32</v>
      </c>
      <c r="L111" s="86">
        <v>801.84</v>
      </c>
      <c r="M111" s="86">
        <v>653.1</v>
      </c>
      <c r="N111" s="86">
        <v>1416.4</v>
      </c>
      <c r="O111" s="86">
        <v>942.07</v>
      </c>
      <c r="P111" s="86">
        <v>933.82</v>
      </c>
      <c r="Q111" s="86">
        <v>746.86</v>
      </c>
      <c r="R111" s="86">
        <v>4946.4399999999996</v>
      </c>
      <c r="S111" s="86">
        <v>4659.8900000000003</v>
      </c>
      <c r="T111" s="86">
        <v>3989.73</v>
      </c>
      <c r="U111" s="86">
        <v>4065.11</v>
      </c>
      <c r="V111" s="86">
        <v>4320.3599999999997</v>
      </c>
      <c r="W111" s="86">
        <v>3862.99</v>
      </c>
      <c r="X111" s="86">
        <v>966.23</v>
      </c>
      <c r="Y111" s="86">
        <f>Y24+Y91</f>
        <v>0</v>
      </c>
      <c r="Z111" s="86">
        <v>1022.58</v>
      </c>
      <c r="AA111" s="86">
        <f>AA24+AA91</f>
        <v>0</v>
      </c>
      <c r="AB111" s="86">
        <v>1543.45</v>
      </c>
      <c r="AC111" s="86">
        <f>AC24+AC91</f>
        <v>0</v>
      </c>
      <c r="AD111" s="86">
        <v>1236.17</v>
      </c>
      <c r="AE111" s="86">
        <f>AE24+AE91</f>
        <v>0</v>
      </c>
      <c r="AF111" s="86"/>
      <c r="AG111" s="66"/>
      <c r="AH111" s="36"/>
    </row>
    <row r="114" spans="1:32" ht="33">
      <c r="A114" s="154" t="s">
        <v>107</v>
      </c>
      <c r="B114" s="168">
        <f>B109-B95</f>
        <v>646.57446000000346</v>
      </c>
      <c r="C114" s="168">
        <f t="shared" ref="C114:AF116" si="65">C109-C95</f>
        <v>-1394.9153599999991</v>
      </c>
      <c r="D114" s="168">
        <f t="shared" si="65"/>
        <v>0</v>
      </c>
      <c r="E114" s="168">
        <f t="shared" si="65"/>
        <v>0</v>
      </c>
      <c r="F114" s="104"/>
      <c r="G114" s="104"/>
      <c r="H114" s="168">
        <f t="shared" si="65"/>
        <v>-4.6200000000453656E-3</v>
      </c>
      <c r="I114" s="168">
        <f t="shared" si="65"/>
        <v>2.4899999999661304E-3</v>
      </c>
      <c r="J114" s="168">
        <f t="shared" si="65"/>
        <v>1.6332800000000134</v>
      </c>
      <c r="K114" s="168">
        <f t="shared" si="65"/>
        <v>1.3499999998884959E-3</v>
      </c>
      <c r="L114" s="168">
        <f t="shared" si="65"/>
        <v>2.2800000001552689E-3</v>
      </c>
      <c r="M114" s="168">
        <f t="shared" si="65"/>
        <v>-3.2000000010157237E-4</v>
      </c>
      <c r="N114" s="168">
        <f t="shared" si="65"/>
        <v>-2.9999999997016857E-3</v>
      </c>
      <c r="O114" s="168">
        <f t="shared" si="65"/>
        <v>4.9799999999322608E-3</v>
      </c>
      <c r="P114" s="168">
        <f t="shared" si="65"/>
        <v>65.573060000000169</v>
      </c>
      <c r="Q114" s="168">
        <f t="shared" si="65"/>
        <v>-5.4200000000719228E-3</v>
      </c>
      <c r="R114" s="168">
        <f t="shared" si="65"/>
        <v>166.88651999999911</v>
      </c>
      <c r="S114" s="168">
        <f t="shared" si="65"/>
        <v>-4.959999999300635E-3</v>
      </c>
      <c r="T114" s="168">
        <f t="shared" si="65"/>
        <v>160.8817599999993</v>
      </c>
      <c r="U114" s="168">
        <f t="shared" si="65"/>
        <v>-1.2500000002546585E-3</v>
      </c>
      <c r="V114" s="168">
        <f t="shared" si="65"/>
        <v>106.61385999999948</v>
      </c>
      <c r="W114" s="168">
        <f t="shared" si="65"/>
        <v>-530.29977000000054</v>
      </c>
      <c r="X114" s="168">
        <f t="shared" si="65"/>
        <v>64.200280000000021</v>
      </c>
      <c r="Y114" s="168">
        <f t="shared" si="65"/>
        <v>-1441.2915499999999</v>
      </c>
      <c r="Z114" s="168">
        <f t="shared" si="65"/>
        <v>37.136470000000145</v>
      </c>
      <c r="AA114" s="168">
        <f t="shared" si="65"/>
        <v>-1392.2476000000001</v>
      </c>
      <c r="AB114" s="168">
        <f t="shared" si="65"/>
        <v>-8.8552499999998417</v>
      </c>
      <c r="AC114" s="168">
        <f t="shared" si="65"/>
        <v>-1298.8949400000001</v>
      </c>
      <c r="AD114" s="168">
        <f t="shared" si="65"/>
        <v>52.519819999999982</v>
      </c>
      <c r="AE114" s="168">
        <f t="shared" si="65"/>
        <v>0</v>
      </c>
      <c r="AF114" s="168">
        <f t="shared" si="65"/>
        <v>0</v>
      </c>
    </row>
    <row r="115" spans="1:32">
      <c r="A115" s="101" t="s">
        <v>104</v>
      </c>
      <c r="B115" s="169">
        <f>B110-B96</f>
        <v>0.14940000000024156</v>
      </c>
      <c r="C115" s="168">
        <f t="shared" ref="C115:Q115" si="66">C110-C96</f>
        <v>-445.38042000000041</v>
      </c>
      <c r="D115" s="168">
        <f>D110-D96</f>
        <v>0</v>
      </c>
      <c r="E115" s="168">
        <f t="shared" si="66"/>
        <v>0</v>
      </c>
      <c r="F115" s="167"/>
      <c r="G115" s="167"/>
      <c r="H115" s="168">
        <f t="shared" si="66"/>
        <v>-4.6200000000453656E-3</v>
      </c>
      <c r="I115" s="168">
        <f t="shared" si="66"/>
        <v>2.4899999999661304E-3</v>
      </c>
      <c r="J115" s="168">
        <f t="shared" si="66"/>
        <v>-1.7199999999775173E-3</v>
      </c>
      <c r="K115" s="168">
        <f t="shared" si="66"/>
        <v>0</v>
      </c>
      <c r="L115" s="168">
        <f t="shared" si="66"/>
        <v>-7.2000000000116415E-4</v>
      </c>
      <c r="M115" s="168">
        <f t="shared" si="66"/>
        <v>3.2199999999988904E-3</v>
      </c>
      <c r="N115" s="168">
        <f t="shared" si="66"/>
        <v>-1.5099999999961256E-3</v>
      </c>
      <c r="O115" s="168">
        <f t="shared" si="66"/>
        <v>3.4999999996898623E-4</v>
      </c>
      <c r="P115" s="168">
        <f t="shared" si="66"/>
        <v>2.800000000320324E-4</v>
      </c>
      <c r="Q115" s="168">
        <f t="shared" si="66"/>
        <v>-4.7100000000170894E-3</v>
      </c>
      <c r="R115" s="168">
        <f t="shared" si="65"/>
        <v>1.2799999999941747E-3</v>
      </c>
      <c r="S115" s="168">
        <f t="shared" si="65"/>
        <v>-5.8000000001356966E-4</v>
      </c>
      <c r="T115" s="168">
        <f t="shared" si="65"/>
        <v>-8.0000000025393092E-5</v>
      </c>
      <c r="U115" s="168">
        <f t="shared" si="65"/>
        <v>-1.5599999999267311E-3</v>
      </c>
      <c r="V115" s="168">
        <f t="shared" si="65"/>
        <v>2.8600000000551518E-3</v>
      </c>
      <c r="W115" s="168">
        <f t="shared" si="65"/>
        <v>9.0000000000145519E-5</v>
      </c>
      <c r="X115" s="168">
        <f t="shared" si="65"/>
        <v>3.2800000000179352E-3</v>
      </c>
      <c r="Y115" s="168">
        <f t="shared" si="65"/>
        <v>-513.96538999999996</v>
      </c>
      <c r="Z115" s="168">
        <f t="shared" si="65"/>
        <v>0.14947000000006483</v>
      </c>
      <c r="AA115" s="168">
        <f t="shared" si="65"/>
        <v>-309.62669999999997</v>
      </c>
      <c r="AB115" s="168">
        <f t="shared" si="65"/>
        <v>1.059999999995398E-3</v>
      </c>
      <c r="AC115" s="168">
        <f t="shared" si="65"/>
        <v>-222.70812000000001</v>
      </c>
      <c r="AD115" s="168">
        <f t="shared" si="65"/>
        <v>-1.8000000000029104E-4</v>
      </c>
      <c r="AE115" s="168">
        <f t="shared" si="65"/>
        <v>0</v>
      </c>
      <c r="AF115" s="168">
        <f t="shared" si="65"/>
        <v>0</v>
      </c>
    </row>
    <row r="116" spans="1:32">
      <c r="A116" s="101" t="s">
        <v>105</v>
      </c>
      <c r="B116" s="169">
        <f>B111-B97</f>
        <v>646.42506000000503</v>
      </c>
      <c r="C116" s="168">
        <f t="shared" si="65"/>
        <v>-949.53493999999773</v>
      </c>
      <c r="D116" s="168">
        <f t="shared" si="65"/>
        <v>0</v>
      </c>
      <c r="E116" s="168">
        <f t="shared" si="65"/>
        <v>0</v>
      </c>
      <c r="F116" s="167"/>
      <c r="G116" s="167"/>
      <c r="H116" s="168">
        <f t="shared" si="65"/>
        <v>0</v>
      </c>
      <c r="I116" s="168">
        <f t="shared" si="65"/>
        <v>0</v>
      </c>
      <c r="J116" s="168">
        <f t="shared" si="65"/>
        <v>1.6349999999999909</v>
      </c>
      <c r="K116" s="168">
        <f t="shared" si="65"/>
        <v>1.3499999999453394E-3</v>
      </c>
      <c r="L116" s="168">
        <f t="shared" si="65"/>
        <v>3.0000000000427463E-3</v>
      </c>
      <c r="M116" s="168">
        <f t="shared" si="65"/>
        <v>-3.5400000000436194E-3</v>
      </c>
      <c r="N116" s="168">
        <f t="shared" si="65"/>
        <v>-1.4899999998760904E-3</v>
      </c>
      <c r="O116" s="168">
        <f t="shared" si="65"/>
        <v>4.630000000020118E-3</v>
      </c>
      <c r="P116" s="168">
        <f t="shared" si="65"/>
        <v>65.57278000000008</v>
      </c>
      <c r="Q116" s="168">
        <f t="shared" si="65"/>
        <v>-7.1000000002641173E-4</v>
      </c>
      <c r="R116" s="168">
        <f t="shared" si="65"/>
        <v>166.88523999999961</v>
      </c>
      <c r="S116" s="168">
        <f t="shared" si="65"/>
        <v>-4.3799999994007521E-3</v>
      </c>
      <c r="T116" s="168">
        <f t="shared" si="65"/>
        <v>160.88183999999956</v>
      </c>
      <c r="U116" s="168">
        <f t="shared" si="65"/>
        <v>3.0999999989944627E-4</v>
      </c>
      <c r="V116" s="168">
        <f t="shared" si="65"/>
        <v>106.61099999999988</v>
      </c>
      <c r="W116" s="168">
        <f t="shared" si="65"/>
        <v>-530.29986000000008</v>
      </c>
      <c r="X116" s="168">
        <f t="shared" si="65"/>
        <v>64.197000000000003</v>
      </c>
      <c r="Y116" s="168">
        <f t="shared" si="65"/>
        <v>-927.32616000000007</v>
      </c>
      <c r="Z116" s="168">
        <f t="shared" si="65"/>
        <v>36.986999999999966</v>
      </c>
      <c r="AA116" s="168">
        <f t="shared" si="65"/>
        <v>-1082.6209000000001</v>
      </c>
      <c r="AB116" s="168">
        <f t="shared" si="65"/>
        <v>-8.856309999999894</v>
      </c>
      <c r="AC116" s="168">
        <f t="shared" si="65"/>
        <v>-1076.1868200000001</v>
      </c>
      <c r="AD116" s="168">
        <f t="shared" si="65"/>
        <v>52.519999999999982</v>
      </c>
      <c r="AE116" s="168">
        <f t="shared" si="65"/>
        <v>0</v>
      </c>
      <c r="AF116" s="168">
        <f t="shared" si="65"/>
        <v>0</v>
      </c>
    </row>
  </sheetData>
  <mergeCells count="34">
    <mergeCell ref="AF12:AF23"/>
    <mergeCell ref="AF24:AF27"/>
    <mergeCell ref="AF28:AF37"/>
    <mergeCell ref="AF38:AF47"/>
    <mergeCell ref="V4:W4"/>
    <mergeCell ref="AB4:AC4"/>
    <mergeCell ref="AD4:AE4"/>
    <mergeCell ref="AF4:AF5"/>
    <mergeCell ref="A2:AC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  <mergeCell ref="X4:Y4"/>
    <mergeCell ref="Z4:AA4"/>
    <mergeCell ref="A107:V107"/>
    <mergeCell ref="AF56:AF65"/>
    <mergeCell ref="AF66:AF68"/>
    <mergeCell ref="A102:H102"/>
    <mergeCell ref="AF79:AF81"/>
    <mergeCell ref="B99:C99"/>
    <mergeCell ref="D99:G99"/>
    <mergeCell ref="H99:J99"/>
    <mergeCell ref="D100:F100"/>
    <mergeCell ref="H100:J100"/>
  </mergeCells>
  <printOptions horizontalCentered="1"/>
  <pageMargins left="0" right="0" top="0" bottom="0" header="0" footer="0"/>
  <pageSetup paperSize="9" scale="50" fitToHeight="0" orientation="landscape" r:id="rId1"/>
  <rowBreaks count="1" manualBreakCount="1">
    <brk id="74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O106"/>
  <sheetViews>
    <sheetView tabSelected="1" zoomScale="85" zoomScaleNormal="85" zoomScaleSheetLayoutView="70" workbookViewId="0">
      <pane xSplit="15" ySplit="5" topLeftCell="Z6" activePane="bottomRight" state="frozen"/>
      <selection pane="topRight" activeCell="P1" sqref="P1"/>
      <selection pane="bottomLeft" activeCell="A11" sqref="A11"/>
      <selection pane="bottomRight" activeCell="D4" sqref="D4:D5"/>
    </sheetView>
  </sheetViews>
  <sheetFormatPr defaultRowHeight="18.75"/>
  <cols>
    <col min="1" max="1" width="36.85546875" style="18" customWidth="1"/>
    <col min="2" max="2" width="14.42578125" style="18" customWidth="1"/>
    <col min="3" max="3" width="14.5703125" style="19" customWidth="1"/>
    <col min="4" max="4" width="14.42578125" style="19" customWidth="1"/>
    <col min="5" max="5" width="17.5703125" style="19" customWidth="1"/>
    <col min="6" max="6" width="11.7109375" style="19" customWidth="1"/>
    <col min="7" max="7" width="13.140625" style="19" customWidth="1"/>
    <col min="8" max="8" width="11.140625" style="20" customWidth="1"/>
    <col min="9" max="10" width="13.140625" style="20" customWidth="1"/>
    <col min="11" max="11" width="12.7109375" style="20" customWidth="1"/>
    <col min="12" max="12" width="14.140625" style="20" customWidth="1"/>
    <col min="13" max="13" width="13.28515625" style="20" customWidth="1"/>
    <col min="14" max="14" width="13.42578125" style="20" customWidth="1"/>
    <col min="15" max="15" width="15.140625" style="20" customWidth="1"/>
    <col min="16" max="16" width="13.140625" style="20" customWidth="1"/>
    <col min="17" max="17" width="12.7109375" style="20" customWidth="1"/>
    <col min="18" max="18" width="14.85546875" style="20" customWidth="1"/>
    <col min="19" max="19" width="13" style="20" customWidth="1"/>
    <col min="20" max="21" width="13" style="19" customWidth="1"/>
    <col min="22" max="22" width="14.5703125" style="19" customWidth="1"/>
    <col min="23" max="23" width="12.85546875" style="19" customWidth="1"/>
    <col min="24" max="24" width="13.28515625" style="19" customWidth="1"/>
    <col min="25" max="25" width="14" style="19" customWidth="1"/>
    <col min="26" max="26" width="13" style="19" customWidth="1"/>
    <col min="27" max="28" width="13.140625" style="19" customWidth="1"/>
    <col min="29" max="29" width="13.42578125" style="19" customWidth="1"/>
    <col min="30" max="30" width="14" style="19" customWidth="1"/>
    <col min="31" max="31" width="13.7109375" style="19" customWidth="1"/>
    <col min="32" max="32" width="47.140625" style="18" customWidth="1"/>
    <col min="33" max="33" width="14.28515625" style="20" customWidth="1"/>
    <col min="34" max="34" width="18.85546875" style="21" customWidth="1"/>
    <col min="35" max="256" width="9.140625" style="20"/>
    <col min="257" max="257" width="51.42578125" style="20" customWidth="1"/>
    <col min="258" max="258" width="15.28515625" style="20" customWidth="1"/>
    <col min="259" max="259" width="17.140625" style="20" customWidth="1"/>
    <col min="260" max="260" width="13.85546875" style="20" customWidth="1"/>
    <col min="261" max="261" width="15.42578125" style="20" customWidth="1"/>
    <col min="262" max="263" width="13.42578125" style="20" customWidth="1"/>
    <col min="264" max="264" width="17.42578125" style="20" customWidth="1"/>
    <col min="265" max="265" width="14.7109375" style="20" customWidth="1"/>
    <col min="266" max="266" width="13.5703125" style="20" customWidth="1"/>
    <col min="267" max="267" width="15.140625" style="20" customWidth="1"/>
    <col min="268" max="268" width="14.7109375" style="20" customWidth="1"/>
    <col min="269" max="269" width="15.140625" style="20" customWidth="1"/>
    <col min="270" max="270" width="14.140625" style="20" customWidth="1"/>
    <col min="271" max="271" width="14.7109375" style="20" customWidth="1"/>
    <col min="272" max="272" width="14.42578125" style="20" customWidth="1"/>
    <col min="273" max="273" width="15" style="20" customWidth="1"/>
    <col min="274" max="274" width="14.5703125" style="20" customWidth="1"/>
    <col min="275" max="275" width="14.85546875" style="20" customWidth="1"/>
    <col min="276" max="276" width="15" style="20" customWidth="1"/>
    <col min="277" max="287" width="16.140625" style="20" customWidth="1"/>
    <col min="288" max="288" width="58.140625" style="20" customWidth="1"/>
    <col min="289" max="289" width="3.7109375" style="20" customWidth="1"/>
    <col min="290" max="290" width="18.85546875" style="20" customWidth="1"/>
    <col min="291" max="512" width="9.140625" style="20"/>
    <col min="513" max="513" width="51.42578125" style="20" customWidth="1"/>
    <col min="514" max="514" width="15.28515625" style="20" customWidth="1"/>
    <col min="515" max="515" width="17.140625" style="20" customWidth="1"/>
    <col min="516" max="516" width="13.85546875" style="20" customWidth="1"/>
    <col min="517" max="517" width="15.42578125" style="20" customWidth="1"/>
    <col min="518" max="519" width="13.42578125" style="20" customWidth="1"/>
    <col min="520" max="520" width="17.42578125" style="20" customWidth="1"/>
    <col min="521" max="521" width="14.7109375" style="20" customWidth="1"/>
    <col min="522" max="522" width="13.5703125" style="20" customWidth="1"/>
    <col min="523" max="523" width="15.140625" style="20" customWidth="1"/>
    <col min="524" max="524" width="14.7109375" style="20" customWidth="1"/>
    <col min="525" max="525" width="15.140625" style="20" customWidth="1"/>
    <col min="526" max="526" width="14.140625" style="20" customWidth="1"/>
    <col min="527" max="527" width="14.7109375" style="20" customWidth="1"/>
    <col min="528" max="528" width="14.42578125" style="20" customWidth="1"/>
    <col min="529" max="529" width="15" style="20" customWidth="1"/>
    <col min="530" max="530" width="14.5703125" style="20" customWidth="1"/>
    <col min="531" max="531" width="14.85546875" style="20" customWidth="1"/>
    <col min="532" max="532" width="15" style="20" customWidth="1"/>
    <col min="533" max="543" width="16.140625" style="20" customWidth="1"/>
    <col min="544" max="544" width="58.140625" style="20" customWidth="1"/>
    <col min="545" max="545" width="3.7109375" style="20" customWidth="1"/>
    <col min="546" max="546" width="18.85546875" style="20" customWidth="1"/>
    <col min="547" max="768" width="9.140625" style="20"/>
    <col min="769" max="769" width="51.42578125" style="20" customWidth="1"/>
    <col min="770" max="770" width="15.28515625" style="20" customWidth="1"/>
    <col min="771" max="771" width="17.140625" style="20" customWidth="1"/>
    <col min="772" max="772" width="13.85546875" style="20" customWidth="1"/>
    <col min="773" max="773" width="15.42578125" style="20" customWidth="1"/>
    <col min="774" max="775" width="13.42578125" style="20" customWidth="1"/>
    <col min="776" max="776" width="17.42578125" style="20" customWidth="1"/>
    <col min="777" max="777" width="14.7109375" style="20" customWidth="1"/>
    <col min="778" max="778" width="13.5703125" style="20" customWidth="1"/>
    <col min="779" max="779" width="15.140625" style="20" customWidth="1"/>
    <col min="780" max="780" width="14.7109375" style="20" customWidth="1"/>
    <col min="781" max="781" width="15.140625" style="20" customWidth="1"/>
    <col min="782" max="782" width="14.140625" style="20" customWidth="1"/>
    <col min="783" max="783" width="14.7109375" style="20" customWidth="1"/>
    <col min="784" max="784" width="14.42578125" style="20" customWidth="1"/>
    <col min="785" max="785" width="15" style="20" customWidth="1"/>
    <col min="786" max="786" width="14.5703125" style="20" customWidth="1"/>
    <col min="787" max="787" width="14.85546875" style="20" customWidth="1"/>
    <col min="788" max="788" width="15" style="20" customWidth="1"/>
    <col min="789" max="799" width="16.140625" style="20" customWidth="1"/>
    <col min="800" max="800" width="58.140625" style="20" customWidth="1"/>
    <col min="801" max="801" width="3.7109375" style="20" customWidth="1"/>
    <col min="802" max="802" width="18.85546875" style="20" customWidth="1"/>
    <col min="803" max="1024" width="9.140625" style="20"/>
    <col min="1025" max="1025" width="51.42578125" style="20" customWidth="1"/>
    <col min="1026" max="1026" width="15.28515625" style="20" customWidth="1"/>
    <col min="1027" max="1027" width="17.140625" style="20" customWidth="1"/>
    <col min="1028" max="1028" width="13.85546875" style="20" customWidth="1"/>
    <col min="1029" max="1029" width="15.42578125" style="20" customWidth="1"/>
    <col min="1030" max="1031" width="13.42578125" style="20" customWidth="1"/>
    <col min="1032" max="1032" width="17.42578125" style="20" customWidth="1"/>
    <col min="1033" max="1033" width="14.7109375" style="20" customWidth="1"/>
    <col min="1034" max="1034" width="13.5703125" style="20" customWidth="1"/>
    <col min="1035" max="1035" width="15.140625" style="20" customWidth="1"/>
    <col min="1036" max="1036" width="14.7109375" style="20" customWidth="1"/>
    <col min="1037" max="1037" width="15.140625" style="20" customWidth="1"/>
    <col min="1038" max="1038" width="14.140625" style="20" customWidth="1"/>
    <col min="1039" max="1039" width="14.7109375" style="20" customWidth="1"/>
    <col min="1040" max="1040" width="14.42578125" style="20" customWidth="1"/>
    <col min="1041" max="1041" width="15" style="20" customWidth="1"/>
    <col min="1042" max="1042" width="14.5703125" style="20" customWidth="1"/>
    <col min="1043" max="1043" width="14.85546875" style="20" customWidth="1"/>
    <col min="1044" max="1044" width="15" style="20" customWidth="1"/>
    <col min="1045" max="1055" width="16.140625" style="20" customWidth="1"/>
    <col min="1056" max="1056" width="58.140625" style="20" customWidth="1"/>
    <col min="1057" max="1057" width="3.7109375" style="20" customWidth="1"/>
    <col min="1058" max="1058" width="18.85546875" style="20" customWidth="1"/>
    <col min="1059" max="1280" width="9.140625" style="20"/>
    <col min="1281" max="1281" width="51.42578125" style="20" customWidth="1"/>
    <col min="1282" max="1282" width="15.28515625" style="20" customWidth="1"/>
    <col min="1283" max="1283" width="17.140625" style="20" customWidth="1"/>
    <col min="1284" max="1284" width="13.85546875" style="20" customWidth="1"/>
    <col min="1285" max="1285" width="15.42578125" style="20" customWidth="1"/>
    <col min="1286" max="1287" width="13.42578125" style="20" customWidth="1"/>
    <col min="1288" max="1288" width="17.42578125" style="20" customWidth="1"/>
    <col min="1289" max="1289" width="14.7109375" style="20" customWidth="1"/>
    <col min="1290" max="1290" width="13.5703125" style="20" customWidth="1"/>
    <col min="1291" max="1291" width="15.140625" style="20" customWidth="1"/>
    <col min="1292" max="1292" width="14.7109375" style="20" customWidth="1"/>
    <col min="1293" max="1293" width="15.140625" style="20" customWidth="1"/>
    <col min="1294" max="1294" width="14.140625" style="20" customWidth="1"/>
    <col min="1295" max="1295" width="14.7109375" style="20" customWidth="1"/>
    <col min="1296" max="1296" width="14.42578125" style="20" customWidth="1"/>
    <col min="1297" max="1297" width="15" style="20" customWidth="1"/>
    <col min="1298" max="1298" width="14.5703125" style="20" customWidth="1"/>
    <col min="1299" max="1299" width="14.85546875" style="20" customWidth="1"/>
    <col min="1300" max="1300" width="15" style="20" customWidth="1"/>
    <col min="1301" max="1311" width="16.140625" style="20" customWidth="1"/>
    <col min="1312" max="1312" width="58.140625" style="20" customWidth="1"/>
    <col min="1313" max="1313" width="3.7109375" style="20" customWidth="1"/>
    <col min="1314" max="1314" width="18.85546875" style="20" customWidth="1"/>
    <col min="1315" max="1536" width="9.140625" style="20"/>
    <col min="1537" max="1537" width="51.42578125" style="20" customWidth="1"/>
    <col min="1538" max="1538" width="15.28515625" style="20" customWidth="1"/>
    <col min="1539" max="1539" width="17.140625" style="20" customWidth="1"/>
    <col min="1540" max="1540" width="13.85546875" style="20" customWidth="1"/>
    <col min="1541" max="1541" width="15.42578125" style="20" customWidth="1"/>
    <col min="1542" max="1543" width="13.42578125" style="20" customWidth="1"/>
    <col min="1544" max="1544" width="17.42578125" style="20" customWidth="1"/>
    <col min="1545" max="1545" width="14.7109375" style="20" customWidth="1"/>
    <col min="1546" max="1546" width="13.5703125" style="20" customWidth="1"/>
    <col min="1547" max="1547" width="15.140625" style="20" customWidth="1"/>
    <col min="1548" max="1548" width="14.7109375" style="20" customWidth="1"/>
    <col min="1549" max="1549" width="15.140625" style="20" customWidth="1"/>
    <col min="1550" max="1550" width="14.140625" style="20" customWidth="1"/>
    <col min="1551" max="1551" width="14.7109375" style="20" customWidth="1"/>
    <col min="1552" max="1552" width="14.42578125" style="20" customWidth="1"/>
    <col min="1553" max="1553" width="15" style="20" customWidth="1"/>
    <col min="1554" max="1554" width="14.5703125" style="20" customWidth="1"/>
    <col min="1555" max="1555" width="14.85546875" style="20" customWidth="1"/>
    <col min="1556" max="1556" width="15" style="20" customWidth="1"/>
    <col min="1557" max="1567" width="16.140625" style="20" customWidth="1"/>
    <col min="1568" max="1568" width="58.140625" style="20" customWidth="1"/>
    <col min="1569" max="1569" width="3.7109375" style="20" customWidth="1"/>
    <col min="1570" max="1570" width="18.85546875" style="20" customWidth="1"/>
    <col min="1571" max="1792" width="9.140625" style="20"/>
    <col min="1793" max="1793" width="51.42578125" style="20" customWidth="1"/>
    <col min="1794" max="1794" width="15.28515625" style="20" customWidth="1"/>
    <col min="1795" max="1795" width="17.140625" style="20" customWidth="1"/>
    <col min="1796" max="1796" width="13.85546875" style="20" customWidth="1"/>
    <col min="1797" max="1797" width="15.42578125" style="20" customWidth="1"/>
    <col min="1798" max="1799" width="13.42578125" style="20" customWidth="1"/>
    <col min="1800" max="1800" width="17.42578125" style="20" customWidth="1"/>
    <col min="1801" max="1801" width="14.7109375" style="20" customWidth="1"/>
    <col min="1802" max="1802" width="13.5703125" style="20" customWidth="1"/>
    <col min="1803" max="1803" width="15.140625" style="20" customWidth="1"/>
    <col min="1804" max="1804" width="14.7109375" style="20" customWidth="1"/>
    <col min="1805" max="1805" width="15.140625" style="20" customWidth="1"/>
    <col min="1806" max="1806" width="14.140625" style="20" customWidth="1"/>
    <col min="1807" max="1807" width="14.7109375" style="20" customWidth="1"/>
    <col min="1808" max="1808" width="14.42578125" style="20" customWidth="1"/>
    <col min="1809" max="1809" width="15" style="20" customWidth="1"/>
    <col min="1810" max="1810" width="14.5703125" style="20" customWidth="1"/>
    <col min="1811" max="1811" width="14.85546875" style="20" customWidth="1"/>
    <col min="1812" max="1812" width="15" style="20" customWidth="1"/>
    <col min="1813" max="1823" width="16.140625" style="20" customWidth="1"/>
    <col min="1824" max="1824" width="58.140625" style="20" customWidth="1"/>
    <col min="1825" max="1825" width="3.7109375" style="20" customWidth="1"/>
    <col min="1826" max="1826" width="18.85546875" style="20" customWidth="1"/>
    <col min="1827" max="2048" width="9.140625" style="20"/>
    <col min="2049" max="2049" width="51.42578125" style="20" customWidth="1"/>
    <col min="2050" max="2050" width="15.28515625" style="20" customWidth="1"/>
    <col min="2051" max="2051" width="17.140625" style="20" customWidth="1"/>
    <col min="2052" max="2052" width="13.85546875" style="20" customWidth="1"/>
    <col min="2053" max="2053" width="15.42578125" style="20" customWidth="1"/>
    <col min="2054" max="2055" width="13.42578125" style="20" customWidth="1"/>
    <col min="2056" max="2056" width="17.42578125" style="20" customWidth="1"/>
    <col min="2057" max="2057" width="14.7109375" style="20" customWidth="1"/>
    <col min="2058" max="2058" width="13.5703125" style="20" customWidth="1"/>
    <col min="2059" max="2059" width="15.140625" style="20" customWidth="1"/>
    <col min="2060" max="2060" width="14.7109375" style="20" customWidth="1"/>
    <col min="2061" max="2061" width="15.140625" style="20" customWidth="1"/>
    <col min="2062" max="2062" width="14.140625" style="20" customWidth="1"/>
    <col min="2063" max="2063" width="14.7109375" style="20" customWidth="1"/>
    <col min="2064" max="2064" width="14.42578125" style="20" customWidth="1"/>
    <col min="2065" max="2065" width="15" style="20" customWidth="1"/>
    <col min="2066" max="2066" width="14.5703125" style="20" customWidth="1"/>
    <col min="2067" max="2067" width="14.85546875" style="20" customWidth="1"/>
    <col min="2068" max="2068" width="15" style="20" customWidth="1"/>
    <col min="2069" max="2079" width="16.140625" style="20" customWidth="1"/>
    <col min="2080" max="2080" width="58.140625" style="20" customWidth="1"/>
    <col min="2081" max="2081" width="3.7109375" style="20" customWidth="1"/>
    <col min="2082" max="2082" width="18.85546875" style="20" customWidth="1"/>
    <col min="2083" max="2304" width="9.140625" style="20"/>
    <col min="2305" max="2305" width="51.42578125" style="20" customWidth="1"/>
    <col min="2306" max="2306" width="15.28515625" style="20" customWidth="1"/>
    <col min="2307" max="2307" width="17.140625" style="20" customWidth="1"/>
    <col min="2308" max="2308" width="13.85546875" style="20" customWidth="1"/>
    <col min="2309" max="2309" width="15.42578125" style="20" customWidth="1"/>
    <col min="2310" max="2311" width="13.42578125" style="20" customWidth="1"/>
    <col min="2312" max="2312" width="17.42578125" style="20" customWidth="1"/>
    <col min="2313" max="2313" width="14.7109375" style="20" customWidth="1"/>
    <col min="2314" max="2314" width="13.5703125" style="20" customWidth="1"/>
    <col min="2315" max="2315" width="15.140625" style="20" customWidth="1"/>
    <col min="2316" max="2316" width="14.7109375" style="20" customWidth="1"/>
    <col min="2317" max="2317" width="15.140625" style="20" customWidth="1"/>
    <col min="2318" max="2318" width="14.140625" style="20" customWidth="1"/>
    <col min="2319" max="2319" width="14.7109375" style="20" customWidth="1"/>
    <col min="2320" max="2320" width="14.42578125" style="20" customWidth="1"/>
    <col min="2321" max="2321" width="15" style="20" customWidth="1"/>
    <col min="2322" max="2322" width="14.5703125" style="20" customWidth="1"/>
    <col min="2323" max="2323" width="14.85546875" style="20" customWidth="1"/>
    <col min="2324" max="2324" width="15" style="20" customWidth="1"/>
    <col min="2325" max="2335" width="16.140625" style="20" customWidth="1"/>
    <col min="2336" max="2336" width="58.140625" style="20" customWidth="1"/>
    <col min="2337" max="2337" width="3.7109375" style="20" customWidth="1"/>
    <col min="2338" max="2338" width="18.85546875" style="20" customWidth="1"/>
    <col min="2339" max="2560" width="9.140625" style="20"/>
    <col min="2561" max="2561" width="51.42578125" style="20" customWidth="1"/>
    <col min="2562" max="2562" width="15.28515625" style="20" customWidth="1"/>
    <col min="2563" max="2563" width="17.140625" style="20" customWidth="1"/>
    <col min="2564" max="2564" width="13.85546875" style="20" customWidth="1"/>
    <col min="2565" max="2565" width="15.42578125" style="20" customWidth="1"/>
    <col min="2566" max="2567" width="13.42578125" style="20" customWidth="1"/>
    <col min="2568" max="2568" width="17.42578125" style="20" customWidth="1"/>
    <col min="2569" max="2569" width="14.7109375" style="20" customWidth="1"/>
    <col min="2570" max="2570" width="13.5703125" style="20" customWidth="1"/>
    <col min="2571" max="2571" width="15.140625" style="20" customWidth="1"/>
    <col min="2572" max="2572" width="14.7109375" style="20" customWidth="1"/>
    <col min="2573" max="2573" width="15.140625" style="20" customWidth="1"/>
    <col min="2574" max="2574" width="14.140625" style="20" customWidth="1"/>
    <col min="2575" max="2575" width="14.7109375" style="20" customWidth="1"/>
    <col min="2576" max="2576" width="14.42578125" style="20" customWidth="1"/>
    <col min="2577" max="2577" width="15" style="20" customWidth="1"/>
    <col min="2578" max="2578" width="14.5703125" style="20" customWidth="1"/>
    <col min="2579" max="2579" width="14.85546875" style="20" customWidth="1"/>
    <col min="2580" max="2580" width="15" style="20" customWidth="1"/>
    <col min="2581" max="2591" width="16.140625" style="20" customWidth="1"/>
    <col min="2592" max="2592" width="58.140625" style="20" customWidth="1"/>
    <col min="2593" max="2593" width="3.7109375" style="20" customWidth="1"/>
    <col min="2594" max="2594" width="18.85546875" style="20" customWidth="1"/>
    <col min="2595" max="2816" width="9.140625" style="20"/>
    <col min="2817" max="2817" width="51.42578125" style="20" customWidth="1"/>
    <col min="2818" max="2818" width="15.28515625" style="20" customWidth="1"/>
    <col min="2819" max="2819" width="17.140625" style="20" customWidth="1"/>
    <col min="2820" max="2820" width="13.85546875" style="20" customWidth="1"/>
    <col min="2821" max="2821" width="15.42578125" style="20" customWidth="1"/>
    <col min="2822" max="2823" width="13.42578125" style="20" customWidth="1"/>
    <col min="2824" max="2824" width="17.42578125" style="20" customWidth="1"/>
    <col min="2825" max="2825" width="14.7109375" style="20" customWidth="1"/>
    <col min="2826" max="2826" width="13.5703125" style="20" customWidth="1"/>
    <col min="2827" max="2827" width="15.140625" style="20" customWidth="1"/>
    <col min="2828" max="2828" width="14.7109375" style="20" customWidth="1"/>
    <col min="2829" max="2829" width="15.140625" style="20" customWidth="1"/>
    <col min="2830" max="2830" width="14.140625" style="20" customWidth="1"/>
    <col min="2831" max="2831" width="14.7109375" style="20" customWidth="1"/>
    <col min="2832" max="2832" width="14.42578125" style="20" customWidth="1"/>
    <col min="2833" max="2833" width="15" style="20" customWidth="1"/>
    <col min="2834" max="2834" width="14.5703125" style="20" customWidth="1"/>
    <col min="2835" max="2835" width="14.85546875" style="20" customWidth="1"/>
    <col min="2836" max="2836" width="15" style="20" customWidth="1"/>
    <col min="2837" max="2847" width="16.140625" style="20" customWidth="1"/>
    <col min="2848" max="2848" width="58.140625" style="20" customWidth="1"/>
    <col min="2849" max="2849" width="3.7109375" style="20" customWidth="1"/>
    <col min="2850" max="2850" width="18.85546875" style="20" customWidth="1"/>
    <col min="2851" max="3072" width="9.140625" style="20"/>
    <col min="3073" max="3073" width="51.42578125" style="20" customWidth="1"/>
    <col min="3074" max="3074" width="15.28515625" style="20" customWidth="1"/>
    <col min="3075" max="3075" width="17.140625" style="20" customWidth="1"/>
    <col min="3076" max="3076" width="13.85546875" style="20" customWidth="1"/>
    <col min="3077" max="3077" width="15.42578125" style="20" customWidth="1"/>
    <col min="3078" max="3079" width="13.42578125" style="20" customWidth="1"/>
    <col min="3080" max="3080" width="17.42578125" style="20" customWidth="1"/>
    <col min="3081" max="3081" width="14.7109375" style="20" customWidth="1"/>
    <col min="3082" max="3082" width="13.5703125" style="20" customWidth="1"/>
    <col min="3083" max="3083" width="15.140625" style="20" customWidth="1"/>
    <col min="3084" max="3084" width="14.7109375" style="20" customWidth="1"/>
    <col min="3085" max="3085" width="15.140625" style="20" customWidth="1"/>
    <col min="3086" max="3086" width="14.140625" style="20" customWidth="1"/>
    <col min="3087" max="3087" width="14.7109375" style="20" customWidth="1"/>
    <col min="3088" max="3088" width="14.42578125" style="20" customWidth="1"/>
    <col min="3089" max="3089" width="15" style="20" customWidth="1"/>
    <col min="3090" max="3090" width="14.5703125" style="20" customWidth="1"/>
    <col min="3091" max="3091" width="14.85546875" style="20" customWidth="1"/>
    <col min="3092" max="3092" width="15" style="20" customWidth="1"/>
    <col min="3093" max="3103" width="16.140625" style="20" customWidth="1"/>
    <col min="3104" max="3104" width="58.140625" style="20" customWidth="1"/>
    <col min="3105" max="3105" width="3.7109375" style="20" customWidth="1"/>
    <col min="3106" max="3106" width="18.85546875" style="20" customWidth="1"/>
    <col min="3107" max="3328" width="9.140625" style="20"/>
    <col min="3329" max="3329" width="51.42578125" style="20" customWidth="1"/>
    <col min="3330" max="3330" width="15.28515625" style="20" customWidth="1"/>
    <col min="3331" max="3331" width="17.140625" style="20" customWidth="1"/>
    <col min="3332" max="3332" width="13.85546875" style="20" customWidth="1"/>
    <col min="3333" max="3333" width="15.42578125" style="20" customWidth="1"/>
    <col min="3334" max="3335" width="13.42578125" style="20" customWidth="1"/>
    <col min="3336" max="3336" width="17.42578125" style="20" customWidth="1"/>
    <col min="3337" max="3337" width="14.7109375" style="20" customWidth="1"/>
    <col min="3338" max="3338" width="13.5703125" style="20" customWidth="1"/>
    <col min="3339" max="3339" width="15.140625" style="20" customWidth="1"/>
    <col min="3340" max="3340" width="14.7109375" style="20" customWidth="1"/>
    <col min="3341" max="3341" width="15.140625" style="20" customWidth="1"/>
    <col min="3342" max="3342" width="14.140625" style="20" customWidth="1"/>
    <col min="3343" max="3343" width="14.7109375" style="20" customWidth="1"/>
    <col min="3344" max="3344" width="14.42578125" style="20" customWidth="1"/>
    <col min="3345" max="3345" width="15" style="20" customWidth="1"/>
    <col min="3346" max="3346" width="14.5703125" style="20" customWidth="1"/>
    <col min="3347" max="3347" width="14.85546875" style="20" customWidth="1"/>
    <col min="3348" max="3348" width="15" style="20" customWidth="1"/>
    <col min="3349" max="3359" width="16.140625" style="20" customWidth="1"/>
    <col min="3360" max="3360" width="58.140625" style="20" customWidth="1"/>
    <col min="3361" max="3361" width="3.7109375" style="20" customWidth="1"/>
    <col min="3362" max="3362" width="18.85546875" style="20" customWidth="1"/>
    <col min="3363" max="3584" width="9.140625" style="20"/>
    <col min="3585" max="3585" width="51.42578125" style="20" customWidth="1"/>
    <col min="3586" max="3586" width="15.28515625" style="20" customWidth="1"/>
    <col min="3587" max="3587" width="17.140625" style="20" customWidth="1"/>
    <col min="3588" max="3588" width="13.85546875" style="20" customWidth="1"/>
    <col min="3589" max="3589" width="15.42578125" style="20" customWidth="1"/>
    <col min="3590" max="3591" width="13.42578125" style="20" customWidth="1"/>
    <col min="3592" max="3592" width="17.42578125" style="20" customWidth="1"/>
    <col min="3593" max="3593" width="14.7109375" style="20" customWidth="1"/>
    <col min="3594" max="3594" width="13.5703125" style="20" customWidth="1"/>
    <col min="3595" max="3595" width="15.140625" style="20" customWidth="1"/>
    <col min="3596" max="3596" width="14.7109375" style="20" customWidth="1"/>
    <col min="3597" max="3597" width="15.140625" style="20" customWidth="1"/>
    <col min="3598" max="3598" width="14.140625" style="20" customWidth="1"/>
    <col min="3599" max="3599" width="14.7109375" style="20" customWidth="1"/>
    <col min="3600" max="3600" width="14.42578125" style="20" customWidth="1"/>
    <col min="3601" max="3601" width="15" style="20" customWidth="1"/>
    <col min="3602" max="3602" width="14.5703125" style="20" customWidth="1"/>
    <col min="3603" max="3603" width="14.85546875" style="20" customWidth="1"/>
    <col min="3604" max="3604" width="15" style="20" customWidth="1"/>
    <col min="3605" max="3615" width="16.140625" style="20" customWidth="1"/>
    <col min="3616" max="3616" width="58.140625" style="20" customWidth="1"/>
    <col min="3617" max="3617" width="3.7109375" style="20" customWidth="1"/>
    <col min="3618" max="3618" width="18.85546875" style="20" customWidth="1"/>
    <col min="3619" max="3840" width="9.140625" style="20"/>
    <col min="3841" max="3841" width="51.42578125" style="20" customWidth="1"/>
    <col min="3842" max="3842" width="15.28515625" style="20" customWidth="1"/>
    <col min="3843" max="3843" width="17.140625" style="20" customWidth="1"/>
    <col min="3844" max="3844" width="13.85546875" style="20" customWidth="1"/>
    <col min="3845" max="3845" width="15.42578125" style="20" customWidth="1"/>
    <col min="3846" max="3847" width="13.42578125" style="20" customWidth="1"/>
    <col min="3848" max="3848" width="17.42578125" style="20" customWidth="1"/>
    <col min="3849" max="3849" width="14.7109375" style="20" customWidth="1"/>
    <col min="3850" max="3850" width="13.5703125" style="20" customWidth="1"/>
    <col min="3851" max="3851" width="15.140625" style="20" customWidth="1"/>
    <col min="3852" max="3852" width="14.7109375" style="20" customWidth="1"/>
    <col min="3853" max="3853" width="15.140625" style="20" customWidth="1"/>
    <col min="3854" max="3854" width="14.140625" style="20" customWidth="1"/>
    <col min="3855" max="3855" width="14.7109375" style="20" customWidth="1"/>
    <col min="3856" max="3856" width="14.42578125" style="20" customWidth="1"/>
    <col min="3857" max="3857" width="15" style="20" customWidth="1"/>
    <col min="3858" max="3858" width="14.5703125" style="20" customWidth="1"/>
    <col min="3859" max="3859" width="14.85546875" style="20" customWidth="1"/>
    <col min="3860" max="3860" width="15" style="20" customWidth="1"/>
    <col min="3861" max="3871" width="16.140625" style="20" customWidth="1"/>
    <col min="3872" max="3872" width="58.140625" style="20" customWidth="1"/>
    <col min="3873" max="3873" width="3.7109375" style="20" customWidth="1"/>
    <col min="3874" max="3874" width="18.85546875" style="20" customWidth="1"/>
    <col min="3875" max="4096" width="9.140625" style="20"/>
    <col min="4097" max="4097" width="51.42578125" style="20" customWidth="1"/>
    <col min="4098" max="4098" width="15.28515625" style="20" customWidth="1"/>
    <col min="4099" max="4099" width="17.140625" style="20" customWidth="1"/>
    <col min="4100" max="4100" width="13.85546875" style="20" customWidth="1"/>
    <col min="4101" max="4101" width="15.42578125" style="20" customWidth="1"/>
    <col min="4102" max="4103" width="13.42578125" style="20" customWidth="1"/>
    <col min="4104" max="4104" width="17.42578125" style="20" customWidth="1"/>
    <col min="4105" max="4105" width="14.7109375" style="20" customWidth="1"/>
    <col min="4106" max="4106" width="13.5703125" style="20" customWidth="1"/>
    <col min="4107" max="4107" width="15.140625" style="20" customWidth="1"/>
    <col min="4108" max="4108" width="14.7109375" style="20" customWidth="1"/>
    <col min="4109" max="4109" width="15.140625" style="20" customWidth="1"/>
    <col min="4110" max="4110" width="14.140625" style="20" customWidth="1"/>
    <col min="4111" max="4111" width="14.7109375" style="20" customWidth="1"/>
    <col min="4112" max="4112" width="14.42578125" style="20" customWidth="1"/>
    <col min="4113" max="4113" width="15" style="20" customWidth="1"/>
    <col min="4114" max="4114" width="14.5703125" style="20" customWidth="1"/>
    <col min="4115" max="4115" width="14.85546875" style="20" customWidth="1"/>
    <col min="4116" max="4116" width="15" style="20" customWidth="1"/>
    <col min="4117" max="4127" width="16.140625" style="20" customWidth="1"/>
    <col min="4128" max="4128" width="58.140625" style="20" customWidth="1"/>
    <col min="4129" max="4129" width="3.7109375" style="20" customWidth="1"/>
    <col min="4130" max="4130" width="18.85546875" style="20" customWidth="1"/>
    <col min="4131" max="4352" width="9.140625" style="20"/>
    <col min="4353" max="4353" width="51.42578125" style="20" customWidth="1"/>
    <col min="4354" max="4354" width="15.28515625" style="20" customWidth="1"/>
    <col min="4355" max="4355" width="17.140625" style="20" customWidth="1"/>
    <col min="4356" max="4356" width="13.85546875" style="20" customWidth="1"/>
    <col min="4357" max="4357" width="15.42578125" style="20" customWidth="1"/>
    <col min="4358" max="4359" width="13.42578125" style="20" customWidth="1"/>
    <col min="4360" max="4360" width="17.42578125" style="20" customWidth="1"/>
    <col min="4361" max="4361" width="14.7109375" style="20" customWidth="1"/>
    <col min="4362" max="4362" width="13.5703125" style="20" customWidth="1"/>
    <col min="4363" max="4363" width="15.140625" style="20" customWidth="1"/>
    <col min="4364" max="4364" width="14.7109375" style="20" customWidth="1"/>
    <col min="4365" max="4365" width="15.140625" style="20" customWidth="1"/>
    <col min="4366" max="4366" width="14.140625" style="20" customWidth="1"/>
    <col min="4367" max="4367" width="14.7109375" style="20" customWidth="1"/>
    <col min="4368" max="4368" width="14.42578125" style="20" customWidth="1"/>
    <col min="4369" max="4369" width="15" style="20" customWidth="1"/>
    <col min="4370" max="4370" width="14.5703125" style="20" customWidth="1"/>
    <col min="4371" max="4371" width="14.85546875" style="20" customWidth="1"/>
    <col min="4372" max="4372" width="15" style="20" customWidth="1"/>
    <col min="4373" max="4383" width="16.140625" style="20" customWidth="1"/>
    <col min="4384" max="4384" width="58.140625" style="20" customWidth="1"/>
    <col min="4385" max="4385" width="3.7109375" style="20" customWidth="1"/>
    <col min="4386" max="4386" width="18.85546875" style="20" customWidth="1"/>
    <col min="4387" max="4608" width="9.140625" style="20"/>
    <col min="4609" max="4609" width="51.42578125" style="20" customWidth="1"/>
    <col min="4610" max="4610" width="15.28515625" style="20" customWidth="1"/>
    <col min="4611" max="4611" width="17.140625" style="20" customWidth="1"/>
    <col min="4612" max="4612" width="13.85546875" style="20" customWidth="1"/>
    <col min="4613" max="4613" width="15.42578125" style="20" customWidth="1"/>
    <col min="4614" max="4615" width="13.42578125" style="20" customWidth="1"/>
    <col min="4616" max="4616" width="17.42578125" style="20" customWidth="1"/>
    <col min="4617" max="4617" width="14.7109375" style="20" customWidth="1"/>
    <col min="4618" max="4618" width="13.5703125" style="20" customWidth="1"/>
    <col min="4619" max="4619" width="15.140625" style="20" customWidth="1"/>
    <col min="4620" max="4620" width="14.7109375" style="20" customWidth="1"/>
    <col min="4621" max="4621" width="15.140625" style="20" customWidth="1"/>
    <col min="4622" max="4622" width="14.140625" style="20" customWidth="1"/>
    <col min="4623" max="4623" width="14.7109375" style="20" customWidth="1"/>
    <col min="4624" max="4624" width="14.42578125" style="20" customWidth="1"/>
    <col min="4625" max="4625" width="15" style="20" customWidth="1"/>
    <col min="4626" max="4626" width="14.5703125" style="20" customWidth="1"/>
    <col min="4627" max="4627" width="14.85546875" style="20" customWidth="1"/>
    <col min="4628" max="4628" width="15" style="20" customWidth="1"/>
    <col min="4629" max="4639" width="16.140625" style="20" customWidth="1"/>
    <col min="4640" max="4640" width="58.140625" style="20" customWidth="1"/>
    <col min="4641" max="4641" width="3.7109375" style="20" customWidth="1"/>
    <col min="4642" max="4642" width="18.85546875" style="20" customWidth="1"/>
    <col min="4643" max="4864" width="9.140625" style="20"/>
    <col min="4865" max="4865" width="51.42578125" style="20" customWidth="1"/>
    <col min="4866" max="4866" width="15.28515625" style="20" customWidth="1"/>
    <col min="4867" max="4867" width="17.140625" style="20" customWidth="1"/>
    <col min="4868" max="4868" width="13.85546875" style="20" customWidth="1"/>
    <col min="4869" max="4869" width="15.42578125" style="20" customWidth="1"/>
    <col min="4870" max="4871" width="13.42578125" style="20" customWidth="1"/>
    <col min="4872" max="4872" width="17.42578125" style="20" customWidth="1"/>
    <col min="4873" max="4873" width="14.7109375" style="20" customWidth="1"/>
    <col min="4874" max="4874" width="13.5703125" style="20" customWidth="1"/>
    <col min="4875" max="4875" width="15.140625" style="20" customWidth="1"/>
    <col min="4876" max="4876" width="14.7109375" style="20" customWidth="1"/>
    <col min="4877" max="4877" width="15.140625" style="20" customWidth="1"/>
    <col min="4878" max="4878" width="14.140625" style="20" customWidth="1"/>
    <col min="4879" max="4879" width="14.7109375" style="20" customWidth="1"/>
    <col min="4880" max="4880" width="14.42578125" style="20" customWidth="1"/>
    <col min="4881" max="4881" width="15" style="20" customWidth="1"/>
    <col min="4882" max="4882" width="14.5703125" style="20" customWidth="1"/>
    <col min="4883" max="4883" width="14.85546875" style="20" customWidth="1"/>
    <col min="4884" max="4884" width="15" style="20" customWidth="1"/>
    <col min="4885" max="4895" width="16.140625" style="20" customWidth="1"/>
    <col min="4896" max="4896" width="58.140625" style="20" customWidth="1"/>
    <col min="4897" max="4897" width="3.7109375" style="20" customWidth="1"/>
    <col min="4898" max="4898" width="18.85546875" style="20" customWidth="1"/>
    <col min="4899" max="5120" width="9.140625" style="20"/>
    <col min="5121" max="5121" width="51.42578125" style="20" customWidth="1"/>
    <col min="5122" max="5122" width="15.28515625" style="20" customWidth="1"/>
    <col min="5123" max="5123" width="17.140625" style="20" customWidth="1"/>
    <col min="5124" max="5124" width="13.85546875" style="20" customWidth="1"/>
    <col min="5125" max="5125" width="15.42578125" style="20" customWidth="1"/>
    <col min="5126" max="5127" width="13.42578125" style="20" customWidth="1"/>
    <col min="5128" max="5128" width="17.42578125" style="20" customWidth="1"/>
    <col min="5129" max="5129" width="14.7109375" style="20" customWidth="1"/>
    <col min="5130" max="5130" width="13.5703125" style="20" customWidth="1"/>
    <col min="5131" max="5131" width="15.140625" style="20" customWidth="1"/>
    <col min="5132" max="5132" width="14.7109375" style="20" customWidth="1"/>
    <col min="5133" max="5133" width="15.140625" style="20" customWidth="1"/>
    <col min="5134" max="5134" width="14.140625" style="20" customWidth="1"/>
    <col min="5135" max="5135" width="14.7109375" style="20" customWidth="1"/>
    <col min="5136" max="5136" width="14.42578125" style="20" customWidth="1"/>
    <col min="5137" max="5137" width="15" style="20" customWidth="1"/>
    <col min="5138" max="5138" width="14.5703125" style="20" customWidth="1"/>
    <col min="5139" max="5139" width="14.85546875" style="20" customWidth="1"/>
    <col min="5140" max="5140" width="15" style="20" customWidth="1"/>
    <col min="5141" max="5151" width="16.140625" style="20" customWidth="1"/>
    <col min="5152" max="5152" width="58.140625" style="20" customWidth="1"/>
    <col min="5153" max="5153" width="3.7109375" style="20" customWidth="1"/>
    <col min="5154" max="5154" width="18.85546875" style="20" customWidth="1"/>
    <col min="5155" max="5376" width="9.140625" style="20"/>
    <col min="5377" max="5377" width="51.42578125" style="20" customWidth="1"/>
    <col min="5378" max="5378" width="15.28515625" style="20" customWidth="1"/>
    <col min="5379" max="5379" width="17.140625" style="20" customWidth="1"/>
    <col min="5380" max="5380" width="13.85546875" style="20" customWidth="1"/>
    <col min="5381" max="5381" width="15.42578125" style="20" customWidth="1"/>
    <col min="5382" max="5383" width="13.42578125" style="20" customWidth="1"/>
    <col min="5384" max="5384" width="17.42578125" style="20" customWidth="1"/>
    <col min="5385" max="5385" width="14.7109375" style="20" customWidth="1"/>
    <col min="5386" max="5386" width="13.5703125" style="20" customWidth="1"/>
    <col min="5387" max="5387" width="15.140625" style="20" customWidth="1"/>
    <col min="5388" max="5388" width="14.7109375" style="20" customWidth="1"/>
    <col min="5389" max="5389" width="15.140625" style="20" customWidth="1"/>
    <col min="5390" max="5390" width="14.140625" style="20" customWidth="1"/>
    <col min="5391" max="5391" width="14.7109375" style="20" customWidth="1"/>
    <col min="5392" max="5392" width="14.42578125" style="20" customWidth="1"/>
    <col min="5393" max="5393" width="15" style="20" customWidth="1"/>
    <col min="5394" max="5394" width="14.5703125" style="20" customWidth="1"/>
    <col min="5395" max="5395" width="14.85546875" style="20" customWidth="1"/>
    <col min="5396" max="5396" width="15" style="20" customWidth="1"/>
    <col min="5397" max="5407" width="16.140625" style="20" customWidth="1"/>
    <col min="5408" max="5408" width="58.140625" style="20" customWidth="1"/>
    <col min="5409" max="5409" width="3.7109375" style="20" customWidth="1"/>
    <col min="5410" max="5410" width="18.85546875" style="20" customWidth="1"/>
    <col min="5411" max="5632" width="9.140625" style="20"/>
    <col min="5633" max="5633" width="51.42578125" style="20" customWidth="1"/>
    <col min="5634" max="5634" width="15.28515625" style="20" customWidth="1"/>
    <col min="5635" max="5635" width="17.140625" style="20" customWidth="1"/>
    <col min="5636" max="5636" width="13.85546875" style="20" customWidth="1"/>
    <col min="5637" max="5637" width="15.42578125" style="20" customWidth="1"/>
    <col min="5638" max="5639" width="13.42578125" style="20" customWidth="1"/>
    <col min="5640" max="5640" width="17.42578125" style="20" customWidth="1"/>
    <col min="5641" max="5641" width="14.7109375" style="20" customWidth="1"/>
    <col min="5642" max="5642" width="13.5703125" style="20" customWidth="1"/>
    <col min="5643" max="5643" width="15.140625" style="20" customWidth="1"/>
    <col min="5644" max="5644" width="14.7109375" style="20" customWidth="1"/>
    <col min="5645" max="5645" width="15.140625" style="20" customWidth="1"/>
    <col min="5646" max="5646" width="14.140625" style="20" customWidth="1"/>
    <col min="5647" max="5647" width="14.7109375" style="20" customWidth="1"/>
    <col min="5648" max="5648" width="14.42578125" style="20" customWidth="1"/>
    <col min="5649" max="5649" width="15" style="20" customWidth="1"/>
    <col min="5650" max="5650" width="14.5703125" style="20" customWidth="1"/>
    <col min="5651" max="5651" width="14.85546875" style="20" customWidth="1"/>
    <col min="5652" max="5652" width="15" style="20" customWidth="1"/>
    <col min="5653" max="5663" width="16.140625" style="20" customWidth="1"/>
    <col min="5664" max="5664" width="58.140625" style="20" customWidth="1"/>
    <col min="5665" max="5665" width="3.7109375" style="20" customWidth="1"/>
    <col min="5666" max="5666" width="18.85546875" style="20" customWidth="1"/>
    <col min="5667" max="5888" width="9.140625" style="20"/>
    <col min="5889" max="5889" width="51.42578125" style="20" customWidth="1"/>
    <col min="5890" max="5890" width="15.28515625" style="20" customWidth="1"/>
    <col min="5891" max="5891" width="17.140625" style="20" customWidth="1"/>
    <col min="5892" max="5892" width="13.85546875" style="20" customWidth="1"/>
    <col min="5893" max="5893" width="15.42578125" style="20" customWidth="1"/>
    <col min="5894" max="5895" width="13.42578125" style="20" customWidth="1"/>
    <col min="5896" max="5896" width="17.42578125" style="20" customWidth="1"/>
    <col min="5897" max="5897" width="14.7109375" style="20" customWidth="1"/>
    <col min="5898" max="5898" width="13.5703125" style="20" customWidth="1"/>
    <col min="5899" max="5899" width="15.140625" style="20" customWidth="1"/>
    <col min="5900" max="5900" width="14.7109375" style="20" customWidth="1"/>
    <col min="5901" max="5901" width="15.140625" style="20" customWidth="1"/>
    <col min="5902" max="5902" width="14.140625" style="20" customWidth="1"/>
    <col min="5903" max="5903" width="14.7109375" style="20" customWidth="1"/>
    <col min="5904" max="5904" width="14.42578125" style="20" customWidth="1"/>
    <col min="5905" max="5905" width="15" style="20" customWidth="1"/>
    <col min="5906" max="5906" width="14.5703125" style="20" customWidth="1"/>
    <col min="5907" max="5907" width="14.85546875" style="20" customWidth="1"/>
    <col min="5908" max="5908" width="15" style="20" customWidth="1"/>
    <col min="5909" max="5919" width="16.140625" style="20" customWidth="1"/>
    <col min="5920" max="5920" width="58.140625" style="20" customWidth="1"/>
    <col min="5921" max="5921" width="3.7109375" style="20" customWidth="1"/>
    <col min="5922" max="5922" width="18.85546875" style="20" customWidth="1"/>
    <col min="5923" max="6144" width="9.140625" style="20"/>
    <col min="6145" max="6145" width="51.42578125" style="20" customWidth="1"/>
    <col min="6146" max="6146" width="15.28515625" style="20" customWidth="1"/>
    <col min="6147" max="6147" width="17.140625" style="20" customWidth="1"/>
    <col min="6148" max="6148" width="13.85546875" style="20" customWidth="1"/>
    <col min="6149" max="6149" width="15.42578125" style="20" customWidth="1"/>
    <col min="6150" max="6151" width="13.42578125" style="20" customWidth="1"/>
    <col min="6152" max="6152" width="17.42578125" style="20" customWidth="1"/>
    <col min="6153" max="6153" width="14.7109375" style="20" customWidth="1"/>
    <col min="6154" max="6154" width="13.5703125" style="20" customWidth="1"/>
    <col min="6155" max="6155" width="15.140625" style="20" customWidth="1"/>
    <col min="6156" max="6156" width="14.7109375" style="20" customWidth="1"/>
    <col min="6157" max="6157" width="15.140625" style="20" customWidth="1"/>
    <col min="6158" max="6158" width="14.140625" style="20" customWidth="1"/>
    <col min="6159" max="6159" width="14.7109375" style="20" customWidth="1"/>
    <col min="6160" max="6160" width="14.42578125" style="20" customWidth="1"/>
    <col min="6161" max="6161" width="15" style="20" customWidth="1"/>
    <col min="6162" max="6162" width="14.5703125" style="20" customWidth="1"/>
    <col min="6163" max="6163" width="14.85546875" style="20" customWidth="1"/>
    <col min="6164" max="6164" width="15" style="20" customWidth="1"/>
    <col min="6165" max="6175" width="16.140625" style="20" customWidth="1"/>
    <col min="6176" max="6176" width="58.140625" style="20" customWidth="1"/>
    <col min="6177" max="6177" width="3.7109375" style="20" customWidth="1"/>
    <col min="6178" max="6178" width="18.85546875" style="20" customWidth="1"/>
    <col min="6179" max="6400" width="9.140625" style="20"/>
    <col min="6401" max="6401" width="51.42578125" style="20" customWidth="1"/>
    <col min="6402" max="6402" width="15.28515625" style="20" customWidth="1"/>
    <col min="6403" max="6403" width="17.140625" style="20" customWidth="1"/>
    <col min="6404" max="6404" width="13.85546875" style="20" customWidth="1"/>
    <col min="6405" max="6405" width="15.42578125" style="20" customWidth="1"/>
    <col min="6406" max="6407" width="13.42578125" style="20" customWidth="1"/>
    <col min="6408" max="6408" width="17.42578125" style="20" customWidth="1"/>
    <col min="6409" max="6409" width="14.7109375" style="20" customWidth="1"/>
    <col min="6410" max="6410" width="13.5703125" style="20" customWidth="1"/>
    <col min="6411" max="6411" width="15.140625" style="20" customWidth="1"/>
    <col min="6412" max="6412" width="14.7109375" style="20" customWidth="1"/>
    <col min="6413" max="6413" width="15.140625" style="20" customWidth="1"/>
    <col min="6414" max="6414" width="14.140625" style="20" customWidth="1"/>
    <col min="6415" max="6415" width="14.7109375" style="20" customWidth="1"/>
    <col min="6416" max="6416" width="14.42578125" style="20" customWidth="1"/>
    <col min="6417" max="6417" width="15" style="20" customWidth="1"/>
    <col min="6418" max="6418" width="14.5703125" style="20" customWidth="1"/>
    <col min="6419" max="6419" width="14.85546875" style="20" customWidth="1"/>
    <col min="6420" max="6420" width="15" style="20" customWidth="1"/>
    <col min="6421" max="6431" width="16.140625" style="20" customWidth="1"/>
    <col min="6432" max="6432" width="58.140625" style="20" customWidth="1"/>
    <col min="6433" max="6433" width="3.7109375" style="20" customWidth="1"/>
    <col min="6434" max="6434" width="18.85546875" style="20" customWidth="1"/>
    <col min="6435" max="6656" width="9.140625" style="20"/>
    <col min="6657" max="6657" width="51.42578125" style="20" customWidth="1"/>
    <col min="6658" max="6658" width="15.28515625" style="20" customWidth="1"/>
    <col min="6659" max="6659" width="17.140625" style="20" customWidth="1"/>
    <col min="6660" max="6660" width="13.85546875" style="20" customWidth="1"/>
    <col min="6661" max="6661" width="15.42578125" style="20" customWidth="1"/>
    <col min="6662" max="6663" width="13.42578125" style="20" customWidth="1"/>
    <col min="6664" max="6664" width="17.42578125" style="20" customWidth="1"/>
    <col min="6665" max="6665" width="14.7109375" style="20" customWidth="1"/>
    <col min="6666" max="6666" width="13.5703125" style="20" customWidth="1"/>
    <col min="6667" max="6667" width="15.140625" style="20" customWidth="1"/>
    <col min="6668" max="6668" width="14.7109375" style="20" customWidth="1"/>
    <col min="6669" max="6669" width="15.140625" style="20" customWidth="1"/>
    <col min="6670" max="6670" width="14.140625" style="20" customWidth="1"/>
    <col min="6671" max="6671" width="14.7109375" style="20" customWidth="1"/>
    <col min="6672" max="6672" width="14.42578125" style="20" customWidth="1"/>
    <col min="6673" max="6673" width="15" style="20" customWidth="1"/>
    <col min="6674" max="6674" width="14.5703125" style="20" customWidth="1"/>
    <col min="6675" max="6675" width="14.85546875" style="20" customWidth="1"/>
    <col min="6676" max="6676" width="15" style="20" customWidth="1"/>
    <col min="6677" max="6687" width="16.140625" style="20" customWidth="1"/>
    <col min="6688" max="6688" width="58.140625" style="20" customWidth="1"/>
    <col min="6689" max="6689" width="3.7109375" style="20" customWidth="1"/>
    <col min="6690" max="6690" width="18.85546875" style="20" customWidth="1"/>
    <col min="6691" max="6912" width="9.140625" style="20"/>
    <col min="6913" max="6913" width="51.42578125" style="20" customWidth="1"/>
    <col min="6914" max="6914" width="15.28515625" style="20" customWidth="1"/>
    <col min="6915" max="6915" width="17.140625" style="20" customWidth="1"/>
    <col min="6916" max="6916" width="13.85546875" style="20" customWidth="1"/>
    <col min="6917" max="6917" width="15.42578125" style="20" customWidth="1"/>
    <col min="6918" max="6919" width="13.42578125" style="20" customWidth="1"/>
    <col min="6920" max="6920" width="17.42578125" style="20" customWidth="1"/>
    <col min="6921" max="6921" width="14.7109375" style="20" customWidth="1"/>
    <col min="6922" max="6922" width="13.5703125" style="20" customWidth="1"/>
    <col min="6923" max="6923" width="15.140625" style="20" customWidth="1"/>
    <col min="6924" max="6924" width="14.7109375" style="20" customWidth="1"/>
    <col min="6925" max="6925" width="15.140625" style="20" customWidth="1"/>
    <col min="6926" max="6926" width="14.140625" style="20" customWidth="1"/>
    <col min="6927" max="6927" width="14.7109375" style="20" customWidth="1"/>
    <col min="6928" max="6928" width="14.42578125" style="20" customWidth="1"/>
    <col min="6929" max="6929" width="15" style="20" customWidth="1"/>
    <col min="6930" max="6930" width="14.5703125" style="20" customWidth="1"/>
    <col min="6931" max="6931" width="14.85546875" style="20" customWidth="1"/>
    <col min="6932" max="6932" width="15" style="20" customWidth="1"/>
    <col min="6933" max="6943" width="16.140625" style="20" customWidth="1"/>
    <col min="6944" max="6944" width="58.140625" style="20" customWidth="1"/>
    <col min="6945" max="6945" width="3.7109375" style="20" customWidth="1"/>
    <col min="6946" max="6946" width="18.85546875" style="20" customWidth="1"/>
    <col min="6947" max="7168" width="9.140625" style="20"/>
    <col min="7169" max="7169" width="51.42578125" style="20" customWidth="1"/>
    <col min="7170" max="7170" width="15.28515625" style="20" customWidth="1"/>
    <col min="7171" max="7171" width="17.140625" style="20" customWidth="1"/>
    <col min="7172" max="7172" width="13.85546875" style="20" customWidth="1"/>
    <col min="7173" max="7173" width="15.42578125" style="20" customWidth="1"/>
    <col min="7174" max="7175" width="13.42578125" style="20" customWidth="1"/>
    <col min="7176" max="7176" width="17.42578125" style="20" customWidth="1"/>
    <col min="7177" max="7177" width="14.7109375" style="20" customWidth="1"/>
    <col min="7178" max="7178" width="13.5703125" style="20" customWidth="1"/>
    <col min="7179" max="7179" width="15.140625" style="20" customWidth="1"/>
    <col min="7180" max="7180" width="14.7109375" style="20" customWidth="1"/>
    <col min="7181" max="7181" width="15.140625" style="20" customWidth="1"/>
    <col min="7182" max="7182" width="14.140625" style="20" customWidth="1"/>
    <col min="7183" max="7183" width="14.7109375" style="20" customWidth="1"/>
    <col min="7184" max="7184" width="14.42578125" style="20" customWidth="1"/>
    <col min="7185" max="7185" width="15" style="20" customWidth="1"/>
    <col min="7186" max="7186" width="14.5703125" style="20" customWidth="1"/>
    <col min="7187" max="7187" width="14.85546875" style="20" customWidth="1"/>
    <col min="7188" max="7188" width="15" style="20" customWidth="1"/>
    <col min="7189" max="7199" width="16.140625" style="20" customWidth="1"/>
    <col min="7200" max="7200" width="58.140625" style="20" customWidth="1"/>
    <col min="7201" max="7201" width="3.7109375" style="20" customWidth="1"/>
    <col min="7202" max="7202" width="18.85546875" style="20" customWidth="1"/>
    <col min="7203" max="7424" width="9.140625" style="20"/>
    <col min="7425" max="7425" width="51.42578125" style="20" customWidth="1"/>
    <col min="7426" max="7426" width="15.28515625" style="20" customWidth="1"/>
    <col min="7427" max="7427" width="17.140625" style="20" customWidth="1"/>
    <col min="7428" max="7428" width="13.85546875" style="20" customWidth="1"/>
    <col min="7429" max="7429" width="15.42578125" style="20" customWidth="1"/>
    <col min="7430" max="7431" width="13.42578125" style="20" customWidth="1"/>
    <col min="7432" max="7432" width="17.42578125" style="20" customWidth="1"/>
    <col min="7433" max="7433" width="14.7109375" style="20" customWidth="1"/>
    <col min="7434" max="7434" width="13.5703125" style="20" customWidth="1"/>
    <col min="7435" max="7435" width="15.140625" style="20" customWidth="1"/>
    <col min="7436" max="7436" width="14.7109375" style="20" customWidth="1"/>
    <col min="7437" max="7437" width="15.140625" style="20" customWidth="1"/>
    <col min="7438" max="7438" width="14.140625" style="20" customWidth="1"/>
    <col min="7439" max="7439" width="14.7109375" style="20" customWidth="1"/>
    <col min="7440" max="7440" width="14.42578125" style="20" customWidth="1"/>
    <col min="7441" max="7441" width="15" style="20" customWidth="1"/>
    <col min="7442" max="7442" width="14.5703125" style="20" customWidth="1"/>
    <col min="7443" max="7443" width="14.85546875" style="20" customWidth="1"/>
    <col min="7444" max="7444" width="15" style="20" customWidth="1"/>
    <col min="7445" max="7455" width="16.140625" style="20" customWidth="1"/>
    <col min="7456" max="7456" width="58.140625" style="20" customWidth="1"/>
    <col min="7457" max="7457" width="3.7109375" style="20" customWidth="1"/>
    <col min="7458" max="7458" width="18.85546875" style="20" customWidth="1"/>
    <col min="7459" max="7680" width="9.140625" style="20"/>
    <col min="7681" max="7681" width="51.42578125" style="20" customWidth="1"/>
    <col min="7682" max="7682" width="15.28515625" style="20" customWidth="1"/>
    <col min="7683" max="7683" width="17.140625" style="20" customWidth="1"/>
    <col min="7684" max="7684" width="13.85546875" style="20" customWidth="1"/>
    <col min="7685" max="7685" width="15.42578125" style="20" customWidth="1"/>
    <col min="7686" max="7687" width="13.42578125" style="20" customWidth="1"/>
    <col min="7688" max="7688" width="17.42578125" style="20" customWidth="1"/>
    <col min="7689" max="7689" width="14.7109375" style="20" customWidth="1"/>
    <col min="7690" max="7690" width="13.5703125" style="20" customWidth="1"/>
    <col min="7691" max="7691" width="15.140625" style="20" customWidth="1"/>
    <col min="7692" max="7692" width="14.7109375" style="20" customWidth="1"/>
    <col min="7693" max="7693" width="15.140625" style="20" customWidth="1"/>
    <col min="7694" max="7694" width="14.140625" style="20" customWidth="1"/>
    <col min="7695" max="7695" width="14.7109375" style="20" customWidth="1"/>
    <col min="7696" max="7696" width="14.42578125" style="20" customWidth="1"/>
    <col min="7697" max="7697" width="15" style="20" customWidth="1"/>
    <col min="7698" max="7698" width="14.5703125" style="20" customWidth="1"/>
    <col min="7699" max="7699" width="14.85546875" style="20" customWidth="1"/>
    <col min="7700" max="7700" width="15" style="20" customWidth="1"/>
    <col min="7701" max="7711" width="16.140625" style="20" customWidth="1"/>
    <col min="7712" max="7712" width="58.140625" style="20" customWidth="1"/>
    <col min="7713" max="7713" width="3.7109375" style="20" customWidth="1"/>
    <col min="7714" max="7714" width="18.85546875" style="20" customWidth="1"/>
    <col min="7715" max="7936" width="9.140625" style="20"/>
    <col min="7937" max="7937" width="51.42578125" style="20" customWidth="1"/>
    <col min="7938" max="7938" width="15.28515625" style="20" customWidth="1"/>
    <col min="7939" max="7939" width="17.140625" style="20" customWidth="1"/>
    <col min="7940" max="7940" width="13.85546875" style="20" customWidth="1"/>
    <col min="7941" max="7941" width="15.42578125" style="20" customWidth="1"/>
    <col min="7942" max="7943" width="13.42578125" style="20" customWidth="1"/>
    <col min="7944" max="7944" width="17.42578125" style="20" customWidth="1"/>
    <col min="7945" max="7945" width="14.7109375" style="20" customWidth="1"/>
    <col min="7946" max="7946" width="13.5703125" style="20" customWidth="1"/>
    <col min="7947" max="7947" width="15.140625" style="20" customWidth="1"/>
    <col min="7948" max="7948" width="14.7109375" style="20" customWidth="1"/>
    <col min="7949" max="7949" width="15.140625" style="20" customWidth="1"/>
    <col min="7950" max="7950" width="14.140625" style="20" customWidth="1"/>
    <col min="7951" max="7951" width="14.7109375" style="20" customWidth="1"/>
    <col min="7952" max="7952" width="14.42578125" style="20" customWidth="1"/>
    <col min="7953" max="7953" width="15" style="20" customWidth="1"/>
    <col min="7954" max="7954" width="14.5703125" style="20" customWidth="1"/>
    <col min="7955" max="7955" width="14.85546875" style="20" customWidth="1"/>
    <col min="7956" max="7956" width="15" style="20" customWidth="1"/>
    <col min="7957" max="7967" width="16.140625" style="20" customWidth="1"/>
    <col min="7968" max="7968" width="58.140625" style="20" customWidth="1"/>
    <col min="7969" max="7969" width="3.7109375" style="20" customWidth="1"/>
    <col min="7970" max="7970" width="18.85546875" style="20" customWidth="1"/>
    <col min="7971" max="8192" width="9.140625" style="20"/>
    <col min="8193" max="8193" width="51.42578125" style="20" customWidth="1"/>
    <col min="8194" max="8194" width="15.28515625" style="20" customWidth="1"/>
    <col min="8195" max="8195" width="17.140625" style="20" customWidth="1"/>
    <col min="8196" max="8196" width="13.85546875" style="20" customWidth="1"/>
    <col min="8197" max="8197" width="15.42578125" style="20" customWidth="1"/>
    <col min="8198" max="8199" width="13.42578125" style="20" customWidth="1"/>
    <col min="8200" max="8200" width="17.42578125" style="20" customWidth="1"/>
    <col min="8201" max="8201" width="14.7109375" style="20" customWidth="1"/>
    <col min="8202" max="8202" width="13.5703125" style="20" customWidth="1"/>
    <col min="8203" max="8203" width="15.140625" style="20" customWidth="1"/>
    <col min="8204" max="8204" width="14.7109375" style="20" customWidth="1"/>
    <col min="8205" max="8205" width="15.140625" style="20" customWidth="1"/>
    <col min="8206" max="8206" width="14.140625" style="20" customWidth="1"/>
    <col min="8207" max="8207" width="14.7109375" style="20" customWidth="1"/>
    <col min="8208" max="8208" width="14.42578125" style="20" customWidth="1"/>
    <col min="8209" max="8209" width="15" style="20" customWidth="1"/>
    <col min="8210" max="8210" width="14.5703125" style="20" customWidth="1"/>
    <col min="8211" max="8211" width="14.85546875" style="20" customWidth="1"/>
    <col min="8212" max="8212" width="15" style="20" customWidth="1"/>
    <col min="8213" max="8223" width="16.140625" style="20" customWidth="1"/>
    <col min="8224" max="8224" width="58.140625" style="20" customWidth="1"/>
    <col min="8225" max="8225" width="3.7109375" style="20" customWidth="1"/>
    <col min="8226" max="8226" width="18.85546875" style="20" customWidth="1"/>
    <col min="8227" max="8448" width="9.140625" style="20"/>
    <col min="8449" max="8449" width="51.42578125" style="20" customWidth="1"/>
    <col min="8450" max="8450" width="15.28515625" style="20" customWidth="1"/>
    <col min="8451" max="8451" width="17.140625" style="20" customWidth="1"/>
    <col min="8452" max="8452" width="13.85546875" style="20" customWidth="1"/>
    <col min="8453" max="8453" width="15.42578125" style="20" customWidth="1"/>
    <col min="8454" max="8455" width="13.42578125" style="20" customWidth="1"/>
    <col min="8456" max="8456" width="17.42578125" style="20" customWidth="1"/>
    <col min="8457" max="8457" width="14.7109375" style="20" customWidth="1"/>
    <col min="8458" max="8458" width="13.5703125" style="20" customWidth="1"/>
    <col min="8459" max="8459" width="15.140625" style="20" customWidth="1"/>
    <col min="8460" max="8460" width="14.7109375" style="20" customWidth="1"/>
    <col min="8461" max="8461" width="15.140625" style="20" customWidth="1"/>
    <col min="8462" max="8462" width="14.140625" style="20" customWidth="1"/>
    <col min="8463" max="8463" width="14.7109375" style="20" customWidth="1"/>
    <col min="8464" max="8464" width="14.42578125" style="20" customWidth="1"/>
    <col min="8465" max="8465" width="15" style="20" customWidth="1"/>
    <col min="8466" max="8466" width="14.5703125" style="20" customWidth="1"/>
    <col min="8467" max="8467" width="14.85546875" style="20" customWidth="1"/>
    <col min="8468" max="8468" width="15" style="20" customWidth="1"/>
    <col min="8469" max="8479" width="16.140625" style="20" customWidth="1"/>
    <col min="8480" max="8480" width="58.140625" style="20" customWidth="1"/>
    <col min="8481" max="8481" width="3.7109375" style="20" customWidth="1"/>
    <col min="8482" max="8482" width="18.85546875" style="20" customWidth="1"/>
    <col min="8483" max="8704" width="9.140625" style="20"/>
    <col min="8705" max="8705" width="51.42578125" style="20" customWidth="1"/>
    <col min="8706" max="8706" width="15.28515625" style="20" customWidth="1"/>
    <col min="8707" max="8707" width="17.140625" style="20" customWidth="1"/>
    <col min="8708" max="8708" width="13.85546875" style="20" customWidth="1"/>
    <col min="8709" max="8709" width="15.42578125" style="20" customWidth="1"/>
    <col min="8710" max="8711" width="13.42578125" style="20" customWidth="1"/>
    <col min="8712" max="8712" width="17.42578125" style="20" customWidth="1"/>
    <col min="8713" max="8713" width="14.7109375" style="20" customWidth="1"/>
    <col min="8714" max="8714" width="13.5703125" style="20" customWidth="1"/>
    <col min="8715" max="8715" width="15.140625" style="20" customWidth="1"/>
    <col min="8716" max="8716" width="14.7109375" style="20" customWidth="1"/>
    <col min="8717" max="8717" width="15.140625" style="20" customWidth="1"/>
    <col min="8718" max="8718" width="14.140625" style="20" customWidth="1"/>
    <col min="8719" max="8719" width="14.7109375" style="20" customWidth="1"/>
    <col min="8720" max="8720" width="14.42578125" style="20" customWidth="1"/>
    <col min="8721" max="8721" width="15" style="20" customWidth="1"/>
    <col min="8722" max="8722" width="14.5703125" style="20" customWidth="1"/>
    <col min="8723" max="8723" width="14.85546875" style="20" customWidth="1"/>
    <col min="8724" max="8724" width="15" style="20" customWidth="1"/>
    <col min="8725" max="8735" width="16.140625" style="20" customWidth="1"/>
    <col min="8736" max="8736" width="58.140625" style="20" customWidth="1"/>
    <col min="8737" max="8737" width="3.7109375" style="20" customWidth="1"/>
    <col min="8738" max="8738" width="18.85546875" style="20" customWidth="1"/>
    <col min="8739" max="8960" width="9.140625" style="20"/>
    <col min="8961" max="8961" width="51.42578125" style="20" customWidth="1"/>
    <col min="8962" max="8962" width="15.28515625" style="20" customWidth="1"/>
    <col min="8963" max="8963" width="17.140625" style="20" customWidth="1"/>
    <col min="8964" max="8964" width="13.85546875" style="20" customWidth="1"/>
    <col min="8965" max="8965" width="15.42578125" style="20" customWidth="1"/>
    <col min="8966" max="8967" width="13.42578125" style="20" customWidth="1"/>
    <col min="8968" max="8968" width="17.42578125" style="20" customWidth="1"/>
    <col min="8969" max="8969" width="14.7109375" style="20" customWidth="1"/>
    <col min="8970" max="8970" width="13.5703125" style="20" customWidth="1"/>
    <col min="8971" max="8971" width="15.140625" style="20" customWidth="1"/>
    <col min="8972" max="8972" width="14.7109375" style="20" customWidth="1"/>
    <col min="8973" max="8973" width="15.140625" style="20" customWidth="1"/>
    <col min="8974" max="8974" width="14.140625" style="20" customWidth="1"/>
    <col min="8975" max="8975" width="14.7109375" style="20" customWidth="1"/>
    <col min="8976" max="8976" width="14.42578125" style="20" customWidth="1"/>
    <col min="8977" max="8977" width="15" style="20" customWidth="1"/>
    <col min="8978" max="8978" width="14.5703125" style="20" customWidth="1"/>
    <col min="8979" max="8979" width="14.85546875" style="20" customWidth="1"/>
    <col min="8980" max="8980" width="15" style="20" customWidth="1"/>
    <col min="8981" max="8991" width="16.140625" style="20" customWidth="1"/>
    <col min="8992" max="8992" width="58.140625" style="20" customWidth="1"/>
    <col min="8993" max="8993" width="3.7109375" style="20" customWidth="1"/>
    <col min="8994" max="8994" width="18.85546875" style="20" customWidth="1"/>
    <col min="8995" max="9216" width="9.140625" style="20"/>
    <col min="9217" max="9217" width="51.42578125" style="20" customWidth="1"/>
    <col min="9218" max="9218" width="15.28515625" style="20" customWidth="1"/>
    <col min="9219" max="9219" width="17.140625" style="20" customWidth="1"/>
    <col min="9220" max="9220" width="13.85546875" style="20" customWidth="1"/>
    <col min="9221" max="9221" width="15.42578125" style="20" customWidth="1"/>
    <col min="9222" max="9223" width="13.42578125" style="20" customWidth="1"/>
    <col min="9224" max="9224" width="17.42578125" style="20" customWidth="1"/>
    <col min="9225" max="9225" width="14.7109375" style="20" customWidth="1"/>
    <col min="9226" max="9226" width="13.5703125" style="20" customWidth="1"/>
    <col min="9227" max="9227" width="15.140625" style="20" customWidth="1"/>
    <col min="9228" max="9228" width="14.7109375" style="20" customWidth="1"/>
    <col min="9229" max="9229" width="15.140625" style="20" customWidth="1"/>
    <col min="9230" max="9230" width="14.140625" style="20" customWidth="1"/>
    <col min="9231" max="9231" width="14.7109375" style="20" customWidth="1"/>
    <col min="9232" max="9232" width="14.42578125" style="20" customWidth="1"/>
    <col min="9233" max="9233" width="15" style="20" customWidth="1"/>
    <col min="9234" max="9234" width="14.5703125" style="20" customWidth="1"/>
    <col min="9235" max="9235" width="14.85546875" style="20" customWidth="1"/>
    <col min="9236" max="9236" width="15" style="20" customWidth="1"/>
    <col min="9237" max="9247" width="16.140625" style="20" customWidth="1"/>
    <col min="9248" max="9248" width="58.140625" style="20" customWidth="1"/>
    <col min="9249" max="9249" width="3.7109375" style="20" customWidth="1"/>
    <col min="9250" max="9250" width="18.85546875" style="20" customWidth="1"/>
    <col min="9251" max="9472" width="9.140625" style="20"/>
    <col min="9473" max="9473" width="51.42578125" style="20" customWidth="1"/>
    <col min="9474" max="9474" width="15.28515625" style="20" customWidth="1"/>
    <col min="9475" max="9475" width="17.140625" style="20" customWidth="1"/>
    <col min="9476" max="9476" width="13.85546875" style="20" customWidth="1"/>
    <col min="9477" max="9477" width="15.42578125" style="20" customWidth="1"/>
    <col min="9478" max="9479" width="13.42578125" style="20" customWidth="1"/>
    <col min="9480" max="9480" width="17.42578125" style="20" customWidth="1"/>
    <col min="9481" max="9481" width="14.7109375" style="20" customWidth="1"/>
    <col min="9482" max="9482" width="13.5703125" style="20" customWidth="1"/>
    <col min="9483" max="9483" width="15.140625" style="20" customWidth="1"/>
    <col min="9484" max="9484" width="14.7109375" style="20" customWidth="1"/>
    <col min="9485" max="9485" width="15.140625" style="20" customWidth="1"/>
    <col min="9486" max="9486" width="14.140625" style="20" customWidth="1"/>
    <col min="9487" max="9487" width="14.7109375" style="20" customWidth="1"/>
    <col min="9488" max="9488" width="14.42578125" style="20" customWidth="1"/>
    <col min="9489" max="9489" width="15" style="20" customWidth="1"/>
    <col min="9490" max="9490" width="14.5703125" style="20" customWidth="1"/>
    <col min="9491" max="9491" width="14.85546875" style="20" customWidth="1"/>
    <col min="9492" max="9492" width="15" style="20" customWidth="1"/>
    <col min="9493" max="9503" width="16.140625" style="20" customWidth="1"/>
    <col min="9504" max="9504" width="58.140625" style="20" customWidth="1"/>
    <col min="9505" max="9505" width="3.7109375" style="20" customWidth="1"/>
    <col min="9506" max="9506" width="18.85546875" style="20" customWidth="1"/>
    <col min="9507" max="9728" width="9.140625" style="20"/>
    <col min="9729" max="9729" width="51.42578125" style="20" customWidth="1"/>
    <col min="9730" max="9730" width="15.28515625" style="20" customWidth="1"/>
    <col min="9731" max="9731" width="17.140625" style="20" customWidth="1"/>
    <col min="9732" max="9732" width="13.85546875" style="20" customWidth="1"/>
    <col min="9733" max="9733" width="15.42578125" style="20" customWidth="1"/>
    <col min="9734" max="9735" width="13.42578125" style="20" customWidth="1"/>
    <col min="9736" max="9736" width="17.42578125" style="20" customWidth="1"/>
    <col min="9737" max="9737" width="14.7109375" style="20" customWidth="1"/>
    <col min="9738" max="9738" width="13.5703125" style="20" customWidth="1"/>
    <col min="9739" max="9739" width="15.140625" style="20" customWidth="1"/>
    <col min="9740" max="9740" width="14.7109375" style="20" customWidth="1"/>
    <col min="9741" max="9741" width="15.140625" style="20" customWidth="1"/>
    <col min="9742" max="9742" width="14.140625" style="20" customWidth="1"/>
    <col min="9743" max="9743" width="14.7109375" style="20" customWidth="1"/>
    <col min="9744" max="9744" width="14.42578125" style="20" customWidth="1"/>
    <col min="9745" max="9745" width="15" style="20" customWidth="1"/>
    <col min="9746" max="9746" width="14.5703125" style="20" customWidth="1"/>
    <col min="9747" max="9747" width="14.85546875" style="20" customWidth="1"/>
    <col min="9748" max="9748" width="15" style="20" customWidth="1"/>
    <col min="9749" max="9759" width="16.140625" style="20" customWidth="1"/>
    <col min="9760" max="9760" width="58.140625" style="20" customWidth="1"/>
    <col min="9761" max="9761" width="3.7109375" style="20" customWidth="1"/>
    <col min="9762" max="9762" width="18.85546875" style="20" customWidth="1"/>
    <col min="9763" max="9984" width="9.140625" style="20"/>
    <col min="9985" max="9985" width="51.42578125" style="20" customWidth="1"/>
    <col min="9986" max="9986" width="15.28515625" style="20" customWidth="1"/>
    <col min="9987" max="9987" width="17.140625" style="20" customWidth="1"/>
    <col min="9988" max="9988" width="13.85546875" style="20" customWidth="1"/>
    <col min="9989" max="9989" width="15.42578125" style="20" customWidth="1"/>
    <col min="9990" max="9991" width="13.42578125" style="20" customWidth="1"/>
    <col min="9992" max="9992" width="17.42578125" style="20" customWidth="1"/>
    <col min="9993" max="9993" width="14.7109375" style="20" customWidth="1"/>
    <col min="9994" max="9994" width="13.5703125" style="20" customWidth="1"/>
    <col min="9995" max="9995" width="15.140625" style="20" customWidth="1"/>
    <col min="9996" max="9996" width="14.7109375" style="20" customWidth="1"/>
    <col min="9997" max="9997" width="15.140625" style="20" customWidth="1"/>
    <col min="9998" max="9998" width="14.140625" style="20" customWidth="1"/>
    <col min="9999" max="9999" width="14.7109375" style="20" customWidth="1"/>
    <col min="10000" max="10000" width="14.42578125" style="20" customWidth="1"/>
    <col min="10001" max="10001" width="15" style="20" customWidth="1"/>
    <col min="10002" max="10002" width="14.5703125" style="20" customWidth="1"/>
    <col min="10003" max="10003" width="14.85546875" style="20" customWidth="1"/>
    <col min="10004" max="10004" width="15" style="20" customWidth="1"/>
    <col min="10005" max="10015" width="16.140625" style="20" customWidth="1"/>
    <col min="10016" max="10016" width="58.140625" style="20" customWidth="1"/>
    <col min="10017" max="10017" width="3.7109375" style="20" customWidth="1"/>
    <col min="10018" max="10018" width="18.85546875" style="20" customWidth="1"/>
    <col min="10019" max="10240" width="9.140625" style="20"/>
    <col min="10241" max="10241" width="51.42578125" style="20" customWidth="1"/>
    <col min="10242" max="10242" width="15.28515625" style="20" customWidth="1"/>
    <col min="10243" max="10243" width="17.140625" style="20" customWidth="1"/>
    <col min="10244" max="10244" width="13.85546875" style="20" customWidth="1"/>
    <col min="10245" max="10245" width="15.42578125" style="20" customWidth="1"/>
    <col min="10246" max="10247" width="13.42578125" style="20" customWidth="1"/>
    <col min="10248" max="10248" width="17.42578125" style="20" customWidth="1"/>
    <col min="10249" max="10249" width="14.7109375" style="20" customWidth="1"/>
    <col min="10250" max="10250" width="13.5703125" style="20" customWidth="1"/>
    <col min="10251" max="10251" width="15.140625" style="20" customWidth="1"/>
    <col min="10252" max="10252" width="14.7109375" style="20" customWidth="1"/>
    <col min="10253" max="10253" width="15.140625" style="20" customWidth="1"/>
    <col min="10254" max="10254" width="14.140625" style="20" customWidth="1"/>
    <col min="10255" max="10255" width="14.7109375" style="20" customWidth="1"/>
    <col min="10256" max="10256" width="14.42578125" style="20" customWidth="1"/>
    <col min="10257" max="10257" width="15" style="20" customWidth="1"/>
    <col min="10258" max="10258" width="14.5703125" style="20" customWidth="1"/>
    <col min="10259" max="10259" width="14.85546875" style="20" customWidth="1"/>
    <col min="10260" max="10260" width="15" style="20" customWidth="1"/>
    <col min="10261" max="10271" width="16.140625" style="20" customWidth="1"/>
    <col min="10272" max="10272" width="58.140625" style="20" customWidth="1"/>
    <col min="10273" max="10273" width="3.7109375" style="20" customWidth="1"/>
    <col min="10274" max="10274" width="18.85546875" style="20" customWidth="1"/>
    <col min="10275" max="10496" width="9.140625" style="20"/>
    <col min="10497" max="10497" width="51.42578125" style="20" customWidth="1"/>
    <col min="10498" max="10498" width="15.28515625" style="20" customWidth="1"/>
    <col min="10499" max="10499" width="17.140625" style="20" customWidth="1"/>
    <col min="10500" max="10500" width="13.85546875" style="20" customWidth="1"/>
    <col min="10501" max="10501" width="15.42578125" style="20" customWidth="1"/>
    <col min="10502" max="10503" width="13.42578125" style="20" customWidth="1"/>
    <col min="10504" max="10504" width="17.42578125" style="20" customWidth="1"/>
    <col min="10505" max="10505" width="14.7109375" style="20" customWidth="1"/>
    <col min="10506" max="10506" width="13.5703125" style="20" customWidth="1"/>
    <col min="10507" max="10507" width="15.140625" style="20" customWidth="1"/>
    <col min="10508" max="10508" width="14.7109375" style="20" customWidth="1"/>
    <col min="10509" max="10509" width="15.140625" style="20" customWidth="1"/>
    <col min="10510" max="10510" width="14.140625" style="20" customWidth="1"/>
    <col min="10511" max="10511" width="14.7109375" style="20" customWidth="1"/>
    <col min="10512" max="10512" width="14.42578125" style="20" customWidth="1"/>
    <col min="10513" max="10513" width="15" style="20" customWidth="1"/>
    <col min="10514" max="10514" width="14.5703125" style="20" customWidth="1"/>
    <col min="10515" max="10515" width="14.85546875" style="20" customWidth="1"/>
    <col min="10516" max="10516" width="15" style="20" customWidth="1"/>
    <col min="10517" max="10527" width="16.140625" style="20" customWidth="1"/>
    <col min="10528" max="10528" width="58.140625" style="20" customWidth="1"/>
    <col min="10529" max="10529" width="3.7109375" style="20" customWidth="1"/>
    <col min="10530" max="10530" width="18.85546875" style="20" customWidth="1"/>
    <col min="10531" max="10752" width="9.140625" style="20"/>
    <col min="10753" max="10753" width="51.42578125" style="20" customWidth="1"/>
    <col min="10754" max="10754" width="15.28515625" style="20" customWidth="1"/>
    <col min="10755" max="10755" width="17.140625" style="20" customWidth="1"/>
    <col min="10756" max="10756" width="13.85546875" style="20" customWidth="1"/>
    <col min="10757" max="10757" width="15.42578125" style="20" customWidth="1"/>
    <col min="10758" max="10759" width="13.42578125" style="20" customWidth="1"/>
    <col min="10760" max="10760" width="17.42578125" style="20" customWidth="1"/>
    <col min="10761" max="10761" width="14.7109375" style="20" customWidth="1"/>
    <col min="10762" max="10762" width="13.5703125" style="20" customWidth="1"/>
    <col min="10763" max="10763" width="15.140625" style="20" customWidth="1"/>
    <col min="10764" max="10764" width="14.7109375" style="20" customWidth="1"/>
    <col min="10765" max="10765" width="15.140625" style="20" customWidth="1"/>
    <col min="10766" max="10766" width="14.140625" style="20" customWidth="1"/>
    <col min="10767" max="10767" width="14.7109375" style="20" customWidth="1"/>
    <col min="10768" max="10768" width="14.42578125" style="20" customWidth="1"/>
    <col min="10769" max="10769" width="15" style="20" customWidth="1"/>
    <col min="10770" max="10770" width="14.5703125" style="20" customWidth="1"/>
    <col min="10771" max="10771" width="14.85546875" style="20" customWidth="1"/>
    <col min="10772" max="10772" width="15" style="20" customWidth="1"/>
    <col min="10773" max="10783" width="16.140625" style="20" customWidth="1"/>
    <col min="10784" max="10784" width="58.140625" style="20" customWidth="1"/>
    <col min="10785" max="10785" width="3.7109375" style="20" customWidth="1"/>
    <col min="10786" max="10786" width="18.85546875" style="20" customWidth="1"/>
    <col min="10787" max="11008" width="9.140625" style="20"/>
    <col min="11009" max="11009" width="51.42578125" style="20" customWidth="1"/>
    <col min="11010" max="11010" width="15.28515625" style="20" customWidth="1"/>
    <col min="11011" max="11011" width="17.140625" style="20" customWidth="1"/>
    <col min="11012" max="11012" width="13.85546875" style="20" customWidth="1"/>
    <col min="11013" max="11013" width="15.42578125" style="20" customWidth="1"/>
    <col min="11014" max="11015" width="13.42578125" style="20" customWidth="1"/>
    <col min="11016" max="11016" width="17.42578125" style="20" customWidth="1"/>
    <col min="11017" max="11017" width="14.7109375" style="20" customWidth="1"/>
    <col min="11018" max="11018" width="13.5703125" style="20" customWidth="1"/>
    <col min="11019" max="11019" width="15.140625" style="20" customWidth="1"/>
    <col min="11020" max="11020" width="14.7109375" style="20" customWidth="1"/>
    <col min="11021" max="11021" width="15.140625" style="20" customWidth="1"/>
    <col min="11022" max="11022" width="14.140625" style="20" customWidth="1"/>
    <col min="11023" max="11023" width="14.7109375" style="20" customWidth="1"/>
    <col min="11024" max="11024" width="14.42578125" style="20" customWidth="1"/>
    <col min="11025" max="11025" width="15" style="20" customWidth="1"/>
    <col min="11026" max="11026" width="14.5703125" style="20" customWidth="1"/>
    <col min="11027" max="11027" width="14.85546875" style="20" customWidth="1"/>
    <col min="11028" max="11028" width="15" style="20" customWidth="1"/>
    <col min="11029" max="11039" width="16.140625" style="20" customWidth="1"/>
    <col min="11040" max="11040" width="58.140625" style="20" customWidth="1"/>
    <col min="11041" max="11041" width="3.7109375" style="20" customWidth="1"/>
    <col min="11042" max="11042" width="18.85546875" style="20" customWidth="1"/>
    <col min="11043" max="11264" width="9.140625" style="20"/>
    <col min="11265" max="11265" width="51.42578125" style="20" customWidth="1"/>
    <col min="11266" max="11266" width="15.28515625" style="20" customWidth="1"/>
    <col min="11267" max="11267" width="17.140625" style="20" customWidth="1"/>
    <col min="11268" max="11268" width="13.85546875" style="20" customWidth="1"/>
    <col min="11269" max="11269" width="15.42578125" style="20" customWidth="1"/>
    <col min="11270" max="11271" width="13.42578125" style="20" customWidth="1"/>
    <col min="11272" max="11272" width="17.42578125" style="20" customWidth="1"/>
    <col min="11273" max="11273" width="14.7109375" style="20" customWidth="1"/>
    <col min="11274" max="11274" width="13.5703125" style="20" customWidth="1"/>
    <col min="11275" max="11275" width="15.140625" style="20" customWidth="1"/>
    <col min="11276" max="11276" width="14.7109375" style="20" customWidth="1"/>
    <col min="11277" max="11277" width="15.140625" style="20" customWidth="1"/>
    <col min="11278" max="11278" width="14.140625" style="20" customWidth="1"/>
    <col min="11279" max="11279" width="14.7109375" style="20" customWidth="1"/>
    <col min="11280" max="11280" width="14.42578125" style="20" customWidth="1"/>
    <col min="11281" max="11281" width="15" style="20" customWidth="1"/>
    <col min="11282" max="11282" width="14.5703125" style="20" customWidth="1"/>
    <col min="11283" max="11283" width="14.85546875" style="20" customWidth="1"/>
    <col min="11284" max="11284" width="15" style="20" customWidth="1"/>
    <col min="11285" max="11295" width="16.140625" style="20" customWidth="1"/>
    <col min="11296" max="11296" width="58.140625" style="20" customWidth="1"/>
    <col min="11297" max="11297" width="3.7109375" style="20" customWidth="1"/>
    <col min="11298" max="11298" width="18.85546875" style="20" customWidth="1"/>
    <col min="11299" max="11520" width="9.140625" style="20"/>
    <col min="11521" max="11521" width="51.42578125" style="20" customWidth="1"/>
    <col min="11522" max="11522" width="15.28515625" style="20" customWidth="1"/>
    <col min="11523" max="11523" width="17.140625" style="20" customWidth="1"/>
    <col min="11524" max="11524" width="13.85546875" style="20" customWidth="1"/>
    <col min="11525" max="11525" width="15.42578125" style="20" customWidth="1"/>
    <col min="11526" max="11527" width="13.42578125" style="20" customWidth="1"/>
    <col min="11528" max="11528" width="17.42578125" style="20" customWidth="1"/>
    <col min="11529" max="11529" width="14.7109375" style="20" customWidth="1"/>
    <col min="11530" max="11530" width="13.5703125" style="20" customWidth="1"/>
    <col min="11531" max="11531" width="15.140625" style="20" customWidth="1"/>
    <col min="11532" max="11532" width="14.7109375" style="20" customWidth="1"/>
    <col min="11533" max="11533" width="15.140625" style="20" customWidth="1"/>
    <col min="11534" max="11534" width="14.140625" style="20" customWidth="1"/>
    <col min="11535" max="11535" width="14.7109375" style="20" customWidth="1"/>
    <col min="11536" max="11536" width="14.42578125" style="20" customWidth="1"/>
    <col min="11537" max="11537" width="15" style="20" customWidth="1"/>
    <col min="11538" max="11538" width="14.5703125" style="20" customWidth="1"/>
    <col min="11539" max="11539" width="14.85546875" style="20" customWidth="1"/>
    <col min="11540" max="11540" width="15" style="20" customWidth="1"/>
    <col min="11541" max="11551" width="16.140625" style="20" customWidth="1"/>
    <col min="11552" max="11552" width="58.140625" style="20" customWidth="1"/>
    <col min="11553" max="11553" width="3.7109375" style="20" customWidth="1"/>
    <col min="11554" max="11554" width="18.85546875" style="20" customWidth="1"/>
    <col min="11555" max="11776" width="9.140625" style="20"/>
    <col min="11777" max="11777" width="51.42578125" style="20" customWidth="1"/>
    <col min="11778" max="11778" width="15.28515625" style="20" customWidth="1"/>
    <col min="11779" max="11779" width="17.140625" style="20" customWidth="1"/>
    <col min="11780" max="11780" width="13.85546875" style="20" customWidth="1"/>
    <col min="11781" max="11781" width="15.42578125" style="20" customWidth="1"/>
    <col min="11782" max="11783" width="13.42578125" style="20" customWidth="1"/>
    <col min="11784" max="11784" width="17.42578125" style="20" customWidth="1"/>
    <col min="11785" max="11785" width="14.7109375" style="20" customWidth="1"/>
    <col min="11786" max="11786" width="13.5703125" style="20" customWidth="1"/>
    <col min="11787" max="11787" width="15.140625" style="20" customWidth="1"/>
    <col min="11788" max="11788" width="14.7109375" style="20" customWidth="1"/>
    <col min="11789" max="11789" width="15.140625" style="20" customWidth="1"/>
    <col min="11790" max="11790" width="14.140625" style="20" customWidth="1"/>
    <col min="11791" max="11791" width="14.7109375" style="20" customWidth="1"/>
    <col min="11792" max="11792" width="14.42578125" style="20" customWidth="1"/>
    <col min="11793" max="11793" width="15" style="20" customWidth="1"/>
    <col min="11794" max="11794" width="14.5703125" style="20" customWidth="1"/>
    <col min="11795" max="11795" width="14.85546875" style="20" customWidth="1"/>
    <col min="11796" max="11796" width="15" style="20" customWidth="1"/>
    <col min="11797" max="11807" width="16.140625" style="20" customWidth="1"/>
    <col min="11808" max="11808" width="58.140625" style="20" customWidth="1"/>
    <col min="11809" max="11809" width="3.7109375" style="20" customWidth="1"/>
    <col min="11810" max="11810" width="18.85546875" style="20" customWidth="1"/>
    <col min="11811" max="12032" width="9.140625" style="20"/>
    <col min="12033" max="12033" width="51.42578125" style="20" customWidth="1"/>
    <col min="12034" max="12034" width="15.28515625" style="20" customWidth="1"/>
    <col min="12035" max="12035" width="17.140625" style="20" customWidth="1"/>
    <col min="12036" max="12036" width="13.85546875" style="20" customWidth="1"/>
    <col min="12037" max="12037" width="15.42578125" style="20" customWidth="1"/>
    <col min="12038" max="12039" width="13.42578125" style="20" customWidth="1"/>
    <col min="12040" max="12040" width="17.42578125" style="20" customWidth="1"/>
    <col min="12041" max="12041" width="14.7109375" style="20" customWidth="1"/>
    <col min="12042" max="12042" width="13.5703125" style="20" customWidth="1"/>
    <col min="12043" max="12043" width="15.140625" style="20" customWidth="1"/>
    <col min="12044" max="12044" width="14.7109375" style="20" customWidth="1"/>
    <col min="12045" max="12045" width="15.140625" style="20" customWidth="1"/>
    <col min="12046" max="12046" width="14.140625" style="20" customWidth="1"/>
    <col min="12047" max="12047" width="14.7109375" style="20" customWidth="1"/>
    <col min="12048" max="12048" width="14.42578125" style="20" customWidth="1"/>
    <col min="12049" max="12049" width="15" style="20" customWidth="1"/>
    <col min="12050" max="12050" width="14.5703125" style="20" customWidth="1"/>
    <col min="12051" max="12051" width="14.85546875" style="20" customWidth="1"/>
    <col min="12052" max="12052" width="15" style="20" customWidth="1"/>
    <col min="12053" max="12063" width="16.140625" style="20" customWidth="1"/>
    <col min="12064" max="12064" width="58.140625" style="20" customWidth="1"/>
    <col min="12065" max="12065" width="3.7109375" style="20" customWidth="1"/>
    <col min="12066" max="12066" width="18.85546875" style="20" customWidth="1"/>
    <col min="12067" max="12288" width="9.140625" style="20"/>
    <col min="12289" max="12289" width="51.42578125" style="20" customWidth="1"/>
    <col min="12290" max="12290" width="15.28515625" style="20" customWidth="1"/>
    <col min="12291" max="12291" width="17.140625" style="20" customWidth="1"/>
    <col min="12292" max="12292" width="13.85546875" style="20" customWidth="1"/>
    <col min="12293" max="12293" width="15.42578125" style="20" customWidth="1"/>
    <col min="12294" max="12295" width="13.42578125" style="20" customWidth="1"/>
    <col min="12296" max="12296" width="17.42578125" style="20" customWidth="1"/>
    <col min="12297" max="12297" width="14.7109375" style="20" customWidth="1"/>
    <col min="12298" max="12298" width="13.5703125" style="20" customWidth="1"/>
    <col min="12299" max="12299" width="15.140625" style="20" customWidth="1"/>
    <col min="12300" max="12300" width="14.7109375" style="20" customWidth="1"/>
    <col min="12301" max="12301" width="15.140625" style="20" customWidth="1"/>
    <col min="12302" max="12302" width="14.140625" style="20" customWidth="1"/>
    <col min="12303" max="12303" width="14.7109375" style="20" customWidth="1"/>
    <col min="12304" max="12304" width="14.42578125" style="20" customWidth="1"/>
    <col min="12305" max="12305" width="15" style="20" customWidth="1"/>
    <col min="12306" max="12306" width="14.5703125" style="20" customWidth="1"/>
    <col min="12307" max="12307" width="14.85546875" style="20" customWidth="1"/>
    <col min="12308" max="12308" width="15" style="20" customWidth="1"/>
    <col min="12309" max="12319" width="16.140625" style="20" customWidth="1"/>
    <col min="12320" max="12320" width="58.140625" style="20" customWidth="1"/>
    <col min="12321" max="12321" width="3.7109375" style="20" customWidth="1"/>
    <col min="12322" max="12322" width="18.85546875" style="20" customWidth="1"/>
    <col min="12323" max="12544" width="9.140625" style="20"/>
    <col min="12545" max="12545" width="51.42578125" style="20" customWidth="1"/>
    <col min="12546" max="12546" width="15.28515625" style="20" customWidth="1"/>
    <col min="12547" max="12547" width="17.140625" style="20" customWidth="1"/>
    <col min="12548" max="12548" width="13.85546875" style="20" customWidth="1"/>
    <col min="12549" max="12549" width="15.42578125" style="20" customWidth="1"/>
    <col min="12550" max="12551" width="13.42578125" style="20" customWidth="1"/>
    <col min="12552" max="12552" width="17.42578125" style="20" customWidth="1"/>
    <col min="12553" max="12553" width="14.7109375" style="20" customWidth="1"/>
    <col min="12554" max="12554" width="13.5703125" style="20" customWidth="1"/>
    <col min="12555" max="12555" width="15.140625" style="20" customWidth="1"/>
    <col min="12556" max="12556" width="14.7109375" style="20" customWidth="1"/>
    <col min="12557" max="12557" width="15.140625" style="20" customWidth="1"/>
    <col min="12558" max="12558" width="14.140625" style="20" customWidth="1"/>
    <col min="12559" max="12559" width="14.7109375" style="20" customWidth="1"/>
    <col min="12560" max="12560" width="14.42578125" style="20" customWidth="1"/>
    <col min="12561" max="12561" width="15" style="20" customWidth="1"/>
    <col min="12562" max="12562" width="14.5703125" style="20" customWidth="1"/>
    <col min="12563" max="12563" width="14.85546875" style="20" customWidth="1"/>
    <col min="12564" max="12564" width="15" style="20" customWidth="1"/>
    <col min="12565" max="12575" width="16.140625" style="20" customWidth="1"/>
    <col min="12576" max="12576" width="58.140625" style="20" customWidth="1"/>
    <col min="12577" max="12577" width="3.7109375" style="20" customWidth="1"/>
    <col min="12578" max="12578" width="18.85546875" style="20" customWidth="1"/>
    <col min="12579" max="12800" width="9.140625" style="20"/>
    <col min="12801" max="12801" width="51.42578125" style="20" customWidth="1"/>
    <col min="12802" max="12802" width="15.28515625" style="20" customWidth="1"/>
    <col min="12803" max="12803" width="17.140625" style="20" customWidth="1"/>
    <col min="12804" max="12804" width="13.85546875" style="20" customWidth="1"/>
    <col min="12805" max="12805" width="15.42578125" style="20" customWidth="1"/>
    <col min="12806" max="12807" width="13.42578125" style="20" customWidth="1"/>
    <col min="12808" max="12808" width="17.42578125" style="20" customWidth="1"/>
    <col min="12809" max="12809" width="14.7109375" style="20" customWidth="1"/>
    <col min="12810" max="12810" width="13.5703125" style="20" customWidth="1"/>
    <col min="12811" max="12811" width="15.140625" style="20" customWidth="1"/>
    <col min="12812" max="12812" width="14.7109375" style="20" customWidth="1"/>
    <col min="12813" max="12813" width="15.140625" style="20" customWidth="1"/>
    <col min="12814" max="12814" width="14.140625" style="20" customWidth="1"/>
    <col min="12815" max="12815" width="14.7109375" style="20" customWidth="1"/>
    <col min="12816" max="12816" width="14.42578125" style="20" customWidth="1"/>
    <col min="12817" max="12817" width="15" style="20" customWidth="1"/>
    <col min="12818" max="12818" width="14.5703125" style="20" customWidth="1"/>
    <col min="12819" max="12819" width="14.85546875" style="20" customWidth="1"/>
    <col min="12820" max="12820" width="15" style="20" customWidth="1"/>
    <col min="12821" max="12831" width="16.140625" style="20" customWidth="1"/>
    <col min="12832" max="12832" width="58.140625" style="20" customWidth="1"/>
    <col min="12833" max="12833" width="3.7109375" style="20" customWidth="1"/>
    <col min="12834" max="12834" width="18.85546875" style="20" customWidth="1"/>
    <col min="12835" max="13056" width="9.140625" style="20"/>
    <col min="13057" max="13057" width="51.42578125" style="20" customWidth="1"/>
    <col min="13058" max="13058" width="15.28515625" style="20" customWidth="1"/>
    <col min="13059" max="13059" width="17.140625" style="20" customWidth="1"/>
    <col min="13060" max="13060" width="13.85546875" style="20" customWidth="1"/>
    <col min="13061" max="13061" width="15.42578125" style="20" customWidth="1"/>
    <col min="13062" max="13063" width="13.42578125" style="20" customWidth="1"/>
    <col min="13064" max="13064" width="17.42578125" style="20" customWidth="1"/>
    <col min="13065" max="13065" width="14.7109375" style="20" customWidth="1"/>
    <col min="13066" max="13066" width="13.5703125" style="20" customWidth="1"/>
    <col min="13067" max="13067" width="15.140625" style="20" customWidth="1"/>
    <col min="13068" max="13068" width="14.7109375" style="20" customWidth="1"/>
    <col min="13069" max="13069" width="15.140625" style="20" customWidth="1"/>
    <col min="13070" max="13070" width="14.140625" style="20" customWidth="1"/>
    <col min="13071" max="13071" width="14.7109375" style="20" customWidth="1"/>
    <col min="13072" max="13072" width="14.42578125" style="20" customWidth="1"/>
    <col min="13073" max="13073" width="15" style="20" customWidth="1"/>
    <col min="13074" max="13074" width="14.5703125" style="20" customWidth="1"/>
    <col min="13075" max="13075" width="14.85546875" style="20" customWidth="1"/>
    <col min="13076" max="13076" width="15" style="20" customWidth="1"/>
    <col min="13077" max="13087" width="16.140625" style="20" customWidth="1"/>
    <col min="13088" max="13088" width="58.140625" style="20" customWidth="1"/>
    <col min="13089" max="13089" width="3.7109375" style="20" customWidth="1"/>
    <col min="13090" max="13090" width="18.85546875" style="20" customWidth="1"/>
    <col min="13091" max="13312" width="9.140625" style="20"/>
    <col min="13313" max="13313" width="51.42578125" style="20" customWidth="1"/>
    <col min="13314" max="13314" width="15.28515625" style="20" customWidth="1"/>
    <col min="13315" max="13315" width="17.140625" style="20" customWidth="1"/>
    <col min="13316" max="13316" width="13.85546875" style="20" customWidth="1"/>
    <col min="13317" max="13317" width="15.42578125" style="20" customWidth="1"/>
    <col min="13318" max="13319" width="13.42578125" style="20" customWidth="1"/>
    <col min="13320" max="13320" width="17.42578125" style="20" customWidth="1"/>
    <col min="13321" max="13321" width="14.7109375" style="20" customWidth="1"/>
    <col min="13322" max="13322" width="13.5703125" style="20" customWidth="1"/>
    <col min="13323" max="13323" width="15.140625" style="20" customWidth="1"/>
    <col min="13324" max="13324" width="14.7109375" style="20" customWidth="1"/>
    <col min="13325" max="13325" width="15.140625" style="20" customWidth="1"/>
    <col min="13326" max="13326" width="14.140625" style="20" customWidth="1"/>
    <col min="13327" max="13327" width="14.7109375" style="20" customWidth="1"/>
    <col min="13328" max="13328" width="14.42578125" style="20" customWidth="1"/>
    <col min="13329" max="13329" width="15" style="20" customWidth="1"/>
    <col min="13330" max="13330" width="14.5703125" style="20" customWidth="1"/>
    <col min="13331" max="13331" width="14.85546875" style="20" customWidth="1"/>
    <col min="13332" max="13332" width="15" style="20" customWidth="1"/>
    <col min="13333" max="13343" width="16.140625" style="20" customWidth="1"/>
    <col min="13344" max="13344" width="58.140625" style="20" customWidth="1"/>
    <col min="13345" max="13345" width="3.7109375" style="20" customWidth="1"/>
    <col min="13346" max="13346" width="18.85546875" style="20" customWidth="1"/>
    <col min="13347" max="13568" width="9.140625" style="20"/>
    <col min="13569" max="13569" width="51.42578125" style="20" customWidth="1"/>
    <col min="13570" max="13570" width="15.28515625" style="20" customWidth="1"/>
    <col min="13571" max="13571" width="17.140625" style="20" customWidth="1"/>
    <col min="13572" max="13572" width="13.85546875" style="20" customWidth="1"/>
    <col min="13573" max="13573" width="15.42578125" style="20" customWidth="1"/>
    <col min="13574" max="13575" width="13.42578125" style="20" customWidth="1"/>
    <col min="13576" max="13576" width="17.42578125" style="20" customWidth="1"/>
    <col min="13577" max="13577" width="14.7109375" style="20" customWidth="1"/>
    <col min="13578" max="13578" width="13.5703125" style="20" customWidth="1"/>
    <col min="13579" max="13579" width="15.140625" style="20" customWidth="1"/>
    <col min="13580" max="13580" width="14.7109375" style="20" customWidth="1"/>
    <col min="13581" max="13581" width="15.140625" style="20" customWidth="1"/>
    <col min="13582" max="13582" width="14.140625" style="20" customWidth="1"/>
    <col min="13583" max="13583" width="14.7109375" style="20" customWidth="1"/>
    <col min="13584" max="13584" width="14.42578125" style="20" customWidth="1"/>
    <col min="13585" max="13585" width="15" style="20" customWidth="1"/>
    <col min="13586" max="13586" width="14.5703125" style="20" customWidth="1"/>
    <col min="13587" max="13587" width="14.85546875" style="20" customWidth="1"/>
    <col min="13588" max="13588" width="15" style="20" customWidth="1"/>
    <col min="13589" max="13599" width="16.140625" style="20" customWidth="1"/>
    <col min="13600" max="13600" width="58.140625" style="20" customWidth="1"/>
    <col min="13601" max="13601" width="3.7109375" style="20" customWidth="1"/>
    <col min="13602" max="13602" width="18.85546875" style="20" customWidth="1"/>
    <col min="13603" max="13824" width="9.140625" style="20"/>
    <col min="13825" max="13825" width="51.42578125" style="20" customWidth="1"/>
    <col min="13826" max="13826" width="15.28515625" style="20" customWidth="1"/>
    <col min="13827" max="13827" width="17.140625" style="20" customWidth="1"/>
    <col min="13828" max="13828" width="13.85546875" style="20" customWidth="1"/>
    <col min="13829" max="13829" width="15.42578125" style="20" customWidth="1"/>
    <col min="13830" max="13831" width="13.42578125" style="20" customWidth="1"/>
    <col min="13832" max="13832" width="17.42578125" style="20" customWidth="1"/>
    <col min="13833" max="13833" width="14.7109375" style="20" customWidth="1"/>
    <col min="13834" max="13834" width="13.5703125" style="20" customWidth="1"/>
    <col min="13835" max="13835" width="15.140625" style="20" customWidth="1"/>
    <col min="13836" max="13836" width="14.7109375" style="20" customWidth="1"/>
    <col min="13837" max="13837" width="15.140625" style="20" customWidth="1"/>
    <col min="13838" max="13838" width="14.140625" style="20" customWidth="1"/>
    <col min="13839" max="13839" width="14.7109375" style="20" customWidth="1"/>
    <col min="13840" max="13840" width="14.42578125" style="20" customWidth="1"/>
    <col min="13841" max="13841" width="15" style="20" customWidth="1"/>
    <col min="13842" max="13842" width="14.5703125" style="20" customWidth="1"/>
    <col min="13843" max="13843" width="14.85546875" style="20" customWidth="1"/>
    <col min="13844" max="13844" width="15" style="20" customWidth="1"/>
    <col min="13845" max="13855" width="16.140625" style="20" customWidth="1"/>
    <col min="13856" max="13856" width="58.140625" style="20" customWidth="1"/>
    <col min="13857" max="13857" width="3.7109375" style="20" customWidth="1"/>
    <col min="13858" max="13858" width="18.85546875" style="20" customWidth="1"/>
    <col min="13859" max="14080" width="9.140625" style="20"/>
    <col min="14081" max="14081" width="51.42578125" style="20" customWidth="1"/>
    <col min="14082" max="14082" width="15.28515625" style="20" customWidth="1"/>
    <col min="14083" max="14083" width="17.140625" style="20" customWidth="1"/>
    <col min="14084" max="14084" width="13.85546875" style="20" customWidth="1"/>
    <col min="14085" max="14085" width="15.42578125" style="20" customWidth="1"/>
    <col min="14086" max="14087" width="13.42578125" style="20" customWidth="1"/>
    <col min="14088" max="14088" width="17.42578125" style="20" customWidth="1"/>
    <col min="14089" max="14089" width="14.7109375" style="20" customWidth="1"/>
    <col min="14090" max="14090" width="13.5703125" style="20" customWidth="1"/>
    <col min="14091" max="14091" width="15.140625" style="20" customWidth="1"/>
    <col min="14092" max="14092" width="14.7109375" style="20" customWidth="1"/>
    <col min="14093" max="14093" width="15.140625" style="20" customWidth="1"/>
    <col min="14094" max="14094" width="14.140625" style="20" customWidth="1"/>
    <col min="14095" max="14095" width="14.7109375" style="20" customWidth="1"/>
    <col min="14096" max="14096" width="14.42578125" style="20" customWidth="1"/>
    <col min="14097" max="14097" width="15" style="20" customWidth="1"/>
    <col min="14098" max="14098" width="14.5703125" style="20" customWidth="1"/>
    <col min="14099" max="14099" width="14.85546875" style="20" customWidth="1"/>
    <col min="14100" max="14100" width="15" style="20" customWidth="1"/>
    <col min="14101" max="14111" width="16.140625" style="20" customWidth="1"/>
    <col min="14112" max="14112" width="58.140625" style="20" customWidth="1"/>
    <col min="14113" max="14113" width="3.7109375" style="20" customWidth="1"/>
    <col min="14114" max="14114" width="18.85546875" style="20" customWidth="1"/>
    <col min="14115" max="14336" width="9.140625" style="20"/>
    <col min="14337" max="14337" width="51.42578125" style="20" customWidth="1"/>
    <col min="14338" max="14338" width="15.28515625" style="20" customWidth="1"/>
    <col min="14339" max="14339" width="17.140625" style="20" customWidth="1"/>
    <col min="14340" max="14340" width="13.85546875" style="20" customWidth="1"/>
    <col min="14341" max="14341" width="15.42578125" style="20" customWidth="1"/>
    <col min="14342" max="14343" width="13.42578125" style="20" customWidth="1"/>
    <col min="14344" max="14344" width="17.42578125" style="20" customWidth="1"/>
    <col min="14345" max="14345" width="14.7109375" style="20" customWidth="1"/>
    <col min="14346" max="14346" width="13.5703125" style="20" customWidth="1"/>
    <col min="14347" max="14347" width="15.140625" style="20" customWidth="1"/>
    <col min="14348" max="14348" width="14.7109375" style="20" customWidth="1"/>
    <col min="14349" max="14349" width="15.140625" style="20" customWidth="1"/>
    <col min="14350" max="14350" width="14.140625" style="20" customWidth="1"/>
    <col min="14351" max="14351" width="14.7109375" style="20" customWidth="1"/>
    <col min="14352" max="14352" width="14.42578125" style="20" customWidth="1"/>
    <col min="14353" max="14353" width="15" style="20" customWidth="1"/>
    <col min="14354" max="14354" width="14.5703125" style="20" customWidth="1"/>
    <col min="14355" max="14355" width="14.85546875" style="20" customWidth="1"/>
    <col min="14356" max="14356" width="15" style="20" customWidth="1"/>
    <col min="14357" max="14367" width="16.140625" style="20" customWidth="1"/>
    <col min="14368" max="14368" width="58.140625" style="20" customWidth="1"/>
    <col min="14369" max="14369" width="3.7109375" style="20" customWidth="1"/>
    <col min="14370" max="14370" width="18.85546875" style="20" customWidth="1"/>
    <col min="14371" max="14592" width="9.140625" style="20"/>
    <col min="14593" max="14593" width="51.42578125" style="20" customWidth="1"/>
    <col min="14594" max="14594" width="15.28515625" style="20" customWidth="1"/>
    <col min="14595" max="14595" width="17.140625" style="20" customWidth="1"/>
    <col min="14596" max="14596" width="13.85546875" style="20" customWidth="1"/>
    <col min="14597" max="14597" width="15.42578125" style="20" customWidth="1"/>
    <col min="14598" max="14599" width="13.42578125" style="20" customWidth="1"/>
    <col min="14600" max="14600" width="17.42578125" style="20" customWidth="1"/>
    <col min="14601" max="14601" width="14.7109375" style="20" customWidth="1"/>
    <col min="14602" max="14602" width="13.5703125" style="20" customWidth="1"/>
    <col min="14603" max="14603" width="15.140625" style="20" customWidth="1"/>
    <col min="14604" max="14604" width="14.7109375" style="20" customWidth="1"/>
    <col min="14605" max="14605" width="15.140625" style="20" customWidth="1"/>
    <col min="14606" max="14606" width="14.140625" style="20" customWidth="1"/>
    <col min="14607" max="14607" width="14.7109375" style="20" customWidth="1"/>
    <col min="14608" max="14608" width="14.42578125" style="20" customWidth="1"/>
    <col min="14609" max="14609" width="15" style="20" customWidth="1"/>
    <col min="14610" max="14610" width="14.5703125" style="20" customWidth="1"/>
    <col min="14611" max="14611" width="14.85546875" style="20" customWidth="1"/>
    <col min="14612" max="14612" width="15" style="20" customWidth="1"/>
    <col min="14613" max="14623" width="16.140625" style="20" customWidth="1"/>
    <col min="14624" max="14624" width="58.140625" style="20" customWidth="1"/>
    <col min="14625" max="14625" width="3.7109375" style="20" customWidth="1"/>
    <col min="14626" max="14626" width="18.85546875" style="20" customWidth="1"/>
    <col min="14627" max="14848" width="9.140625" style="20"/>
    <col min="14849" max="14849" width="51.42578125" style="20" customWidth="1"/>
    <col min="14850" max="14850" width="15.28515625" style="20" customWidth="1"/>
    <col min="14851" max="14851" width="17.140625" style="20" customWidth="1"/>
    <col min="14852" max="14852" width="13.85546875" style="20" customWidth="1"/>
    <col min="14853" max="14853" width="15.42578125" style="20" customWidth="1"/>
    <col min="14854" max="14855" width="13.42578125" style="20" customWidth="1"/>
    <col min="14856" max="14856" width="17.42578125" style="20" customWidth="1"/>
    <col min="14857" max="14857" width="14.7109375" style="20" customWidth="1"/>
    <col min="14858" max="14858" width="13.5703125" style="20" customWidth="1"/>
    <col min="14859" max="14859" width="15.140625" style="20" customWidth="1"/>
    <col min="14860" max="14860" width="14.7109375" style="20" customWidth="1"/>
    <col min="14861" max="14861" width="15.140625" style="20" customWidth="1"/>
    <col min="14862" max="14862" width="14.140625" style="20" customWidth="1"/>
    <col min="14863" max="14863" width="14.7109375" style="20" customWidth="1"/>
    <col min="14864" max="14864" width="14.42578125" style="20" customWidth="1"/>
    <col min="14865" max="14865" width="15" style="20" customWidth="1"/>
    <col min="14866" max="14866" width="14.5703125" style="20" customWidth="1"/>
    <col min="14867" max="14867" width="14.85546875" style="20" customWidth="1"/>
    <col min="14868" max="14868" width="15" style="20" customWidth="1"/>
    <col min="14869" max="14879" width="16.140625" style="20" customWidth="1"/>
    <col min="14880" max="14880" width="58.140625" style="20" customWidth="1"/>
    <col min="14881" max="14881" width="3.7109375" style="20" customWidth="1"/>
    <col min="14882" max="14882" width="18.85546875" style="20" customWidth="1"/>
    <col min="14883" max="15104" width="9.140625" style="20"/>
    <col min="15105" max="15105" width="51.42578125" style="20" customWidth="1"/>
    <col min="15106" max="15106" width="15.28515625" style="20" customWidth="1"/>
    <col min="15107" max="15107" width="17.140625" style="20" customWidth="1"/>
    <col min="15108" max="15108" width="13.85546875" style="20" customWidth="1"/>
    <col min="15109" max="15109" width="15.42578125" style="20" customWidth="1"/>
    <col min="15110" max="15111" width="13.42578125" style="20" customWidth="1"/>
    <col min="15112" max="15112" width="17.42578125" style="20" customWidth="1"/>
    <col min="15113" max="15113" width="14.7109375" style="20" customWidth="1"/>
    <col min="15114" max="15114" width="13.5703125" style="20" customWidth="1"/>
    <col min="15115" max="15115" width="15.140625" style="20" customWidth="1"/>
    <col min="15116" max="15116" width="14.7109375" style="20" customWidth="1"/>
    <col min="15117" max="15117" width="15.140625" style="20" customWidth="1"/>
    <col min="15118" max="15118" width="14.140625" style="20" customWidth="1"/>
    <col min="15119" max="15119" width="14.7109375" style="20" customWidth="1"/>
    <col min="15120" max="15120" width="14.42578125" style="20" customWidth="1"/>
    <col min="15121" max="15121" width="15" style="20" customWidth="1"/>
    <col min="15122" max="15122" width="14.5703125" style="20" customWidth="1"/>
    <col min="15123" max="15123" width="14.85546875" style="20" customWidth="1"/>
    <col min="15124" max="15124" width="15" style="20" customWidth="1"/>
    <col min="15125" max="15135" width="16.140625" style="20" customWidth="1"/>
    <col min="15136" max="15136" width="58.140625" style="20" customWidth="1"/>
    <col min="15137" max="15137" width="3.7109375" style="20" customWidth="1"/>
    <col min="15138" max="15138" width="18.85546875" style="20" customWidth="1"/>
    <col min="15139" max="15360" width="9.140625" style="20"/>
    <col min="15361" max="15361" width="51.42578125" style="20" customWidth="1"/>
    <col min="15362" max="15362" width="15.28515625" style="20" customWidth="1"/>
    <col min="15363" max="15363" width="17.140625" style="20" customWidth="1"/>
    <col min="15364" max="15364" width="13.85546875" style="20" customWidth="1"/>
    <col min="15365" max="15365" width="15.42578125" style="20" customWidth="1"/>
    <col min="15366" max="15367" width="13.42578125" style="20" customWidth="1"/>
    <col min="15368" max="15368" width="17.42578125" style="20" customWidth="1"/>
    <col min="15369" max="15369" width="14.7109375" style="20" customWidth="1"/>
    <col min="15370" max="15370" width="13.5703125" style="20" customWidth="1"/>
    <col min="15371" max="15371" width="15.140625" style="20" customWidth="1"/>
    <col min="15372" max="15372" width="14.7109375" style="20" customWidth="1"/>
    <col min="15373" max="15373" width="15.140625" style="20" customWidth="1"/>
    <col min="15374" max="15374" width="14.140625" style="20" customWidth="1"/>
    <col min="15375" max="15375" width="14.7109375" style="20" customWidth="1"/>
    <col min="15376" max="15376" width="14.42578125" style="20" customWidth="1"/>
    <col min="15377" max="15377" width="15" style="20" customWidth="1"/>
    <col min="15378" max="15378" width="14.5703125" style="20" customWidth="1"/>
    <col min="15379" max="15379" width="14.85546875" style="20" customWidth="1"/>
    <col min="15380" max="15380" width="15" style="20" customWidth="1"/>
    <col min="15381" max="15391" width="16.140625" style="20" customWidth="1"/>
    <col min="15392" max="15392" width="58.140625" style="20" customWidth="1"/>
    <col min="15393" max="15393" width="3.7109375" style="20" customWidth="1"/>
    <col min="15394" max="15394" width="18.85546875" style="20" customWidth="1"/>
    <col min="15395" max="15616" width="9.140625" style="20"/>
    <col min="15617" max="15617" width="51.42578125" style="20" customWidth="1"/>
    <col min="15618" max="15618" width="15.28515625" style="20" customWidth="1"/>
    <col min="15619" max="15619" width="17.140625" style="20" customWidth="1"/>
    <col min="15620" max="15620" width="13.85546875" style="20" customWidth="1"/>
    <col min="15621" max="15621" width="15.42578125" style="20" customWidth="1"/>
    <col min="15622" max="15623" width="13.42578125" style="20" customWidth="1"/>
    <col min="15624" max="15624" width="17.42578125" style="20" customWidth="1"/>
    <col min="15625" max="15625" width="14.7109375" style="20" customWidth="1"/>
    <col min="15626" max="15626" width="13.5703125" style="20" customWidth="1"/>
    <col min="15627" max="15627" width="15.140625" style="20" customWidth="1"/>
    <col min="15628" max="15628" width="14.7109375" style="20" customWidth="1"/>
    <col min="15629" max="15629" width="15.140625" style="20" customWidth="1"/>
    <col min="15630" max="15630" width="14.140625" style="20" customWidth="1"/>
    <col min="15631" max="15631" width="14.7109375" style="20" customWidth="1"/>
    <col min="15632" max="15632" width="14.42578125" style="20" customWidth="1"/>
    <col min="15633" max="15633" width="15" style="20" customWidth="1"/>
    <col min="15634" max="15634" width="14.5703125" style="20" customWidth="1"/>
    <col min="15635" max="15635" width="14.85546875" style="20" customWidth="1"/>
    <col min="15636" max="15636" width="15" style="20" customWidth="1"/>
    <col min="15637" max="15647" width="16.140625" style="20" customWidth="1"/>
    <col min="15648" max="15648" width="58.140625" style="20" customWidth="1"/>
    <col min="15649" max="15649" width="3.7109375" style="20" customWidth="1"/>
    <col min="15650" max="15650" width="18.85546875" style="20" customWidth="1"/>
    <col min="15651" max="15872" width="9.140625" style="20"/>
    <col min="15873" max="15873" width="51.42578125" style="20" customWidth="1"/>
    <col min="15874" max="15874" width="15.28515625" style="20" customWidth="1"/>
    <col min="15875" max="15875" width="17.140625" style="20" customWidth="1"/>
    <col min="15876" max="15876" width="13.85546875" style="20" customWidth="1"/>
    <col min="15877" max="15877" width="15.42578125" style="20" customWidth="1"/>
    <col min="15878" max="15879" width="13.42578125" style="20" customWidth="1"/>
    <col min="15880" max="15880" width="17.42578125" style="20" customWidth="1"/>
    <col min="15881" max="15881" width="14.7109375" style="20" customWidth="1"/>
    <col min="15882" max="15882" width="13.5703125" style="20" customWidth="1"/>
    <col min="15883" max="15883" width="15.140625" style="20" customWidth="1"/>
    <col min="15884" max="15884" width="14.7109375" style="20" customWidth="1"/>
    <col min="15885" max="15885" width="15.140625" style="20" customWidth="1"/>
    <col min="15886" max="15886" width="14.140625" style="20" customWidth="1"/>
    <col min="15887" max="15887" width="14.7109375" style="20" customWidth="1"/>
    <col min="15888" max="15888" width="14.42578125" style="20" customWidth="1"/>
    <col min="15889" max="15889" width="15" style="20" customWidth="1"/>
    <col min="15890" max="15890" width="14.5703125" style="20" customWidth="1"/>
    <col min="15891" max="15891" width="14.85546875" style="20" customWidth="1"/>
    <col min="15892" max="15892" width="15" style="20" customWidth="1"/>
    <col min="15893" max="15903" width="16.140625" style="20" customWidth="1"/>
    <col min="15904" max="15904" width="58.140625" style="20" customWidth="1"/>
    <col min="15905" max="15905" width="3.7109375" style="20" customWidth="1"/>
    <col min="15906" max="15906" width="18.85546875" style="20" customWidth="1"/>
    <col min="15907" max="16128" width="9.140625" style="20"/>
    <col min="16129" max="16129" width="51.42578125" style="20" customWidth="1"/>
    <col min="16130" max="16130" width="15.28515625" style="20" customWidth="1"/>
    <col min="16131" max="16131" width="17.140625" style="20" customWidth="1"/>
    <col min="16132" max="16132" width="13.85546875" style="20" customWidth="1"/>
    <col min="16133" max="16133" width="15.42578125" style="20" customWidth="1"/>
    <col min="16134" max="16135" width="13.42578125" style="20" customWidth="1"/>
    <col min="16136" max="16136" width="17.42578125" style="20" customWidth="1"/>
    <col min="16137" max="16137" width="14.7109375" style="20" customWidth="1"/>
    <col min="16138" max="16138" width="13.5703125" style="20" customWidth="1"/>
    <col min="16139" max="16139" width="15.140625" style="20" customWidth="1"/>
    <col min="16140" max="16140" width="14.7109375" style="20" customWidth="1"/>
    <col min="16141" max="16141" width="15.140625" style="20" customWidth="1"/>
    <col min="16142" max="16142" width="14.140625" style="20" customWidth="1"/>
    <col min="16143" max="16143" width="14.7109375" style="20" customWidth="1"/>
    <col min="16144" max="16144" width="14.42578125" style="20" customWidth="1"/>
    <col min="16145" max="16145" width="15" style="20" customWidth="1"/>
    <col min="16146" max="16146" width="14.5703125" style="20" customWidth="1"/>
    <col min="16147" max="16147" width="14.85546875" style="20" customWidth="1"/>
    <col min="16148" max="16148" width="15" style="20" customWidth="1"/>
    <col min="16149" max="16159" width="16.140625" style="20" customWidth="1"/>
    <col min="16160" max="16160" width="58.140625" style="20" customWidth="1"/>
    <col min="16161" max="16161" width="3.7109375" style="20" customWidth="1"/>
    <col min="16162" max="16162" width="18.85546875" style="20" customWidth="1"/>
    <col min="16163" max="16384" width="9.140625" style="20"/>
  </cols>
  <sheetData>
    <row r="1" spans="1:120" ht="26.25" customHeight="1">
      <c r="A1" s="22"/>
      <c r="O1" s="23"/>
      <c r="P1" s="23"/>
      <c r="Q1" s="23"/>
      <c r="R1" s="23"/>
      <c r="S1" s="23"/>
      <c r="Z1" s="23"/>
      <c r="AA1" s="23"/>
      <c r="AB1" s="23"/>
      <c r="AC1" s="23"/>
      <c r="AD1" s="23"/>
      <c r="AF1" s="24"/>
    </row>
    <row r="2" spans="1:120" ht="26.25" customHeight="1">
      <c r="A2" s="227" t="s">
        <v>147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8"/>
      <c r="AF2" s="24"/>
    </row>
    <row r="3" spans="1:120" s="26" customFormat="1" ht="35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25"/>
      <c r="M3" s="25"/>
      <c r="N3" s="25"/>
      <c r="O3" s="25"/>
      <c r="P3" s="25"/>
      <c r="Q3" s="25"/>
      <c r="R3" s="25"/>
      <c r="S3" s="27" t="s">
        <v>85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65" t="s">
        <v>116</v>
      </c>
      <c r="AE3" s="25"/>
      <c r="AF3" s="27" t="s">
        <v>85</v>
      </c>
      <c r="AH3" s="21"/>
    </row>
    <row r="4" spans="1:120" s="28" customFormat="1" ht="18.75" customHeight="1">
      <c r="A4" s="215" t="s">
        <v>112</v>
      </c>
      <c r="B4" s="216" t="s">
        <v>130</v>
      </c>
      <c r="C4" s="216" t="s">
        <v>148</v>
      </c>
      <c r="D4" s="216" t="s">
        <v>149</v>
      </c>
      <c r="E4" s="216" t="s">
        <v>150</v>
      </c>
      <c r="F4" s="216" t="s">
        <v>86</v>
      </c>
      <c r="G4" s="216"/>
      <c r="H4" s="216" t="s">
        <v>87</v>
      </c>
      <c r="I4" s="216"/>
      <c r="J4" s="218" t="s">
        <v>88</v>
      </c>
      <c r="K4" s="219"/>
      <c r="L4" s="218" t="s">
        <v>89</v>
      </c>
      <c r="M4" s="219"/>
      <c r="N4" s="218" t="s">
        <v>90</v>
      </c>
      <c r="O4" s="219"/>
      <c r="P4" s="218" t="s">
        <v>91</v>
      </c>
      <c r="Q4" s="219"/>
      <c r="R4" s="218" t="s">
        <v>92</v>
      </c>
      <c r="S4" s="219"/>
      <c r="T4" s="218" t="s">
        <v>93</v>
      </c>
      <c r="U4" s="219"/>
      <c r="V4" s="218" t="s">
        <v>94</v>
      </c>
      <c r="W4" s="219"/>
      <c r="X4" s="218" t="s">
        <v>95</v>
      </c>
      <c r="Y4" s="219"/>
      <c r="Z4" s="218" t="s">
        <v>96</v>
      </c>
      <c r="AA4" s="219"/>
      <c r="AB4" s="218" t="s">
        <v>97</v>
      </c>
      <c r="AC4" s="219"/>
      <c r="AD4" s="218" t="s">
        <v>98</v>
      </c>
      <c r="AE4" s="219"/>
      <c r="AF4" s="215" t="s">
        <v>99</v>
      </c>
      <c r="AH4" s="29"/>
    </row>
    <row r="5" spans="1:120" s="30" customFormat="1" ht="82.5" customHeight="1">
      <c r="A5" s="215"/>
      <c r="B5" s="216"/>
      <c r="C5" s="216"/>
      <c r="D5" s="217"/>
      <c r="E5" s="216"/>
      <c r="F5" s="171" t="s">
        <v>100</v>
      </c>
      <c r="G5" s="171" t="s">
        <v>101</v>
      </c>
      <c r="H5" s="171" t="s">
        <v>127</v>
      </c>
      <c r="I5" s="171" t="s">
        <v>102</v>
      </c>
      <c r="J5" s="171" t="s">
        <v>127</v>
      </c>
      <c r="K5" s="171" t="s">
        <v>102</v>
      </c>
      <c r="L5" s="171" t="s">
        <v>127</v>
      </c>
      <c r="M5" s="171" t="s">
        <v>102</v>
      </c>
      <c r="N5" s="171" t="s">
        <v>127</v>
      </c>
      <c r="O5" s="171" t="s">
        <v>102</v>
      </c>
      <c r="P5" s="171" t="s">
        <v>127</v>
      </c>
      <c r="Q5" s="171" t="s">
        <v>102</v>
      </c>
      <c r="R5" s="171" t="s">
        <v>127</v>
      </c>
      <c r="S5" s="171" t="s">
        <v>102</v>
      </c>
      <c r="T5" s="171" t="s">
        <v>127</v>
      </c>
      <c r="U5" s="171" t="s">
        <v>102</v>
      </c>
      <c r="V5" s="171" t="s">
        <v>127</v>
      </c>
      <c r="W5" s="171" t="s">
        <v>102</v>
      </c>
      <c r="X5" s="171" t="s">
        <v>127</v>
      </c>
      <c r="Y5" s="171" t="s">
        <v>102</v>
      </c>
      <c r="Z5" s="171" t="s">
        <v>127</v>
      </c>
      <c r="AA5" s="171" t="s">
        <v>102</v>
      </c>
      <c r="AB5" s="171" t="s">
        <v>127</v>
      </c>
      <c r="AC5" s="171" t="s">
        <v>102</v>
      </c>
      <c r="AD5" s="171" t="s">
        <v>127</v>
      </c>
      <c r="AE5" s="171" t="s">
        <v>102</v>
      </c>
      <c r="AF5" s="215"/>
      <c r="AH5" s="29"/>
    </row>
    <row r="6" spans="1:120" s="31" customFormat="1" ht="17.25" customHeight="1">
      <c r="A6" s="90">
        <v>1</v>
      </c>
      <c r="B6" s="90">
        <v>2</v>
      </c>
      <c r="C6" s="90">
        <v>3</v>
      </c>
      <c r="D6" s="90">
        <v>4</v>
      </c>
      <c r="E6" s="90">
        <v>5</v>
      </c>
      <c r="F6" s="90">
        <v>6</v>
      </c>
      <c r="G6" s="90">
        <v>7</v>
      </c>
      <c r="H6" s="90">
        <v>8</v>
      </c>
      <c r="I6" s="90">
        <v>9</v>
      </c>
      <c r="J6" s="90">
        <v>10</v>
      </c>
      <c r="K6" s="90">
        <v>11</v>
      </c>
      <c r="L6" s="90">
        <v>12</v>
      </c>
      <c r="M6" s="90">
        <v>13</v>
      </c>
      <c r="N6" s="90">
        <v>14</v>
      </c>
      <c r="O6" s="90">
        <v>15</v>
      </c>
      <c r="P6" s="90">
        <v>16</v>
      </c>
      <c r="Q6" s="90">
        <v>17</v>
      </c>
      <c r="R6" s="90">
        <v>18</v>
      </c>
      <c r="S6" s="90">
        <v>19</v>
      </c>
      <c r="T6" s="90">
        <v>20</v>
      </c>
      <c r="U6" s="90">
        <v>21</v>
      </c>
      <c r="V6" s="90">
        <v>22</v>
      </c>
      <c r="W6" s="90">
        <v>23</v>
      </c>
      <c r="X6" s="90">
        <v>24</v>
      </c>
      <c r="Y6" s="90">
        <v>25</v>
      </c>
      <c r="Z6" s="90">
        <v>26</v>
      </c>
      <c r="AA6" s="90">
        <v>27</v>
      </c>
      <c r="AB6" s="90">
        <v>28</v>
      </c>
      <c r="AC6" s="90">
        <v>29</v>
      </c>
      <c r="AD6" s="90">
        <v>30</v>
      </c>
      <c r="AE6" s="90">
        <v>31</v>
      </c>
      <c r="AF6" s="90">
        <v>32</v>
      </c>
      <c r="AH6" s="32"/>
    </row>
    <row r="7" spans="1:120" s="35" customFormat="1" ht="40.5" customHeight="1">
      <c r="A7" s="94" t="s">
        <v>103</v>
      </c>
      <c r="B7" s="67">
        <f>B8</f>
        <v>24260.996740000002</v>
      </c>
      <c r="C7" s="87">
        <f t="shared" ref="C7:AE8" si="0">C8</f>
        <v>23077.346740000001</v>
      </c>
      <c r="D7" s="67">
        <f t="shared" si="0"/>
        <v>21897.137750000002</v>
      </c>
      <c r="E7" s="87">
        <f t="shared" si="0"/>
        <v>20588.686699999998</v>
      </c>
      <c r="F7" s="121">
        <f>E7/B7</f>
        <v>0.84863317532435378</v>
      </c>
      <c r="G7" s="121">
        <f>E7/C7</f>
        <v>0.89216004473831456</v>
      </c>
      <c r="H7" s="124">
        <f t="shared" si="0"/>
        <v>0</v>
      </c>
      <c r="I7" s="124">
        <f t="shared" si="0"/>
        <v>0</v>
      </c>
      <c r="J7" s="67">
        <f t="shared" si="0"/>
        <v>870.92899999999997</v>
      </c>
      <c r="K7" s="67">
        <f t="shared" si="0"/>
        <v>285.31865000000005</v>
      </c>
      <c r="L7" s="67">
        <f t="shared" si="0"/>
        <v>944.50900000000001</v>
      </c>
      <c r="M7" s="124">
        <f t="shared" si="0"/>
        <v>693.06032000000005</v>
      </c>
      <c r="N7" s="67">
        <f t="shared" si="0"/>
        <v>1541.9672799999998</v>
      </c>
      <c r="O7" s="124">
        <f t="shared" si="0"/>
        <v>1018.7150200000001</v>
      </c>
      <c r="P7" s="67">
        <f t="shared" si="0"/>
        <v>950.62401999999997</v>
      </c>
      <c r="Q7" s="124">
        <f t="shared" si="0"/>
        <v>840.17542000000003</v>
      </c>
      <c r="R7" s="67">
        <f t="shared" si="0"/>
        <v>4946.4357600000003</v>
      </c>
      <c r="S7" s="124">
        <f t="shared" si="0"/>
        <v>4743.5121799999997</v>
      </c>
      <c r="T7" s="67">
        <f t="shared" si="0"/>
        <v>4431.6835200000005</v>
      </c>
      <c r="U7" s="124">
        <f t="shared" si="0"/>
        <v>4547.4812500000007</v>
      </c>
      <c r="V7" s="67">
        <f t="shared" si="0"/>
        <v>4982.6314200000006</v>
      </c>
      <c r="W7" s="124">
        <f t="shared" si="0"/>
        <v>4778.6997700000002</v>
      </c>
      <c r="X7" s="67">
        <f t="shared" si="0"/>
        <v>1383.8610000000001</v>
      </c>
      <c r="Y7" s="124">
        <f t="shared" si="0"/>
        <v>1337.0715500000001</v>
      </c>
      <c r="Z7" s="67">
        <f t="shared" si="0"/>
        <v>1165.31321</v>
      </c>
      <c r="AA7" s="124">
        <f t="shared" si="0"/>
        <v>1174.5476000000001</v>
      </c>
      <c r="AB7" s="67">
        <f t="shared" si="0"/>
        <v>1859.3925299999999</v>
      </c>
      <c r="AC7" s="124">
        <f t="shared" si="0"/>
        <v>1170.1049400000002</v>
      </c>
      <c r="AD7" s="67">
        <f t="shared" si="0"/>
        <v>1183.6500000000001</v>
      </c>
      <c r="AE7" s="124">
        <f t="shared" si="0"/>
        <v>0</v>
      </c>
      <c r="AF7" s="124"/>
      <c r="AH7" s="36"/>
    </row>
    <row r="8" spans="1:120" s="61" customFormat="1" ht="89.25" customHeight="1">
      <c r="A8" s="68" t="s">
        <v>117</v>
      </c>
      <c r="B8" s="69">
        <f>B9</f>
        <v>24260.996740000002</v>
      </c>
      <c r="C8" s="88">
        <f>C9</f>
        <v>23077.346740000001</v>
      </c>
      <c r="D8" s="69">
        <f t="shared" si="0"/>
        <v>21897.137750000002</v>
      </c>
      <c r="E8" s="88">
        <f t="shared" si="0"/>
        <v>20588.686699999998</v>
      </c>
      <c r="F8" s="122">
        <f>E8/B8</f>
        <v>0.84863317532435378</v>
      </c>
      <c r="G8" s="122">
        <f>E8/C8</f>
        <v>0.89216004473831456</v>
      </c>
      <c r="H8" s="123">
        <f t="shared" si="0"/>
        <v>0</v>
      </c>
      <c r="I8" s="123">
        <f>I9</f>
        <v>0</v>
      </c>
      <c r="J8" s="69">
        <f t="shared" si="0"/>
        <v>870.92899999999997</v>
      </c>
      <c r="K8" s="69">
        <f t="shared" si="0"/>
        <v>285.31865000000005</v>
      </c>
      <c r="L8" s="69">
        <f t="shared" si="0"/>
        <v>944.50900000000001</v>
      </c>
      <c r="M8" s="123">
        <f t="shared" si="0"/>
        <v>693.06032000000005</v>
      </c>
      <c r="N8" s="69">
        <f t="shared" si="0"/>
        <v>1541.9672799999998</v>
      </c>
      <c r="O8" s="123">
        <f t="shared" si="0"/>
        <v>1018.7150200000001</v>
      </c>
      <c r="P8" s="69">
        <f t="shared" si="0"/>
        <v>950.62401999999997</v>
      </c>
      <c r="Q8" s="123">
        <f t="shared" si="0"/>
        <v>840.17542000000003</v>
      </c>
      <c r="R8" s="69">
        <f t="shared" si="0"/>
        <v>4946.4357600000003</v>
      </c>
      <c r="S8" s="123">
        <f t="shared" si="0"/>
        <v>4743.5121799999997</v>
      </c>
      <c r="T8" s="69">
        <f t="shared" si="0"/>
        <v>4431.6835200000005</v>
      </c>
      <c r="U8" s="123">
        <f t="shared" si="0"/>
        <v>4547.4812500000007</v>
      </c>
      <c r="V8" s="69">
        <f t="shared" si="0"/>
        <v>4982.6314200000006</v>
      </c>
      <c r="W8" s="123">
        <f t="shared" si="0"/>
        <v>4778.6997700000002</v>
      </c>
      <c r="X8" s="69">
        <f t="shared" si="0"/>
        <v>1383.8610000000001</v>
      </c>
      <c r="Y8" s="123">
        <f t="shared" si="0"/>
        <v>1337.0715500000001</v>
      </c>
      <c r="Z8" s="69">
        <f t="shared" si="0"/>
        <v>1165.31321</v>
      </c>
      <c r="AA8" s="123">
        <f t="shared" si="0"/>
        <v>1174.5476000000001</v>
      </c>
      <c r="AB8" s="69">
        <f t="shared" si="0"/>
        <v>1859.3925299999999</v>
      </c>
      <c r="AC8" s="123">
        <f t="shared" si="0"/>
        <v>1170.1049400000002</v>
      </c>
      <c r="AD8" s="69">
        <f t="shared" si="0"/>
        <v>1183.6500000000001</v>
      </c>
      <c r="AE8" s="123">
        <f t="shared" si="0"/>
        <v>0</v>
      </c>
      <c r="AF8" s="123"/>
      <c r="AG8" s="35"/>
      <c r="AH8" s="36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</row>
    <row r="9" spans="1:120" s="35" customFormat="1">
      <c r="A9" s="95" t="s">
        <v>25</v>
      </c>
      <c r="B9" s="96">
        <f>B10+B11</f>
        <v>24260.996740000002</v>
      </c>
      <c r="C9" s="96">
        <f t="shared" ref="C9:AD9" si="1">C10+C11</f>
        <v>23077.346740000001</v>
      </c>
      <c r="D9" s="96">
        <f t="shared" si="1"/>
        <v>21897.137750000002</v>
      </c>
      <c r="E9" s="96">
        <f t="shared" si="1"/>
        <v>20588.686699999998</v>
      </c>
      <c r="F9" s="97">
        <f>E9/B9</f>
        <v>0.84863317532435378</v>
      </c>
      <c r="G9" s="97">
        <f>E9/C9</f>
        <v>0.89216004473831456</v>
      </c>
      <c r="H9" s="96">
        <f t="shared" si="1"/>
        <v>0</v>
      </c>
      <c r="I9" s="96">
        <f t="shared" si="1"/>
        <v>0</v>
      </c>
      <c r="J9" s="96">
        <f t="shared" si="1"/>
        <v>870.92899999999997</v>
      </c>
      <c r="K9" s="96">
        <f t="shared" si="1"/>
        <v>285.31865000000005</v>
      </c>
      <c r="L9" s="96">
        <f t="shared" si="1"/>
        <v>944.50900000000001</v>
      </c>
      <c r="M9" s="96">
        <f t="shared" si="1"/>
        <v>693.06032000000005</v>
      </c>
      <c r="N9" s="96">
        <f t="shared" si="1"/>
        <v>1541.9672799999998</v>
      </c>
      <c r="O9" s="96">
        <f t="shared" si="1"/>
        <v>1018.7150200000001</v>
      </c>
      <c r="P9" s="96">
        <f t="shared" si="1"/>
        <v>950.62401999999997</v>
      </c>
      <c r="Q9" s="96">
        <f t="shared" si="1"/>
        <v>840.17542000000003</v>
      </c>
      <c r="R9" s="96">
        <f t="shared" si="1"/>
        <v>4946.4357600000003</v>
      </c>
      <c r="S9" s="96">
        <f t="shared" si="1"/>
        <v>4743.5121799999997</v>
      </c>
      <c r="T9" s="96">
        <f t="shared" si="1"/>
        <v>4431.6835200000005</v>
      </c>
      <c r="U9" s="96">
        <f t="shared" si="1"/>
        <v>4547.4812500000007</v>
      </c>
      <c r="V9" s="96">
        <f t="shared" si="1"/>
        <v>4982.6314200000006</v>
      </c>
      <c r="W9" s="96">
        <f t="shared" si="1"/>
        <v>4778.6997700000002</v>
      </c>
      <c r="X9" s="96">
        <f t="shared" si="1"/>
        <v>1383.8610000000001</v>
      </c>
      <c r="Y9" s="96">
        <f t="shared" si="1"/>
        <v>1337.0715500000001</v>
      </c>
      <c r="Z9" s="96">
        <f t="shared" si="1"/>
        <v>1165.31321</v>
      </c>
      <c r="AA9" s="96">
        <f t="shared" si="1"/>
        <v>1174.5476000000001</v>
      </c>
      <c r="AB9" s="96">
        <f t="shared" si="1"/>
        <v>1859.3925299999999</v>
      </c>
      <c r="AC9" s="96">
        <f t="shared" si="1"/>
        <v>1170.1049400000002</v>
      </c>
      <c r="AD9" s="96">
        <f t="shared" si="1"/>
        <v>1183.6500000000001</v>
      </c>
      <c r="AE9" s="96">
        <f>AE10+AE11</f>
        <v>0</v>
      </c>
      <c r="AF9" s="96"/>
      <c r="AH9" s="36"/>
    </row>
    <row r="10" spans="1:120" s="35" customFormat="1">
      <c r="A10" s="76" t="s">
        <v>104</v>
      </c>
      <c r="B10" s="77">
        <f>B53+B70+B74</f>
        <v>2290.6999999999998</v>
      </c>
      <c r="C10" s="77">
        <f>C53+C70+C74</f>
        <v>2290.6999999999998</v>
      </c>
      <c r="D10" s="77">
        <f>D53+D70+D74</f>
        <v>1756.9108100000001</v>
      </c>
      <c r="E10" s="77">
        <f>E53+E70+E74</f>
        <v>1756.9106200000001</v>
      </c>
      <c r="F10" s="119">
        <f>E10/B10</f>
        <v>0.76697543109093302</v>
      </c>
      <c r="G10" s="119">
        <f>E10/C10</f>
        <v>0.76697543109093302</v>
      </c>
      <c r="H10" s="77">
        <f t="shared" ref="H10:AE10" si="2">H53+H70+H74</f>
        <v>0</v>
      </c>
      <c r="I10" s="77">
        <f t="shared" si="2"/>
        <v>0</v>
      </c>
      <c r="J10" s="77">
        <f t="shared" si="2"/>
        <v>77.635999999999996</v>
      </c>
      <c r="K10" s="77">
        <f t="shared" si="2"/>
        <v>0</v>
      </c>
      <c r="L10" s="77">
        <f t="shared" si="2"/>
        <v>142.672</v>
      </c>
      <c r="M10" s="77">
        <f t="shared" si="2"/>
        <v>39.956780000000002</v>
      </c>
      <c r="N10" s="77">
        <f t="shared" si="2"/>
        <v>125.56578999999999</v>
      </c>
      <c r="O10" s="77">
        <f t="shared" si="2"/>
        <v>76.649650000000008</v>
      </c>
      <c r="P10" s="77">
        <f t="shared" si="2"/>
        <v>16.8</v>
      </c>
      <c r="Q10" s="77">
        <f t="shared" si="2"/>
        <v>93.314710000000005</v>
      </c>
      <c r="R10" s="77">
        <f t="shared" si="2"/>
        <v>0</v>
      </c>
      <c r="S10" s="77">
        <f t="shared" si="2"/>
        <v>83.617800000000003</v>
      </c>
      <c r="T10" s="77">
        <f t="shared" si="2"/>
        <v>441.95636000000002</v>
      </c>
      <c r="U10" s="77">
        <f t="shared" si="2"/>
        <v>482.37156000000004</v>
      </c>
      <c r="V10" s="77">
        <f t="shared" si="2"/>
        <v>662.27242000000001</v>
      </c>
      <c r="W10" s="77">
        <f t="shared" si="2"/>
        <v>385.40990999999997</v>
      </c>
      <c r="X10" s="77">
        <f t="shared" si="2"/>
        <v>417.63299999999998</v>
      </c>
      <c r="Y10" s="77">
        <f t="shared" si="2"/>
        <v>409.74538999999999</v>
      </c>
      <c r="Z10" s="77">
        <f t="shared" si="2"/>
        <v>99.078209999999999</v>
      </c>
      <c r="AA10" s="77">
        <f t="shared" si="2"/>
        <v>91.926699999999997</v>
      </c>
      <c r="AB10" s="77">
        <f t="shared" si="2"/>
        <v>307.08621999999997</v>
      </c>
      <c r="AC10" s="77">
        <f t="shared" si="2"/>
        <v>93.918120000000016</v>
      </c>
      <c r="AD10" s="77">
        <f t="shared" si="2"/>
        <v>0</v>
      </c>
      <c r="AE10" s="77">
        <f t="shared" si="2"/>
        <v>0</v>
      </c>
      <c r="AF10" s="77"/>
      <c r="AH10" s="36"/>
    </row>
    <row r="11" spans="1:120" s="35" customFormat="1">
      <c r="A11" s="80" t="s">
        <v>105</v>
      </c>
      <c r="B11" s="81">
        <f>B54+B71</f>
        <v>21970.296740000002</v>
      </c>
      <c r="C11" s="81">
        <f>C54+C71</f>
        <v>20786.64674</v>
      </c>
      <c r="D11" s="81">
        <f>D54+D71</f>
        <v>20140.22694</v>
      </c>
      <c r="E11" s="81">
        <f>E54+E71</f>
        <v>18831.77608</v>
      </c>
      <c r="F11" s="120">
        <f>E11/B11</f>
        <v>0.85714709741330508</v>
      </c>
      <c r="G11" s="120">
        <f>E11/C11</f>
        <v>0.90595545859553095</v>
      </c>
      <c r="H11" s="81">
        <f t="shared" ref="H11:AE11" si="3">H54+H71</f>
        <v>0</v>
      </c>
      <c r="I11" s="81">
        <f t="shared" si="3"/>
        <v>0</v>
      </c>
      <c r="J11" s="81">
        <f t="shared" si="3"/>
        <v>793.29300000000001</v>
      </c>
      <c r="K11" s="81">
        <f t="shared" si="3"/>
        <v>285.31865000000005</v>
      </c>
      <c r="L11" s="81">
        <f t="shared" si="3"/>
        <v>801.83699999999999</v>
      </c>
      <c r="M11" s="81">
        <f t="shared" si="3"/>
        <v>653.10354000000007</v>
      </c>
      <c r="N11" s="81">
        <f t="shared" si="3"/>
        <v>1416.40149</v>
      </c>
      <c r="O11" s="81">
        <f t="shared" si="3"/>
        <v>942.06537000000003</v>
      </c>
      <c r="P11" s="81">
        <f t="shared" si="3"/>
        <v>933.82402000000002</v>
      </c>
      <c r="Q11" s="81">
        <f t="shared" si="3"/>
        <v>746.86071000000004</v>
      </c>
      <c r="R11" s="81">
        <f t="shared" si="3"/>
        <v>4946.4357600000003</v>
      </c>
      <c r="S11" s="81">
        <f t="shared" si="3"/>
        <v>4659.8943799999997</v>
      </c>
      <c r="T11" s="81">
        <f t="shared" si="3"/>
        <v>3989.7271600000004</v>
      </c>
      <c r="U11" s="81">
        <f t="shared" si="3"/>
        <v>4065.1096900000002</v>
      </c>
      <c r="V11" s="81">
        <f t="shared" si="3"/>
        <v>4320.3590000000004</v>
      </c>
      <c r="W11" s="81">
        <f t="shared" si="3"/>
        <v>4393.2898599999999</v>
      </c>
      <c r="X11" s="81">
        <f t="shared" si="3"/>
        <v>966.22800000000007</v>
      </c>
      <c r="Y11" s="81">
        <f t="shared" si="3"/>
        <v>927.32616000000007</v>
      </c>
      <c r="Z11" s="81">
        <f t="shared" si="3"/>
        <v>1066.2350000000001</v>
      </c>
      <c r="AA11" s="81">
        <f t="shared" si="3"/>
        <v>1082.6209000000001</v>
      </c>
      <c r="AB11" s="81">
        <f t="shared" si="3"/>
        <v>1552.3063099999999</v>
      </c>
      <c r="AC11" s="81">
        <f t="shared" si="3"/>
        <v>1076.1868200000001</v>
      </c>
      <c r="AD11" s="81">
        <f t="shared" si="3"/>
        <v>1183.6500000000001</v>
      </c>
      <c r="AE11" s="81">
        <f t="shared" si="3"/>
        <v>0</v>
      </c>
      <c r="AF11" s="81"/>
      <c r="AH11" s="36"/>
    </row>
    <row r="12" spans="1:120" s="35" customFormat="1" ht="95.25" customHeight="1">
      <c r="A12" s="133" t="s">
        <v>128</v>
      </c>
      <c r="B12" s="134"/>
      <c r="C12" s="135"/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7"/>
      <c r="AE12" s="138"/>
      <c r="AF12" s="220" t="s">
        <v>142</v>
      </c>
      <c r="AG12" s="127"/>
      <c r="AH12" s="36"/>
    </row>
    <row r="13" spans="1:120" s="35" customFormat="1" ht="33.75" customHeight="1">
      <c r="A13" s="112" t="s">
        <v>120</v>
      </c>
      <c r="B13" s="113"/>
      <c r="C13" s="113"/>
      <c r="D13" s="113"/>
      <c r="E13" s="113"/>
      <c r="F13" s="114"/>
      <c r="G13" s="114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221"/>
      <c r="AH13" s="151"/>
    </row>
    <row r="14" spans="1:120" s="35" customFormat="1" ht="15.75" customHeight="1">
      <c r="A14" s="100" t="s">
        <v>121</v>
      </c>
      <c r="B14" s="105">
        <f>B16+B15</f>
        <v>10331.503000000001</v>
      </c>
      <c r="C14" s="105">
        <f>C16+C15</f>
        <v>10331.503000000001</v>
      </c>
      <c r="D14" s="105">
        <f>D16+D15</f>
        <v>10319.79927</v>
      </c>
      <c r="E14" s="105">
        <f>E16+E15</f>
        <v>10202.543470000001</v>
      </c>
      <c r="F14" s="104">
        <f>E14/B14</f>
        <v>0.98751783452998076</v>
      </c>
      <c r="G14" s="104">
        <f>E14/C14</f>
        <v>0.98751783452998076</v>
      </c>
      <c r="H14" s="85">
        <f>H16+H15</f>
        <v>0</v>
      </c>
      <c r="I14" s="85">
        <f>I16+I15</f>
        <v>0</v>
      </c>
      <c r="J14" s="85">
        <f t="shared" ref="J14:AE14" si="4">J16+J15</f>
        <v>0</v>
      </c>
      <c r="K14" s="85">
        <f t="shared" si="4"/>
        <v>0</v>
      </c>
      <c r="L14" s="85">
        <f t="shared" si="4"/>
        <v>0</v>
      </c>
      <c r="M14" s="85">
        <f t="shared" si="4"/>
        <v>0</v>
      </c>
      <c r="N14" s="85">
        <f t="shared" si="4"/>
        <v>312</v>
      </c>
      <c r="O14" s="85">
        <f t="shared" si="4"/>
        <v>0</v>
      </c>
      <c r="P14" s="85">
        <f t="shared" si="4"/>
        <v>0</v>
      </c>
      <c r="Q14" s="85">
        <f t="shared" si="4"/>
        <v>0</v>
      </c>
      <c r="R14" s="85">
        <f t="shared" si="4"/>
        <v>3454.576</v>
      </c>
      <c r="S14" s="85">
        <f t="shared" si="4"/>
        <v>3397.7048199999999</v>
      </c>
      <c r="T14" s="85">
        <f t="shared" si="4"/>
        <v>3131.5590000000002</v>
      </c>
      <c r="U14" s="85">
        <f t="shared" si="4"/>
        <v>3356.8503199999996</v>
      </c>
      <c r="V14" s="85">
        <f t="shared" si="4"/>
        <v>3433.3679999999999</v>
      </c>
      <c r="W14" s="85">
        <f t="shared" si="4"/>
        <v>3169.3883299999998</v>
      </c>
      <c r="X14" s="85">
        <f t="shared" si="4"/>
        <v>0</v>
      </c>
      <c r="Y14" s="85">
        <f t="shared" si="4"/>
        <v>278.60000000000002</v>
      </c>
      <c r="Z14" s="85">
        <f t="shared" si="4"/>
        <v>0</v>
      </c>
      <c r="AA14" s="85">
        <f t="shared" si="4"/>
        <v>0</v>
      </c>
      <c r="AB14" s="85">
        <f t="shared" si="4"/>
        <v>0</v>
      </c>
      <c r="AC14" s="85">
        <f t="shared" si="4"/>
        <v>0</v>
      </c>
      <c r="AD14" s="85">
        <f t="shared" si="4"/>
        <v>0</v>
      </c>
      <c r="AE14" s="85">
        <f t="shared" si="4"/>
        <v>0</v>
      </c>
      <c r="AF14" s="221"/>
      <c r="AG14" s="127"/>
      <c r="AH14" s="151"/>
    </row>
    <row r="15" spans="1:120" s="35" customFormat="1" ht="21.75" customHeight="1">
      <c r="A15" s="101" t="s">
        <v>104</v>
      </c>
      <c r="B15" s="86">
        <f>H15+J15+L15+N15+P15+R15+T15+V15+X15+Z15+AB15+AD15</f>
        <v>840</v>
      </c>
      <c r="C15" s="84">
        <f>H15+J15+L15+N15+P15+R15+T15+V15+X15+Z15+AB15</f>
        <v>840</v>
      </c>
      <c r="D15" s="84">
        <f>828297.27/1000</f>
        <v>828.29727000000003</v>
      </c>
      <c r="E15" s="84">
        <f>I15+K15+M15+O15+Q15+S15+U15+W15+Y15+AA15+AC15</f>
        <v>828.29727000000003</v>
      </c>
      <c r="F15" s="106">
        <f>E15/B15</f>
        <v>0.98606817857142859</v>
      </c>
      <c r="G15" s="106">
        <f>E15/C15</f>
        <v>0.98606817857142859</v>
      </c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>
        <v>0</v>
      </c>
      <c r="T15" s="84">
        <f>280000/1000</f>
        <v>280</v>
      </c>
      <c r="U15" s="84">
        <f>275870/1000</f>
        <v>275.87</v>
      </c>
      <c r="V15" s="84">
        <f>(280000+280000)/1000</f>
        <v>560</v>
      </c>
      <c r="W15" s="84">
        <f>273827.27/1000</f>
        <v>273.82727</v>
      </c>
      <c r="X15" s="84"/>
      <c r="Y15" s="84">
        <f>278600/1000</f>
        <v>278.60000000000002</v>
      </c>
      <c r="Z15" s="84"/>
      <c r="AA15" s="84"/>
      <c r="AB15" s="84"/>
      <c r="AC15" s="84"/>
      <c r="AD15" s="84"/>
      <c r="AE15" s="84"/>
      <c r="AF15" s="221"/>
      <c r="AH15" s="36"/>
    </row>
    <row r="16" spans="1:120" s="35" customFormat="1" ht="22.5" customHeight="1">
      <c r="A16" s="101" t="s">
        <v>105</v>
      </c>
      <c r="B16" s="86">
        <f>H16+J16+L16+N16+P16+R16+T16+V16+X16+Z16+AB16+AD16</f>
        <v>9491.5030000000006</v>
      </c>
      <c r="C16" s="84">
        <f>H16+J16+L16+N16+P16+R16+T16+V16+X16+Z16+AB16</f>
        <v>9491.5030000000006</v>
      </c>
      <c r="D16" s="84">
        <f>9491502/1000</f>
        <v>9491.5020000000004</v>
      </c>
      <c r="E16" s="84">
        <f>I16+K16+M16+O16+Q16+S16+U16+W16+Y16+AA16+AC16</f>
        <v>9374.2461999999996</v>
      </c>
      <c r="F16" s="106">
        <f>E16/B16</f>
        <v>0.98764612938540919</v>
      </c>
      <c r="G16" s="106">
        <f>E16/C16</f>
        <v>0.98764612938540919</v>
      </c>
      <c r="H16" s="84"/>
      <c r="I16" s="84"/>
      <c r="J16" s="84"/>
      <c r="K16" s="84"/>
      <c r="L16" s="84"/>
      <c r="M16" s="84"/>
      <c r="N16" s="84">
        <f>312000/1000</f>
        <v>312</v>
      </c>
      <c r="O16" s="84"/>
      <c r="P16" s="84"/>
      <c r="Q16" s="84"/>
      <c r="R16" s="84">
        <f>3454576/1000</f>
        <v>3454.576</v>
      </c>
      <c r="S16" s="84">
        <f>3397704.82/1000</f>
        <v>3397.7048199999999</v>
      </c>
      <c r="T16" s="84">
        <f>2851559/1000</f>
        <v>2851.5590000000002</v>
      </c>
      <c r="U16" s="84">
        <f>3080980.32/1000</f>
        <v>3080.9803199999997</v>
      </c>
      <c r="V16" s="84">
        <f>2873368/1000</f>
        <v>2873.3679999999999</v>
      </c>
      <c r="W16" s="84">
        <f>2895561.06/1000</f>
        <v>2895.56106</v>
      </c>
      <c r="X16" s="84"/>
      <c r="Y16" s="84"/>
      <c r="Z16" s="84"/>
      <c r="AA16" s="84"/>
      <c r="AB16" s="84"/>
      <c r="AC16" s="84"/>
      <c r="AD16" s="84"/>
      <c r="AE16" s="84"/>
      <c r="AF16" s="221"/>
      <c r="AH16" s="36"/>
    </row>
    <row r="17" spans="1:34" s="35" customFormat="1" ht="109.5" customHeight="1">
      <c r="A17" s="112" t="s">
        <v>122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221"/>
      <c r="AH17" s="36"/>
    </row>
    <row r="18" spans="1:34" s="35" customFormat="1" ht="22.5" customHeight="1">
      <c r="A18" s="101" t="s">
        <v>105</v>
      </c>
      <c r="B18" s="86">
        <f>H18+J18+L18+N18+P18+R18+T18+V18+X18+Z18+AB18+AD18</f>
        <v>268.00900000000001</v>
      </c>
      <c r="C18" s="84">
        <f>H18+J18+L18+N18+P18+R18+T18+V18+X18+Z18+AB18</f>
        <v>268.00900000000001</v>
      </c>
      <c r="D18" s="126">
        <f>(580009-312000)/1000</f>
        <v>268.00900000000001</v>
      </c>
      <c r="E18" s="84">
        <f>I18+K18+M18+O18+Q18+S18+U18+W18+Y18+AA18+AC18</f>
        <v>223.53621000000004</v>
      </c>
      <c r="F18" s="106">
        <f>E18/B18</f>
        <v>0.83406232626516286</v>
      </c>
      <c r="G18" s="106">
        <f>E18/C18</f>
        <v>0.83406232626516286</v>
      </c>
      <c r="H18" s="108"/>
      <c r="I18" s="108"/>
      <c r="J18" s="108"/>
      <c r="K18" s="108"/>
      <c r="L18" s="108"/>
      <c r="M18" s="108"/>
      <c r="N18" s="110">
        <f>268009/1000</f>
        <v>268.00900000000001</v>
      </c>
      <c r="O18" s="110">
        <f>75470.76/1000</f>
        <v>75.470759999999999</v>
      </c>
      <c r="P18" s="108"/>
      <c r="Q18" s="110">
        <f>6797.45/1000</f>
        <v>6.7974499999999995</v>
      </c>
      <c r="R18" s="108"/>
      <c r="S18" s="110">
        <f>82158/1000</f>
        <v>82.158000000000001</v>
      </c>
      <c r="T18" s="108"/>
      <c r="U18" s="108">
        <f>103560/1000</f>
        <v>103.56</v>
      </c>
      <c r="V18" s="108"/>
      <c r="W18" s="110">
        <v>-44.45</v>
      </c>
      <c r="X18" s="108"/>
      <c r="Y18" s="108"/>
      <c r="Z18" s="108"/>
      <c r="AA18" s="108"/>
      <c r="AB18" s="108"/>
      <c r="AC18" s="108"/>
      <c r="AD18" s="108"/>
      <c r="AE18" s="108"/>
      <c r="AF18" s="221"/>
      <c r="AH18" s="36"/>
    </row>
    <row r="19" spans="1:34" s="35" customFormat="1" ht="39.75" customHeight="1">
      <c r="A19" s="112" t="s">
        <v>123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221"/>
      <c r="AH19" s="36"/>
    </row>
    <row r="20" spans="1:34" s="35" customFormat="1" ht="22.5" customHeight="1">
      <c r="A20" s="101" t="s">
        <v>105</v>
      </c>
      <c r="B20" s="86">
        <f>H20+J20+L20+N20+P20+R20+T20+V20+X20+Z20+AB20+AD20</f>
        <v>52.688000000000002</v>
      </c>
      <c r="C20" s="84">
        <f>H20+J20+L20+N20+P20+R20+T20+V20+X20+Z20+AB20</f>
        <v>52.688000000000002</v>
      </c>
      <c r="D20" s="126">
        <f>52688/1000</f>
        <v>52.688000000000002</v>
      </c>
      <c r="E20" s="84">
        <f>I20+K20+M20+O20+Q20+S20+U20+W20+Y20+AA20+AC20</f>
        <v>52.432609999999997</v>
      </c>
      <c r="F20" s="106">
        <f>E20/B20</f>
        <v>0.99515278621317937</v>
      </c>
      <c r="G20" s="106">
        <f>E20/C20</f>
        <v>0.99515278621317937</v>
      </c>
      <c r="H20" s="108"/>
      <c r="I20" s="108"/>
      <c r="J20" s="108"/>
      <c r="K20" s="108"/>
      <c r="L20" s="110">
        <f>52688/1000</f>
        <v>52.688000000000002</v>
      </c>
      <c r="M20" s="108"/>
      <c r="N20" s="108"/>
      <c r="O20" s="108"/>
      <c r="P20" s="108"/>
      <c r="Q20" s="110">
        <f>4782.61/1000</f>
        <v>4.78261</v>
      </c>
      <c r="R20" s="108"/>
      <c r="S20" s="108">
        <v>0.49</v>
      </c>
      <c r="T20" s="108"/>
      <c r="U20" s="108"/>
      <c r="V20" s="108"/>
      <c r="W20" s="110">
        <v>47.16</v>
      </c>
      <c r="X20" s="108"/>
      <c r="Y20" s="108"/>
      <c r="Z20" s="108"/>
      <c r="AA20" s="108"/>
      <c r="AB20" s="108"/>
      <c r="AC20" s="108"/>
      <c r="AD20" s="108"/>
      <c r="AE20" s="108"/>
      <c r="AF20" s="221"/>
      <c r="AH20" s="36"/>
    </row>
    <row r="21" spans="1:34" s="35" customFormat="1">
      <c r="A21" s="72" t="s">
        <v>25</v>
      </c>
      <c r="B21" s="73">
        <f>B22+B23</f>
        <v>10652.2</v>
      </c>
      <c r="C21" s="73">
        <f>C22+C23</f>
        <v>10652.2</v>
      </c>
      <c r="D21" s="73">
        <f>D22+D23</f>
        <v>10640.49627</v>
      </c>
      <c r="E21" s="73">
        <f>E22+E23</f>
        <v>10478.512289999999</v>
      </c>
      <c r="F21" s="74">
        <f>E21/B21</f>
        <v>0.98369466307429432</v>
      </c>
      <c r="G21" s="74">
        <f>E21/C21</f>
        <v>0.98369466307429432</v>
      </c>
      <c r="H21" s="75">
        <f>H22+H23</f>
        <v>0</v>
      </c>
      <c r="I21" s="75">
        <f>I22+I23</f>
        <v>0</v>
      </c>
      <c r="J21" s="75">
        <f t="shared" ref="J21:AE21" si="5">J22+J23</f>
        <v>0</v>
      </c>
      <c r="K21" s="75">
        <f t="shared" si="5"/>
        <v>0</v>
      </c>
      <c r="L21" s="75">
        <f t="shared" si="5"/>
        <v>52.688000000000002</v>
      </c>
      <c r="M21" s="75">
        <f t="shared" si="5"/>
        <v>0</v>
      </c>
      <c r="N21" s="75">
        <f t="shared" si="5"/>
        <v>580.00900000000001</v>
      </c>
      <c r="O21" s="75">
        <f t="shared" si="5"/>
        <v>75.470759999999999</v>
      </c>
      <c r="P21" s="75">
        <f t="shared" si="5"/>
        <v>0</v>
      </c>
      <c r="Q21" s="75">
        <f t="shared" si="5"/>
        <v>11.58006</v>
      </c>
      <c r="R21" s="75">
        <f t="shared" si="5"/>
        <v>3454.576</v>
      </c>
      <c r="S21" s="75">
        <f t="shared" si="5"/>
        <v>3480.3528199999996</v>
      </c>
      <c r="T21" s="75">
        <f t="shared" si="5"/>
        <v>3131.5590000000002</v>
      </c>
      <c r="U21" s="75">
        <f t="shared" si="5"/>
        <v>3460.4103199999995</v>
      </c>
      <c r="V21" s="75">
        <f t="shared" si="5"/>
        <v>3433.3679999999999</v>
      </c>
      <c r="W21" s="75">
        <f t="shared" si="5"/>
        <v>3172.0983299999998</v>
      </c>
      <c r="X21" s="75">
        <f t="shared" si="5"/>
        <v>0</v>
      </c>
      <c r="Y21" s="75">
        <f t="shared" si="5"/>
        <v>278.60000000000002</v>
      </c>
      <c r="Z21" s="75">
        <f t="shared" si="5"/>
        <v>0</v>
      </c>
      <c r="AA21" s="75">
        <f t="shared" si="5"/>
        <v>0</v>
      </c>
      <c r="AB21" s="75">
        <f t="shared" si="5"/>
        <v>0</v>
      </c>
      <c r="AC21" s="75">
        <f t="shared" si="5"/>
        <v>0</v>
      </c>
      <c r="AD21" s="75">
        <f t="shared" si="5"/>
        <v>0</v>
      </c>
      <c r="AE21" s="75">
        <f t="shared" si="5"/>
        <v>0</v>
      </c>
      <c r="AF21" s="221"/>
      <c r="AH21" s="36"/>
    </row>
    <row r="22" spans="1:34" s="35" customFormat="1">
      <c r="A22" s="76" t="s">
        <v>104</v>
      </c>
      <c r="B22" s="77">
        <f>B15</f>
        <v>840</v>
      </c>
      <c r="C22" s="77">
        <f>C15</f>
        <v>840</v>
      </c>
      <c r="D22" s="77">
        <f>D15</f>
        <v>828.29727000000003</v>
      </c>
      <c r="E22" s="77">
        <f>E15</f>
        <v>828.29727000000003</v>
      </c>
      <c r="F22" s="79">
        <f>E22/B22</f>
        <v>0.98606817857142859</v>
      </c>
      <c r="G22" s="79">
        <f>E22/C22</f>
        <v>0.98606817857142859</v>
      </c>
      <c r="H22" s="77">
        <f>H15</f>
        <v>0</v>
      </c>
      <c r="I22" s="77">
        <f>I15</f>
        <v>0</v>
      </c>
      <c r="J22" s="77">
        <f t="shared" ref="J22:AD22" si="6">J15</f>
        <v>0</v>
      </c>
      <c r="K22" s="77">
        <f t="shared" si="6"/>
        <v>0</v>
      </c>
      <c r="L22" s="77">
        <f t="shared" si="6"/>
        <v>0</v>
      </c>
      <c r="M22" s="77">
        <f t="shared" si="6"/>
        <v>0</v>
      </c>
      <c r="N22" s="77">
        <f t="shared" si="6"/>
        <v>0</v>
      </c>
      <c r="O22" s="77">
        <f t="shared" si="6"/>
        <v>0</v>
      </c>
      <c r="P22" s="77">
        <f t="shared" si="6"/>
        <v>0</v>
      </c>
      <c r="Q22" s="77">
        <f t="shared" si="6"/>
        <v>0</v>
      </c>
      <c r="R22" s="77">
        <f t="shared" si="6"/>
        <v>0</v>
      </c>
      <c r="S22" s="77">
        <f t="shared" si="6"/>
        <v>0</v>
      </c>
      <c r="T22" s="77">
        <f t="shared" si="6"/>
        <v>280</v>
      </c>
      <c r="U22" s="77">
        <f t="shared" si="6"/>
        <v>275.87</v>
      </c>
      <c r="V22" s="77">
        <f t="shared" si="6"/>
        <v>560</v>
      </c>
      <c r="W22" s="77">
        <f t="shared" si="6"/>
        <v>273.82727</v>
      </c>
      <c r="X22" s="77">
        <f t="shared" si="6"/>
        <v>0</v>
      </c>
      <c r="Y22" s="77">
        <f t="shared" si="6"/>
        <v>278.60000000000002</v>
      </c>
      <c r="Z22" s="77">
        <f t="shared" si="6"/>
        <v>0</v>
      </c>
      <c r="AA22" s="77">
        <f t="shared" si="6"/>
        <v>0</v>
      </c>
      <c r="AB22" s="77">
        <f t="shared" si="6"/>
        <v>0</v>
      </c>
      <c r="AC22" s="77">
        <f t="shared" si="6"/>
        <v>0</v>
      </c>
      <c r="AD22" s="77">
        <f t="shared" si="6"/>
        <v>0</v>
      </c>
      <c r="AE22" s="77">
        <f>AE15</f>
        <v>0</v>
      </c>
      <c r="AF22" s="221"/>
      <c r="AH22" s="36"/>
    </row>
    <row r="23" spans="1:34" s="35" customFormat="1">
      <c r="A23" s="80" t="s">
        <v>105</v>
      </c>
      <c r="B23" s="81">
        <f>B16+B18+B20</f>
        <v>9812.2000000000007</v>
      </c>
      <c r="C23" s="81">
        <f>C16+C18+C20</f>
        <v>9812.2000000000007</v>
      </c>
      <c r="D23" s="81">
        <f t="shared" ref="D23:E23" si="7">D16+D18+D20</f>
        <v>9812.1990000000005</v>
      </c>
      <c r="E23" s="81">
        <f t="shared" si="7"/>
        <v>9650.2150199999996</v>
      </c>
      <c r="F23" s="83">
        <f>E23/B23</f>
        <v>0.98349147184117724</v>
      </c>
      <c r="G23" s="83">
        <f>E23/C23</f>
        <v>0.98349147184117724</v>
      </c>
      <c r="H23" s="81">
        <f>H16+H18+H20</f>
        <v>0</v>
      </c>
      <c r="I23" s="81">
        <f t="shared" ref="I23:AE23" si="8">I16+I18+I20</f>
        <v>0</v>
      </c>
      <c r="J23" s="81">
        <f t="shared" si="8"/>
        <v>0</v>
      </c>
      <c r="K23" s="81">
        <f t="shared" si="8"/>
        <v>0</v>
      </c>
      <c r="L23" s="81">
        <f t="shared" si="8"/>
        <v>52.688000000000002</v>
      </c>
      <c r="M23" s="81">
        <f t="shared" si="8"/>
        <v>0</v>
      </c>
      <c r="N23" s="81">
        <f t="shared" si="8"/>
        <v>580.00900000000001</v>
      </c>
      <c r="O23" s="81">
        <f t="shared" si="8"/>
        <v>75.470759999999999</v>
      </c>
      <c r="P23" s="81">
        <f t="shared" si="8"/>
        <v>0</v>
      </c>
      <c r="Q23" s="81">
        <f t="shared" si="8"/>
        <v>11.58006</v>
      </c>
      <c r="R23" s="81">
        <f t="shared" si="8"/>
        <v>3454.576</v>
      </c>
      <c r="S23" s="81">
        <f t="shared" si="8"/>
        <v>3480.3528199999996</v>
      </c>
      <c r="T23" s="81">
        <f t="shared" si="8"/>
        <v>2851.5590000000002</v>
      </c>
      <c r="U23" s="81">
        <f t="shared" si="8"/>
        <v>3184.5403199999996</v>
      </c>
      <c r="V23" s="81">
        <f t="shared" si="8"/>
        <v>2873.3679999999999</v>
      </c>
      <c r="W23" s="81">
        <f t="shared" si="8"/>
        <v>2898.27106</v>
      </c>
      <c r="X23" s="81">
        <f t="shared" si="8"/>
        <v>0</v>
      </c>
      <c r="Y23" s="81">
        <f t="shared" si="8"/>
        <v>0</v>
      </c>
      <c r="Z23" s="81">
        <f t="shared" si="8"/>
        <v>0</v>
      </c>
      <c r="AA23" s="81">
        <f t="shared" si="8"/>
        <v>0</v>
      </c>
      <c r="AB23" s="81">
        <f t="shared" si="8"/>
        <v>0</v>
      </c>
      <c r="AC23" s="81">
        <f t="shared" si="8"/>
        <v>0</v>
      </c>
      <c r="AD23" s="81">
        <f t="shared" si="8"/>
        <v>0</v>
      </c>
      <c r="AE23" s="81">
        <f t="shared" si="8"/>
        <v>0</v>
      </c>
      <c r="AF23" s="222"/>
      <c r="AH23" s="36"/>
    </row>
    <row r="24" spans="1:34" s="35" customFormat="1" ht="198.75" customHeight="1">
      <c r="A24" s="133" t="s">
        <v>113</v>
      </c>
      <c r="B24" s="139"/>
      <c r="C24" s="140"/>
      <c r="D24" s="140"/>
      <c r="E24" s="140"/>
      <c r="F24" s="141"/>
      <c r="G24" s="141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2"/>
      <c r="AF24" s="220" t="s">
        <v>160</v>
      </c>
      <c r="AH24" s="36"/>
    </row>
    <row r="25" spans="1:34" s="35" customFormat="1" ht="18.75" customHeight="1">
      <c r="A25" s="72" t="s">
        <v>25</v>
      </c>
      <c r="B25" s="73">
        <f>B27+B26</f>
        <v>1313.2</v>
      </c>
      <c r="C25" s="73">
        <f>C27+C26</f>
        <v>1313.2</v>
      </c>
      <c r="D25" s="73">
        <f>D27+D26</f>
        <v>1296.04999</v>
      </c>
      <c r="E25" s="73">
        <f>E27+E26</f>
        <v>1250.79134</v>
      </c>
      <c r="F25" s="74">
        <f>E25/B25</f>
        <v>0.95247589095339624</v>
      </c>
      <c r="G25" s="74">
        <f>E25/C25</f>
        <v>0.95247589095339624</v>
      </c>
      <c r="H25" s="73">
        <f>H27+H26</f>
        <v>0</v>
      </c>
      <c r="I25" s="73">
        <f t="shared" ref="I25:AE25" si="9">I27+I26</f>
        <v>0</v>
      </c>
      <c r="J25" s="73">
        <f t="shared" si="9"/>
        <v>147.71600000000001</v>
      </c>
      <c r="K25" s="73">
        <f t="shared" si="9"/>
        <v>129.91938000000002</v>
      </c>
      <c r="L25" s="73">
        <f t="shared" si="9"/>
        <v>160.98699999999999</v>
      </c>
      <c r="M25" s="73">
        <f t="shared" si="9"/>
        <v>163.38325</v>
      </c>
      <c r="N25" s="73">
        <f t="shared" si="9"/>
        <v>189.02826000000002</v>
      </c>
      <c r="O25" s="73">
        <f t="shared" si="9"/>
        <v>183.77611999999999</v>
      </c>
      <c r="P25" s="73">
        <f t="shared" si="9"/>
        <v>209.667</v>
      </c>
      <c r="Q25" s="73">
        <f t="shared" si="9"/>
        <v>210.67355000000001</v>
      </c>
      <c r="R25" s="73">
        <f t="shared" si="9"/>
        <v>1.6</v>
      </c>
      <c r="S25" s="73">
        <f t="shared" si="9"/>
        <v>0</v>
      </c>
      <c r="T25" s="73">
        <f t="shared" si="9"/>
        <v>0</v>
      </c>
      <c r="U25" s="73">
        <f t="shared" si="9"/>
        <v>0</v>
      </c>
      <c r="V25" s="73">
        <f t="shared" si="9"/>
        <v>0</v>
      </c>
      <c r="W25" s="73">
        <f t="shared" si="9"/>
        <v>0</v>
      </c>
      <c r="X25" s="73">
        <f t="shared" si="9"/>
        <v>207.22800000000001</v>
      </c>
      <c r="Y25" s="73">
        <f t="shared" si="9"/>
        <v>204.20670000000001</v>
      </c>
      <c r="Z25" s="73">
        <f t="shared" si="9"/>
        <v>206.05800000000002</v>
      </c>
      <c r="AA25" s="73">
        <f t="shared" si="9"/>
        <v>211.16945999999999</v>
      </c>
      <c r="AB25" s="73">
        <f t="shared" si="9"/>
        <v>190.91574</v>
      </c>
      <c r="AC25" s="73">
        <f t="shared" si="9"/>
        <v>147.66288000000003</v>
      </c>
      <c r="AD25" s="73">
        <f t="shared" si="9"/>
        <v>0</v>
      </c>
      <c r="AE25" s="73">
        <f t="shared" si="9"/>
        <v>0</v>
      </c>
      <c r="AF25" s="221"/>
      <c r="AG25" s="127"/>
      <c r="AH25" s="151"/>
    </row>
    <row r="26" spans="1:34" s="35" customFormat="1" ht="18.75" customHeight="1">
      <c r="A26" s="76" t="s">
        <v>104</v>
      </c>
      <c r="B26" s="77">
        <f>H26+J26+L26+N26+P26+R26+T26+V26+X26+Z26+AB26+AD26</f>
        <v>113.39999999999999</v>
      </c>
      <c r="C26" s="78">
        <f>H26+J26+L26+N26+P26+R26+T26+V26+X26+Z26+AB26</f>
        <v>113.39999999999999</v>
      </c>
      <c r="D26" s="84">
        <f>96249.99/1000</f>
        <v>96.249990000000011</v>
      </c>
      <c r="E26" s="78">
        <f>I26+K26+M26+O26+Q26+S26+U26+W26+Y26+AA26+AC26</f>
        <v>96.249989999999997</v>
      </c>
      <c r="F26" s="79">
        <f>E26/B26</f>
        <v>0.84876534391534397</v>
      </c>
      <c r="G26" s="79">
        <f>E26/C26</f>
        <v>0.84876534391534397</v>
      </c>
      <c r="H26" s="78">
        <v>0</v>
      </c>
      <c r="I26" s="78">
        <v>0</v>
      </c>
      <c r="J26" s="78">
        <f>14000/1000</f>
        <v>14</v>
      </c>
      <c r="K26" s="78"/>
      <c r="L26" s="78">
        <f>15400/1000</f>
        <v>15.4</v>
      </c>
      <c r="M26" s="78">
        <f>13999.99/1000</f>
        <v>13.99999</v>
      </c>
      <c r="N26" s="78">
        <f>16800/1000</f>
        <v>16.8</v>
      </c>
      <c r="O26" s="78">
        <f>15400/1000</f>
        <v>15.4</v>
      </c>
      <c r="P26" s="78">
        <f>16800/1000</f>
        <v>16.8</v>
      </c>
      <c r="Q26" s="78">
        <f>16800/1000</f>
        <v>16.8</v>
      </c>
      <c r="R26" s="78"/>
      <c r="S26" s="78">
        <v>16.8</v>
      </c>
      <c r="T26" s="78"/>
      <c r="U26" s="78"/>
      <c r="V26" s="78"/>
      <c r="W26" s="78"/>
      <c r="X26" s="78">
        <f>16800/1000</f>
        <v>16.8</v>
      </c>
      <c r="Y26" s="78"/>
      <c r="Z26" s="78">
        <f>16800/1000</f>
        <v>16.8</v>
      </c>
      <c r="AA26" s="78">
        <f>16450/1000</f>
        <v>16.45</v>
      </c>
      <c r="AB26" s="78">
        <f>16800/1000</f>
        <v>16.8</v>
      </c>
      <c r="AC26" s="78">
        <f>16800/1000</f>
        <v>16.8</v>
      </c>
      <c r="AD26" s="78"/>
      <c r="AE26" s="78"/>
      <c r="AF26" s="221"/>
      <c r="AG26" s="37"/>
      <c r="AH26" s="151"/>
    </row>
    <row r="27" spans="1:34" s="35" customFormat="1" ht="68.25" customHeight="1">
      <c r="A27" s="80" t="s">
        <v>105</v>
      </c>
      <c r="B27" s="81">
        <f>H27+J27+L27+N27+P27+R27+T27+V27+X27+Z27+AB27+AD27</f>
        <v>1199.8</v>
      </c>
      <c r="C27" s="82">
        <f>H27+J27+L27+N27+P27+R27+T27+V27+X27+Z27+AB27</f>
        <v>1199.8</v>
      </c>
      <c r="D27" s="82">
        <f>1199800/1000</f>
        <v>1199.8</v>
      </c>
      <c r="E27" s="82">
        <f>I27+K27+M27+O27+Q27+S27+U27+W27+Y27+AA27+AC27</f>
        <v>1154.54135</v>
      </c>
      <c r="F27" s="83">
        <f>E27/B27</f>
        <v>0.96227817136189364</v>
      </c>
      <c r="G27" s="83">
        <f>E27/C27</f>
        <v>0.96227817136189364</v>
      </c>
      <c r="H27" s="82">
        <v>0</v>
      </c>
      <c r="I27" s="82">
        <v>0</v>
      </c>
      <c r="J27" s="82">
        <f>133716/1000</f>
        <v>133.71600000000001</v>
      </c>
      <c r="K27" s="82">
        <f>129919.38/1000</f>
        <v>129.91938000000002</v>
      </c>
      <c r="L27" s="82">
        <f>145587/1000</f>
        <v>145.58699999999999</v>
      </c>
      <c r="M27" s="82">
        <f>149383.26/1000</f>
        <v>149.38326000000001</v>
      </c>
      <c r="N27" s="82">
        <f>172228.26/1000</f>
        <v>172.22826000000001</v>
      </c>
      <c r="O27" s="82">
        <f>168376.12/1000</f>
        <v>168.37611999999999</v>
      </c>
      <c r="P27" s="82">
        <f>192867/1000</f>
        <v>192.86699999999999</v>
      </c>
      <c r="Q27" s="82">
        <f>193873.55/1000</f>
        <v>193.87354999999999</v>
      </c>
      <c r="R27" s="82">
        <f>1600/1000</f>
        <v>1.6</v>
      </c>
      <c r="S27" s="82">
        <v>-16.8</v>
      </c>
      <c r="T27" s="82"/>
      <c r="U27" s="82"/>
      <c r="V27" s="82"/>
      <c r="W27" s="82"/>
      <c r="X27" s="82">
        <f>190428/1000</f>
        <v>190.428</v>
      </c>
      <c r="Y27" s="82">
        <f>204206.7/1000</f>
        <v>204.20670000000001</v>
      </c>
      <c r="Z27" s="82">
        <f>189258/1000</f>
        <v>189.25800000000001</v>
      </c>
      <c r="AA27" s="82">
        <f>194719.46/1000</f>
        <v>194.71946</v>
      </c>
      <c r="AB27" s="82">
        <f>174115.74/1000</f>
        <v>174.11573999999999</v>
      </c>
      <c r="AC27" s="82">
        <f>130862.88/1000</f>
        <v>130.86288000000002</v>
      </c>
      <c r="AD27" s="82"/>
      <c r="AE27" s="82"/>
      <c r="AF27" s="222"/>
      <c r="AG27" s="37"/>
      <c r="AH27" s="36"/>
    </row>
    <row r="28" spans="1:34" s="35" customFormat="1" ht="114.75" customHeight="1">
      <c r="A28" s="133" t="s">
        <v>114</v>
      </c>
      <c r="B28" s="143"/>
      <c r="C28" s="140"/>
      <c r="D28" s="140"/>
      <c r="E28" s="140"/>
      <c r="F28" s="141"/>
      <c r="G28" s="141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2"/>
      <c r="AF28" s="220" t="s">
        <v>161</v>
      </c>
      <c r="AG28" s="127"/>
      <c r="AH28" s="36"/>
    </row>
    <row r="29" spans="1:34" s="35" customFormat="1" ht="54.75" customHeight="1">
      <c r="A29" s="112" t="s">
        <v>120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225"/>
      <c r="AH29" s="36"/>
    </row>
    <row r="30" spans="1:34" s="35" customFormat="1" ht="25.5" customHeight="1">
      <c r="A30" s="100" t="s">
        <v>121</v>
      </c>
      <c r="B30" s="105">
        <f>B32+B31</f>
        <v>1552.1</v>
      </c>
      <c r="C30" s="105">
        <f>C32+C31</f>
        <v>1552.1</v>
      </c>
      <c r="D30" s="105">
        <f>D32+D31</f>
        <v>854.42569000000003</v>
      </c>
      <c r="E30" s="105">
        <f>E32+E31</f>
        <v>842.45479</v>
      </c>
      <c r="F30" s="104">
        <f>E30/B30</f>
        <v>0.54278383480445846</v>
      </c>
      <c r="G30" s="104">
        <f>E30/C30</f>
        <v>0.54278383480445846</v>
      </c>
      <c r="H30" s="85">
        <f>H32+H31</f>
        <v>0</v>
      </c>
      <c r="I30" s="85">
        <f>I32+I31</f>
        <v>0</v>
      </c>
      <c r="J30" s="85">
        <f t="shared" ref="J30:AE30" si="10">J32+J31</f>
        <v>232.21299999999999</v>
      </c>
      <c r="K30" s="85">
        <f t="shared" si="10"/>
        <v>14.339270000000001</v>
      </c>
      <c r="L30" s="85">
        <f t="shared" si="10"/>
        <v>202.69200000000001</v>
      </c>
      <c r="M30" s="85">
        <f t="shared" si="10"/>
        <v>59.977069999999998</v>
      </c>
      <c r="N30" s="85">
        <f t="shared" si="10"/>
        <v>216.94578999999999</v>
      </c>
      <c r="O30" s="85">
        <f t="shared" si="10"/>
        <v>167.07265999999998</v>
      </c>
      <c r="P30" s="85">
        <f t="shared" si="10"/>
        <v>153.816</v>
      </c>
      <c r="Q30" s="85">
        <f t="shared" si="10"/>
        <v>123.53781000000001</v>
      </c>
      <c r="R30" s="85">
        <f t="shared" si="10"/>
        <v>166.881</v>
      </c>
      <c r="S30" s="85">
        <f t="shared" si="10"/>
        <v>120.02308000000001</v>
      </c>
      <c r="T30" s="85">
        <f t="shared" si="10"/>
        <v>160.87899999999999</v>
      </c>
      <c r="U30" s="85">
        <f t="shared" si="10"/>
        <v>112.65867</v>
      </c>
      <c r="V30" s="85">
        <f t="shared" si="10"/>
        <v>127.925</v>
      </c>
      <c r="W30" s="85">
        <f t="shared" si="10"/>
        <v>122.47253000000001</v>
      </c>
      <c r="X30" s="85">
        <f t="shared" si="10"/>
        <v>127.828</v>
      </c>
      <c r="Y30" s="85">
        <f t="shared" si="10"/>
        <v>62.525980000000004</v>
      </c>
      <c r="Z30" s="85">
        <f t="shared" si="10"/>
        <v>162.92021</v>
      </c>
      <c r="AA30" s="85">
        <f t="shared" si="10"/>
        <v>55.909619999999997</v>
      </c>
      <c r="AB30" s="85">
        <f t="shared" si="10"/>
        <v>0</v>
      </c>
      <c r="AC30" s="85">
        <f t="shared" si="10"/>
        <v>3.9381000000000004</v>
      </c>
      <c r="AD30" s="85">
        <f t="shared" si="10"/>
        <v>0</v>
      </c>
      <c r="AE30" s="85">
        <f t="shared" si="10"/>
        <v>0</v>
      </c>
      <c r="AF30" s="225"/>
      <c r="AH30" s="36"/>
    </row>
    <row r="31" spans="1:34" s="35" customFormat="1" ht="48" customHeight="1">
      <c r="A31" s="101" t="s">
        <v>104</v>
      </c>
      <c r="B31" s="86">
        <f>H31+J31+L31+N31+P31+R31+T31+V31+X31+Z31+AB31+AD31</f>
        <v>477.4</v>
      </c>
      <c r="C31" s="84">
        <f>H31+J31+L31+N31+P31+R31+T31+V31+X31+Z31+AB31</f>
        <v>477.4</v>
      </c>
      <c r="D31" s="84">
        <f>399897.49/1000</f>
        <v>399.89749</v>
      </c>
      <c r="E31" s="84">
        <f>I31+K31+M31+O31+Q31+S31+U31+W31+Y31+AA31+AC31</f>
        <v>399.89748999999995</v>
      </c>
      <c r="F31" s="106">
        <f>E31/B31</f>
        <v>0.83765708001675732</v>
      </c>
      <c r="G31" s="106">
        <f>E31/C31</f>
        <v>0.83765708001675732</v>
      </c>
      <c r="H31" s="109"/>
      <c r="I31" s="108"/>
      <c r="J31" s="110">
        <f>63636/1000</f>
        <v>63.636000000000003</v>
      </c>
      <c r="K31" s="108"/>
      <c r="L31" s="110">
        <f>127272/1000</f>
        <v>127.27200000000001</v>
      </c>
      <c r="M31" s="110">
        <f>25956.79/1000</f>
        <v>25.956790000000002</v>
      </c>
      <c r="N31" s="110">
        <f>108765.79/1000</f>
        <v>108.76579</v>
      </c>
      <c r="O31" s="110">
        <f>61249.65/1000</f>
        <v>61.249650000000003</v>
      </c>
      <c r="P31" s="110"/>
      <c r="Q31" s="110">
        <f>76514.71/1000</f>
        <v>76.514710000000008</v>
      </c>
      <c r="R31" s="110"/>
      <c r="S31" s="110">
        <f>66817.8/1000</f>
        <v>66.817800000000005</v>
      </c>
      <c r="T31" s="110"/>
      <c r="U31" s="110">
        <f>44545.2/1000</f>
        <v>44.545199999999994</v>
      </c>
      <c r="V31" s="110">
        <f>31815/1000</f>
        <v>31.815000000000001</v>
      </c>
      <c r="W31" s="110">
        <f>56404.64/1000</f>
        <v>56.404640000000001</v>
      </c>
      <c r="X31" s="110">
        <f>63633/1000</f>
        <v>63.633000000000003</v>
      </c>
      <c r="Y31" s="110">
        <f>31818/1000</f>
        <v>31.818000000000001</v>
      </c>
      <c r="Z31" s="110">
        <f>82278.21/1000</f>
        <v>82.278210000000001</v>
      </c>
      <c r="AA31" s="110">
        <f>20681.7/1000</f>
        <v>20.681699999999999</v>
      </c>
      <c r="AB31" s="108"/>
      <c r="AC31" s="110">
        <f>15909/1000</f>
        <v>15.909000000000001</v>
      </c>
      <c r="AD31" s="108"/>
      <c r="AE31" s="108"/>
      <c r="AF31" s="226"/>
      <c r="AH31" s="36"/>
    </row>
    <row r="32" spans="1:34" s="35" customFormat="1" ht="23.25" customHeight="1">
      <c r="A32" s="101" t="s">
        <v>105</v>
      </c>
      <c r="B32" s="86">
        <f>H32+J32+L32+N32+P32+R32+T32+V32+X32+Z32+AB32+AD32</f>
        <v>1074.7</v>
      </c>
      <c r="C32" s="84">
        <f>H32+J32+L32+N32+P32+R32+T32+V32+X32+Z32+AB32</f>
        <v>1074.7</v>
      </c>
      <c r="D32" s="84">
        <f>454528.2/1000</f>
        <v>454.52820000000003</v>
      </c>
      <c r="E32" s="84">
        <f>I32+K32+M32+O32+Q32+S32+U32+W32+Y32+AA32+AC32</f>
        <v>442.55730000000005</v>
      </c>
      <c r="F32" s="106">
        <f>E32/B32</f>
        <v>0.41179612915232161</v>
      </c>
      <c r="G32" s="106">
        <f>E32/C32</f>
        <v>0.41179612915232161</v>
      </c>
      <c r="H32" s="108"/>
      <c r="I32" s="108"/>
      <c r="J32" s="110">
        <f>(189577-21000)/1000</f>
        <v>168.577</v>
      </c>
      <c r="K32" s="110">
        <f>14339.27/1000</f>
        <v>14.339270000000001</v>
      </c>
      <c r="L32" s="110">
        <f>(36706+38714)/1000</f>
        <v>75.42</v>
      </c>
      <c r="M32" s="110">
        <f>34020.28/1000</f>
        <v>34.02028</v>
      </c>
      <c r="N32" s="110">
        <f>(54934+53246)/1000</f>
        <v>108.18</v>
      </c>
      <c r="O32" s="110">
        <f>(105823.01)/1000</f>
        <v>105.82301</v>
      </c>
      <c r="P32" s="110">
        <f>(174816-21000)/1000</f>
        <v>153.816</v>
      </c>
      <c r="Q32" s="110">
        <f>47023.1/1000</f>
        <v>47.023099999999999</v>
      </c>
      <c r="R32" s="110">
        <f>(166881)/1000</f>
        <v>166.881</v>
      </c>
      <c r="S32" s="110">
        <f>53205.28/1000</f>
        <v>53.205280000000002</v>
      </c>
      <c r="T32" s="110">
        <f>(160879)/1000</f>
        <v>160.87899999999999</v>
      </c>
      <c r="U32" s="110">
        <f>68113.47/1000</f>
        <v>68.113470000000007</v>
      </c>
      <c r="V32" s="108">
        <f>(106610-10500)/1000</f>
        <v>96.11</v>
      </c>
      <c r="W32" s="110">
        <f>66067.89/1000</f>
        <v>66.067890000000006</v>
      </c>
      <c r="X32" s="110">
        <f>(64195)/1000</f>
        <v>64.194999999999993</v>
      </c>
      <c r="Y32" s="110">
        <f>30707.98/1000</f>
        <v>30.707979999999999</v>
      </c>
      <c r="Z32" s="110">
        <f>(80642)/1000</f>
        <v>80.641999999999996</v>
      </c>
      <c r="AA32" s="110">
        <f>35227.92/1000</f>
        <v>35.227919999999997</v>
      </c>
      <c r="AB32" s="108"/>
      <c r="AC32" s="110">
        <f>-11970.9/1000</f>
        <v>-11.9709</v>
      </c>
      <c r="AD32" s="108"/>
      <c r="AE32" s="108"/>
      <c r="AF32" s="203" t="s">
        <v>145</v>
      </c>
      <c r="AG32" s="127"/>
      <c r="AH32" s="151"/>
    </row>
    <row r="33" spans="1:34" s="35" customFormat="1" ht="101.25" customHeight="1">
      <c r="A33" s="112" t="s">
        <v>122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225"/>
      <c r="AH33" s="151"/>
    </row>
    <row r="34" spans="1:34" s="35" customFormat="1" ht="22.5" customHeight="1">
      <c r="A34" s="101" t="s">
        <v>105</v>
      </c>
      <c r="B34" s="86">
        <f>H34+J34+L34+N34+P34+R34+T34+V34+X34+Z34+AB34+AD34</f>
        <v>52.5</v>
      </c>
      <c r="C34" s="84">
        <f>H34+J34+L34+N34+P34+R34+T34+V34+X34+Z34+AB34</f>
        <v>52.5</v>
      </c>
      <c r="D34" s="84">
        <f>(42000-15750)/1000</f>
        <v>26.25</v>
      </c>
      <c r="E34" s="84">
        <f>I34+K34+M34+O34+Q34+S34+U34+W34+Y34+AA34+AC34</f>
        <v>19.40625</v>
      </c>
      <c r="F34" s="106">
        <f>E34/B34</f>
        <v>0.36964285714285716</v>
      </c>
      <c r="G34" s="106">
        <f>E34/C34</f>
        <v>0.36964285714285716</v>
      </c>
      <c r="H34" s="108"/>
      <c r="I34" s="108"/>
      <c r="J34" s="109">
        <f>(21000)/1000</f>
        <v>21</v>
      </c>
      <c r="K34" s="108"/>
      <c r="L34" s="108"/>
      <c r="M34" s="108"/>
      <c r="N34" s="108"/>
      <c r="O34" s="110">
        <f>9149.25/1000</f>
        <v>9.1492500000000003</v>
      </c>
      <c r="P34" s="109">
        <f>(21000)/1000</f>
        <v>21</v>
      </c>
      <c r="Q34" s="108"/>
      <c r="R34" s="108"/>
      <c r="S34" s="110">
        <f>3419/1000</f>
        <v>3.419</v>
      </c>
      <c r="T34" s="108"/>
      <c r="U34" s="110">
        <f>3419/1000</f>
        <v>3.419</v>
      </c>
      <c r="V34" s="110">
        <f>(10500)/1000</f>
        <v>10.5</v>
      </c>
      <c r="W34" s="108"/>
      <c r="X34" s="108"/>
      <c r="Y34" s="110">
        <f>2568/1000</f>
        <v>2.5680000000000001</v>
      </c>
      <c r="Z34" s="108"/>
      <c r="AA34" s="110">
        <f>851/1000</f>
        <v>0.85099999999999998</v>
      </c>
      <c r="AB34" s="108"/>
      <c r="AC34" s="108"/>
      <c r="AD34" s="108"/>
      <c r="AE34" s="108"/>
      <c r="AF34" s="225"/>
      <c r="AH34" s="36"/>
    </row>
    <row r="35" spans="1:34" s="35" customFormat="1" ht="20.25">
      <c r="A35" s="72" t="s">
        <v>25</v>
      </c>
      <c r="B35" s="73">
        <f>B36+B37</f>
        <v>1604.6</v>
      </c>
      <c r="C35" s="73">
        <f>C36+C37</f>
        <v>1604.6</v>
      </c>
      <c r="D35" s="73">
        <f>D36+D37</f>
        <v>880.67569000000003</v>
      </c>
      <c r="E35" s="73">
        <f>E36+E37</f>
        <v>861.86104</v>
      </c>
      <c r="F35" s="74">
        <f>E35/B35</f>
        <v>0.53711893306743119</v>
      </c>
      <c r="G35" s="74">
        <f>E35/C35</f>
        <v>0.53711893306743119</v>
      </c>
      <c r="H35" s="75">
        <f>H36+H37</f>
        <v>0</v>
      </c>
      <c r="I35" s="75">
        <f t="shared" ref="I35:AE35" si="11">I36+I37</f>
        <v>0</v>
      </c>
      <c r="J35" s="75">
        <f t="shared" si="11"/>
        <v>253.21299999999999</v>
      </c>
      <c r="K35" s="75">
        <f t="shared" si="11"/>
        <v>14.339270000000001</v>
      </c>
      <c r="L35" s="75">
        <f t="shared" si="11"/>
        <v>202.69200000000001</v>
      </c>
      <c r="M35" s="75">
        <f t="shared" si="11"/>
        <v>59.977069999999998</v>
      </c>
      <c r="N35" s="75">
        <f t="shared" si="11"/>
        <v>216.94578999999999</v>
      </c>
      <c r="O35" s="75">
        <f t="shared" si="11"/>
        <v>176.22190999999998</v>
      </c>
      <c r="P35" s="75">
        <f t="shared" si="11"/>
        <v>174.816</v>
      </c>
      <c r="Q35" s="75">
        <f t="shared" si="11"/>
        <v>123.53781000000001</v>
      </c>
      <c r="R35" s="75">
        <f t="shared" si="11"/>
        <v>166.881</v>
      </c>
      <c r="S35" s="75">
        <f t="shared" si="11"/>
        <v>123.44208</v>
      </c>
      <c r="T35" s="75">
        <f t="shared" si="11"/>
        <v>160.87899999999999</v>
      </c>
      <c r="U35" s="75">
        <f t="shared" si="11"/>
        <v>116.07767</v>
      </c>
      <c r="V35" s="75">
        <f t="shared" si="11"/>
        <v>138.42500000000001</v>
      </c>
      <c r="W35" s="75">
        <f t="shared" si="11"/>
        <v>122.47253000000001</v>
      </c>
      <c r="X35" s="75">
        <f t="shared" si="11"/>
        <v>127.828</v>
      </c>
      <c r="Y35" s="75">
        <f t="shared" si="11"/>
        <v>65.093980000000002</v>
      </c>
      <c r="Z35" s="75">
        <f t="shared" si="11"/>
        <v>162.92021</v>
      </c>
      <c r="AA35" s="75">
        <f t="shared" si="11"/>
        <v>56.760619999999996</v>
      </c>
      <c r="AB35" s="75">
        <f t="shared" si="11"/>
        <v>0</v>
      </c>
      <c r="AC35" s="75">
        <f t="shared" si="11"/>
        <v>3.9381000000000004</v>
      </c>
      <c r="AD35" s="75">
        <f t="shared" si="11"/>
        <v>0</v>
      </c>
      <c r="AE35" s="75">
        <f t="shared" si="11"/>
        <v>0</v>
      </c>
      <c r="AF35" s="225"/>
      <c r="AG35" s="38"/>
      <c r="AH35" s="39"/>
    </row>
    <row r="36" spans="1:34" s="35" customFormat="1" ht="20.25" customHeight="1">
      <c r="A36" s="76" t="s">
        <v>104</v>
      </c>
      <c r="B36" s="86">
        <f>B31</f>
        <v>477.4</v>
      </c>
      <c r="C36" s="78">
        <f>C31</f>
        <v>477.4</v>
      </c>
      <c r="D36" s="78">
        <f>D31</f>
        <v>399.89749</v>
      </c>
      <c r="E36" s="78">
        <f>I36+K36+M36+O36+Q36+S36+U36+W36+Y36+AA36+AC36+AE36</f>
        <v>399.89748999999995</v>
      </c>
      <c r="F36" s="79">
        <f>E36/B36</f>
        <v>0.83765708001675732</v>
      </c>
      <c r="G36" s="79">
        <f>E36/C36</f>
        <v>0.83765708001675732</v>
      </c>
      <c r="H36" s="78">
        <f>H31</f>
        <v>0</v>
      </c>
      <c r="I36" s="78">
        <f t="shared" ref="I36:AE36" si="12">I31</f>
        <v>0</v>
      </c>
      <c r="J36" s="78">
        <f t="shared" si="12"/>
        <v>63.636000000000003</v>
      </c>
      <c r="K36" s="78">
        <f t="shared" si="12"/>
        <v>0</v>
      </c>
      <c r="L36" s="78">
        <f t="shared" si="12"/>
        <v>127.27200000000001</v>
      </c>
      <c r="M36" s="78">
        <f t="shared" si="12"/>
        <v>25.956790000000002</v>
      </c>
      <c r="N36" s="78">
        <f t="shared" si="12"/>
        <v>108.76579</v>
      </c>
      <c r="O36" s="78">
        <f t="shared" si="12"/>
        <v>61.249650000000003</v>
      </c>
      <c r="P36" s="78">
        <f t="shared" si="12"/>
        <v>0</v>
      </c>
      <c r="Q36" s="78">
        <f t="shared" si="12"/>
        <v>76.514710000000008</v>
      </c>
      <c r="R36" s="78">
        <f t="shared" si="12"/>
        <v>0</v>
      </c>
      <c r="S36" s="78">
        <f t="shared" si="12"/>
        <v>66.817800000000005</v>
      </c>
      <c r="T36" s="78">
        <f t="shared" si="12"/>
        <v>0</v>
      </c>
      <c r="U36" s="78">
        <f t="shared" si="12"/>
        <v>44.545199999999994</v>
      </c>
      <c r="V36" s="78">
        <f t="shared" si="12"/>
        <v>31.815000000000001</v>
      </c>
      <c r="W36" s="78">
        <f t="shared" si="12"/>
        <v>56.404640000000001</v>
      </c>
      <c r="X36" s="78">
        <f t="shared" si="12"/>
        <v>63.633000000000003</v>
      </c>
      <c r="Y36" s="78">
        <f t="shared" si="12"/>
        <v>31.818000000000001</v>
      </c>
      <c r="Z36" s="78">
        <f t="shared" si="12"/>
        <v>82.278210000000001</v>
      </c>
      <c r="AA36" s="78">
        <f t="shared" si="12"/>
        <v>20.681699999999999</v>
      </c>
      <c r="AB36" s="78">
        <f t="shared" si="12"/>
        <v>0</v>
      </c>
      <c r="AC36" s="78">
        <f t="shared" si="12"/>
        <v>15.909000000000001</v>
      </c>
      <c r="AD36" s="78">
        <f t="shared" si="12"/>
        <v>0</v>
      </c>
      <c r="AE36" s="78">
        <f t="shared" si="12"/>
        <v>0</v>
      </c>
      <c r="AF36" s="225"/>
      <c r="AG36" s="38"/>
      <c r="AH36" s="39"/>
    </row>
    <row r="37" spans="1:34" s="35" customFormat="1" ht="20.25">
      <c r="A37" s="80" t="s">
        <v>105</v>
      </c>
      <c r="B37" s="81">
        <f>B32+B34</f>
        <v>1127.2</v>
      </c>
      <c r="C37" s="81">
        <f>C32+C34</f>
        <v>1127.2</v>
      </c>
      <c r="D37" s="82">
        <f>D32+D34</f>
        <v>480.77820000000003</v>
      </c>
      <c r="E37" s="82">
        <f>I37+K37+M37+O37+Q37+S37+U37+W37+Y37+AA37+AC37+AE37</f>
        <v>461.96355000000005</v>
      </c>
      <c r="F37" s="83">
        <f>E37/B37</f>
        <v>0.40983281582682757</v>
      </c>
      <c r="G37" s="83">
        <f>E37/C37</f>
        <v>0.40983281582682757</v>
      </c>
      <c r="H37" s="82">
        <f>H32+H34</f>
        <v>0</v>
      </c>
      <c r="I37" s="82">
        <f t="shared" ref="I37:AE37" si="13">I32+I34</f>
        <v>0</v>
      </c>
      <c r="J37" s="82">
        <f t="shared" si="13"/>
        <v>189.577</v>
      </c>
      <c r="K37" s="82">
        <f t="shared" si="13"/>
        <v>14.339270000000001</v>
      </c>
      <c r="L37" s="82">
        <f t="shared" si="13"/>
        <v>75.42</v>
      </c>
      <c r="M37" s="82">
        <f t="shared" si="13"/>
        <v>34.02028</v>
      </c>
      <c r="N37" s="82">
        <f t="shared" si="13"/>
        <v>108.18</v>
      </c>
      <c r="O37" s="82">
        <f t="shared" si="13"/>
        <v>114.97225999999999</v>
      </c>
      <c r="P37" s="82">
        <f t="shared" si="13"/>
        <v>174.816</v>
      </c>
      <c r="Q37" s="82">
        <f t="shared" si="13"/>
        <v>47.023099999999999</v>
      </c>
      <c r="R37" s="82">
        <f t="shared" si="13"/>
        <v>166.881</v>
      </c>
      <c r="S37" s="82">
        <f t="shared" si="13"/>
        <v>56.624279999999999</v>
      </c>
      <c r="T37" s="82">
        <f t="shared" si="13"/>
        <v>160.87899999999999</v>
      </c>
      <c r="U37" s="82">
        <f t="shared" si="13"/>
        <v>71.532470000000004</v>
      </c>
      <c r="V37" s="82">
        <f t="shared" si="13"/>
        <v>106.61</v>
      </c>
      <c r="W37" s="82">
        <f t="shared" si="13"/>
        <v>66.067890000000006</v>
      </c>
      <c r="X37" s="82">
        <f t="shared" si="13"/>
        <v>64.194999999999993</v>
      </c>
      <c r="Y37" s="82">
        <f t="shared" si="13"/>
        <v>33.275979999999997</v>
      </c>
      <c r="Z37" s="82">
        <f t="shared" si="13"/>
        <v>80.641999999999996</v>
      </c>
      <c r="AA37" s="82">
        <f t="shared" si="13"/>
        <v>36.078919999999997</v>
      </c>
      <c r="AB37" s="82">
        <f t="shared" si="13"/>
        <v>0</v>
      </c>
      <c r="AC37" s="82">
        <f t="shared" si="13"/>
        <v>-11.9709</v>
      </c>
      <c r="AD37" s="82">
        <f t="shared" si="13"/>
        <v>0</v>
      </c>
      <c r="AE37" s="82">
        <f t="shared" si="13"/>
        <v>0</v>
      </c>
      <c r="AF37" s="226"/>
      <c r="AG37" s="38"/>
      <c r="AH37" s="39"/>
    </row>
    <row r="38" spans="1:34" s="35" customFormat="1" ht="91.5" customHeight="1">
      <c r="A38" s="133" t="s">
        <v>129</v>
      </c>
      <c r="B38" s="143"/>
      <c r="C38" s="140"/>
      <c r="D38" s="140"/>
      <c r="E38" s="140"/>
      <c r="F38" s="141"/>
      <c r="G38" s="141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2"/>
      <c r="AF38" s="220" t="s">
        <v>143</v>
      </c>
      <c r="AG38" s="127"/>
      <c r="AH38" s="36"/>
    </row>
    <row r="39" spans="1:34" s="35" customFormat="1" ht="33.75" hidden="1" customHeight="1">
      <c r="A39" s="112" t="s">
        <v>120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204"/>
      <c r="AH39" s="36"/>
    </row>
    <row r="40" spans="1:34" s="35" customFormat="1" ht="22.5" hidden="1" customHeight="1">
      <c r="A40" s="101" t="s">
        <v>105</v>
      </c>
      <c r="B40" s="86">
        <f>H40+J40+L40+N40+P40+R40+T40+V40+X40+Z40+AB40+AD40</f>
        <v>0</v>
      </c>
      <c r="C40" s="84">
        <f>H40+J40+L40</f>
        <v>0</v>
      </c>
      <c r="D40" s="84"/>
      <c r="E40" s="84">
        <f>I40+K40+M40+O40+Q40+S40+U40+W40+Y40+AA40+AC40+AE40</f>
        <v>0</v>
      </c>
      <c r="F40" s="106" t="e">
        <f>E40/B40</f>
        <v>#DIV/0!</v>
      </c>
      <c r="G40" s="106" t="e">
        <f>E40/C40</f>
        <v>#DIV/0!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204"/>
      <c r="AH40" s="36"/>
    </row>
    <row r="41" spans="1:34" s="35" customFormat="1" ht="89.25" hidden="1" customHeight="1">
      <c r="A41" s="112" t="s">
        <v>122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204"/>
      <c r="AH41" s="36"/>
    </row>
    <row r="42" spans="1:34" s="35" customFormat="1" ht="22.5" hidden="1" customHeight="1">
      <c r="A42" s="101" t="s">
        <v>105</v>
      </c>
      <c r="B42" s="86">
        <f>H42+J42+L42+N42+P42+R42+T42+V42+X42+Z42+AB42+AD42</f>
        <v>0</v>
      </c>
      <c r="C42" s="84">
        <f>H42+J42+L42</f>
        <v>0</v>
      </c>
      <c r="D42" s="84"/>
      <c r="E42" s="84">
        <f>I42+K42+M42+O42+Q42+S42+U42+W42+Y42+AA42+AC42+AE42</f>
        <v>0</v>
      </c>
      <c r="F42" s="106" t="e">
        <f>E42/B42</f>
        <v>#DIV/0!</v>
      </c>
      <c r="G42" s="106" t="e">
        <f>E42/C42</f>
        <v>#DIV/0!</v>
      </c>
      <c r="H42" s="108"/>
      <c r="I42" s="108"/>
      <c r="J42" s="109"/>
      <c r="K42" s="108"/>
      <c r="L42" s="108"/>
      <c r="M42" s="108"/>
      <c r="N42" s="108"/>
      <c r="O42" s="108"/>
      <c r="P42" s="109"/>
      <c r="Q42" s="108"/>
      <c r="R42" s="108"/>
      <c r="S42" s="108"/>
      <c r="T42" s="108"/>
      <c r="U42" s="108"/>
      <c r="V42" s="110"/>
      <c r="W42" s="108"/>
      <c r="X42" s="108"/>
      <c r="Y42" s="108"/>
      <c r="Z42" s="108"/>
      <c r="AA42" s="108"/>
      <c r="AB42" s="108"/>
      <c r="AC42" s="108"/>
      <c r="AD42" s="108"/>
      <c r="AE42" s="108"/>
      <c r="AF42" s="204"/>
      <c r="AH42" s="36"/>
    </row>
    <row r="43" spans="1:34" s="35" customFormat="1" ht="33.75" customHeight="1">
      <c r="A43" s="112" t="s">
        <v>120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204"/>
      <c r="AH43" s="36"/>
    </row>
    <row r="44" spans="1:34" s="35" customFormat="1" ht="22.5" customHeight="1">
      <c r="A44" s="101" t="s">
        <v>105</v>
      </c>
      <c r="B44" s="86">
        <f>H44+J44+L44+N44+P44+R44+T44+V44+X44+Z44+AB44+AD44</f>
        <v>1526.5562500000001</v>
      </c>
      <c r="C44" s="84">
        <f>H44+J44+L44+N44+P44+R44+T44+V44+X44+Z44+AB44</f>
        <v>1526.5562500000001</v>
      </c>
      <c r="D44" s="84">
        <f>1526556.25/1000</f>
        <v>1526.5562500000001</v>
      </c>
      <c r="E44" s="84">
        <f>I44+K44+M44+O44+Q44+S44+U44+W44+Y44+AA44+AC44</f>
        <v>1526.01828</v>
      </c>
      <c r="F44" s="106">
        <f>E44/B44</f>
        <v>0.99964759241593615</v>
      </c>
      <c r="G44" s="106">
        <f>E44/C44</f>
        <v>0.99964759241593615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10">
        <f>508824.75/1000</f>
        <v>508.82474999999999</v>
      </c>
      <c r="S44" s="110">
        <f>508824.18/1000</f>
        <v>508.82418000000001</v>
      </c>
      <c r="T44" s="110">
        <f>508824.75/1000</f>
        <v>508.82474999999999</v>
      </c>
      <c r="U44" s="110">
        <f>508825.19/1000</f>
        <v>508.82519000000002</v>
      </c>
      <c r="V44" s="110">
        <f>508906.75/1000</f>
        <v>508.90674999999999</v>
      </c>
      <c r="W44" s="110">
        <f>508368.91/1000</f>
        <v>508.36890999999997</v>
      </c>
      <c r="X44" s="108"/>
      <c r="Y44" s="108"/>
      <c r="Z44" s="108"/>
      <c r="AA44" s="108"/>
      <c r="AB44" s="108"/>
      <c r="AC44" s="108"/>
      <c r="AD44" s="108"/>
      <c r="AE44" s="108"/>
      <c r="AF44" s="204"/>
      <c r="AH44" s="36"/>
    </row>
    <row r="45" spans="1:34" s="35" customFormat="1" ht="102.75" customHeight="1">
      <c r="A45" s="112" t="s">
        <v>122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204"/>
      <c r="AH45" s="36"/>
    </row>
    <row r="46" spans="1:34" s="35" customFormat="1" ht="22.5" customHeight="1">
      <c r="A46" s="101" t="s">
        <v>105</v>
      </c>
      <c r="B46" s="86">
        <f>H46+J46+L46+N46+P46+R46+T46+V46+X46+Z46+AB46+AD46</f>
        <v>272.34375</v>
      </c>
      <c r="C46" s="84">
        <f>H46+J46+L46+N46+P46+R46+T46+V46+X46+Z46+AB46</f>
        <v>272.34375</v>
      </c>
      <c r="D46" s="84">
        <f>272343.75/1000</f>
        <v>272.34375</v>
      </c>
      <c r="E46" s="84">
        <f>I46+K46+M46+O46+Q46+S46+U46+W46+Y46+AA46+AC46</f>
        <v>135.30255</v>
      </c>
      <c r="F46" s="106">
        <f>E46/B46</f>
        <v>0.49680798623063682</v>
      </c>
      <c r="G46" s="106">
        <f>E46/C46</f>
        <v>0.49680798623063682</v>
      </c>
      <c r="H46" s="108"/>
      <c r="I46" s="108"/>
      <c r="J46" s="109"/>
      <c r="K46" s="108"/>
      <c r="L46" s="108"/>
      <c r="M46" s="108"/>
      <c r="N46" s="108">
        <f>45780/1000</f>
        <v>45.78</v>
      </c>
      <c r="O46" s="108"/>
      <c r="P46" s="109"/>
      <c r="Q46" s="108"/>
      <c r="R46" s="110">
        <f>75521.25/1000</f>
        <v>75.521249999999995</v>
      </c>
      <c r="S46" s="110">
        <f>76104.01/1000</f>
        <v>76.104009999999988</v>
      </c>
      <c r="T46" s="110">
        <f>75521.25/1000</f>
        <v>75.521249999999995</v>
      </c>
      <c r="U46" s="110">
        <f>37265.29/1000</f>
        <v>37.26529</v>
      </c>
      <c r="V46" s="110">
        <f>75521.25/1000</f>
        <v>75.521249999999995</v>
      </c>
      <c r="W46" s="110">
        <f>21933.25/1000</f>
        <v>21.933250000000001</v>
      </c>
      <c r="X46" s="108"/>
      <c r="Y46" s="108"/>
      <c r="Z46" s="108"/>
      <c r="AA46" s="108"/>
      <c r="AB46" s="108"/>
      <c r="AC46" s="108"/>
      <c r="AD46" s="108"/>
      <c r="AE46" s="108"/>
      <c r="AF46" s="204"/>
      <c r="AG46" s="127"/>
      <c r="AH46" s="36"/>
    </row>
    <row r="47" spans="1:34" s="35" customFormat="1" ht="20.25">
      <c r="A47" s="72" t="s">
        <v>25</v>
      </c>
      <c r="B47" s="73">
        <f>B48</f>
        <v>1798.9</v>
      </c>
      <c r="C47" s="73">
        <f t="shared" ref="C47:AE47" si="14">C48</f>
        <v>1798.9</v>
      </c>
      <c r="D47" s="73">
        <f t="shared" si="14"/>
        <v>1798.9</v>
      </c>
      <c r="E47" s="73">
        <f>E48</f>
        <v>1661.3208300000001</v>
      </c>
      <c r="F47" s="74">
        <f>E47/B47</f>
        <v>0.92352039023847909</v>
      </c>
      <c r="G47" s="74">
        <f>E47/C47</f>
        <v>0.92352039023847909</v>
      </c>
      <c r="H47" s="73">
        <f>H48</f>
        <v>0</v>
      </c>
      <c r="I47" s="73">
        <f>I48</f>
        <v>0</v>
      </c>
      <c r="J47" s="73">
        <f>J48</f>
        <v>0</v>
      </c>
      <c r="K47" s="73">
        <f t="shared" si="14"/>
        <v>0</v>
      </c>
      <c r="L47" s="73">
        <f t="shared" si="14"/>
        <v>0</v>
      </c>
      <c r="M47" s="73">
        <f t="shared" si="14"/>
        <v>0</v>
      </c>
      <c r="N47" s="73">
        <f t="shared" si="14"/>
        <v>45.78</v>
      </c>
      <c r="O47" s="73">
        <f t="shared" si="14"/>
        <v>0</v>
      </c>
      <c r="P47" s="73">
        <f>P48</f>
        <v>0</v>
      </c>
      <c r="Q47" s="73">
        <f t="shared" si="14"/>
        <v>0</v>
      </c>
      <c r="R47" s="73">
        <f t="shared" si="14"/>
        <v>584.346</v>
      </c>
      <c r="S47" s="73">
        <f t="shared" si="14"/>
        <v>584.92818999999997</v>
      </c>
      <c r="T47" s="73">
        <f t="shared" si="14"/>
        <v>584.346</v>
      </c>
      <c r="U47" s="73">
        <f t="shared" si="14"/>
        <v>546.09048000000007</v>
      </c>
      <c r="V47" s="73">
        <f t="shared" si="14"/>
        <v>584.428</v>
      </c>
      <c r="W47" s="73">
        <f t="shared" si="14"/>
        <v>530.30215999999996</v>
      </c>
      <c r="X47" s="73">
        <f t="shared" si="14"/>
        <v>0</v>
      </c>
      <c r="Y47" s="73">
        <f t="shared" si="14"/>
        <v>0</v>
      </c>
      <c r="Z47" s="73">
        <f t="shared" si="14"/>
        <v>0</v>
      </c>
      <c r="AA47" s="73">
        <f t="shared" si="14"/>
        <v>0</v>
      </c>
      <c r="AB47" s="73">
        <f t="shared" si="14"/>
        <v>0</v>
      </c>
      <c r="AC47" s="73">
        <f t="shared" si="14"/>
        <v>0</v>
      </c>
      <c r="AD47" s="73">
        <f t="shared" si="14"/>
        <v>0</v>
      </c>
      <c r="AE47" s="73">
        <f t="shared" si="14"/>
        <v>0</v>
      </c>
      <c r="AF47" s="205"/>
      <c r="AG47" s="38"/>
      <c r="AH47" s="36"/>
    </row>
    <row r="48" spans="1:34" s="35" customFormat="1" ht="19.5" customHeight="1">
      <c r="A48" s="89" t="s">
        <v>105</v>
      </c>
      <c r="B48" s="81">
        <f>B44+B46</f>
        <v>1798.9</v>
      </c>
      <c r="C48" s="82">
        <f>C46+C44</f>
        <v>1798.9</v>
      </c>
      <c r="D48" s="82">
        <f>D46+D44</f>
        <v>1798.9</v>
      </c>
      <c r="E48" s="82">
        <f>E46+E44</f>
        <v>1661.3208300000001</v>
      </c>
      <c r="F48" s="83">
        <f>E48/B48</f>
        <v>0.92352039023847909</v>
      </c>
      <c r="G48" s="83">
        <f>E48/C48</f>
        <v>0.92352039023847909</v>
      </c>
      <c r="H48" s="82">
        <f>H46+H44</f>
        <v>0</v>
      </c>
      <c r="I48" s="82">
        <f>I46+I44</f>
        <v>0</v>
      </c>
      <c r="J48" s="82">
        <f>J46+J44</f>
        <v>0</v>
      </c>
      <c r="K48" s="82">
        <f t="shared" ref="K48:AE48" si="15">K46+K44</f>
        <v>0</v>
      </c>
      <c r="L48" s="82">
        <f t="shared" si="15"/>
        <v>0</v>
      </c>
      <c r="M48" s="82">
        <f t="shared" si="15"/>
        <v>0</v>
      </c>
      <c r="N48" s="82">
        <f t="shared" si="15"/>
        <v>45.78</v>
      </c>
      <c r="O48" s="82">
        <f t="shared" si="15"/>
        <v>0</v>
      </c>
      <c r="P48" s="82">
        <f t="shared" si="15"/>
        <v>0</v>
      </c>
      <c r="Q48" s="82">
        <f t="shared" si="15"/>
        <v>0</v>
      </c>
      <c r="R48" s="82">
        <f t="shared" si="15"/>
        <v>584.346</v>
      </c>
      <c r="S48" s="82">
        <f t="shared" si="15"/>
        <v>584.92818999999997</v>
      </c>
      <c r="T48" s="82">
        <f t="shared" si="15"/>
        <v>584.346</v>
      </c>
      <c r="U48" s="82">
        <f t="shared" si="15"/>
        <v>546.09048000000007</v>
      </c>
      <c r="V48" s="82">
        <f t="shared" si="15"/>
        <v>584.428</v>
      </c>
      <c r="W48" s="82">
        <f t="shared" si="15"/>
        <v>530.30215999999996</v>
      </c>
      <c r="X48" s="82">
        <f t="shared" si="15"/>
        <v>0</v>
      </c>
      <c r="Y48" s="82">
        <f t="shared" si="15"/>
        <v>0</v>
      </c>
      <c r="Z48" s="82">
        <f t="shared" si="15"/>
        <v>0</v>
      </c>
      <c r="AA48" s="82">
        <f t="shared" si="15"/>
        <v>0</v>
      </c>
      <c r="AB48" s="82">
        <f t="shared" si="15"/>
        <v>0</v>
      </c>
      <c r="AC48" s="82">
        <f t="shared" si="15"/>
        <v>0</v>
      </c>
      <c r="AD48" s="82">
        <f t="shared" si="15"/>
        <v>0</v>
      </c>
      <c r="AE48" s="82">
        <f t="shared" si="15"/>
        <v>0</v>
      </c>
      <c r="AF48" s="82"/>
      <c r="AG48" s="38"/>
      <c r="AH48" s="39"/>
    </row>
    <row r="49" spans="1:171" s="35" customFormat="1" ht="91.5" customHeight="1">
      <c r="A49" s="133" t="s">
        <v>118</v>
      </c>
      <c r="B49" s="143"/>
      <c r="C49" s="140"/>
      <c r="D49" s="140"/>
      <c r="E49" s="140"/>
      <c r="F49" s="141"/>
      <c r="G49" s="141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2"/>
      <c r="AF49" s="148"/>
      <c r="AH49" s="36"/>
    </row>
    <row r="50" spans="1:171" s="35" customFormat="1">
      <c r="A50" s="72" t="s">
        <v>25</v>
      </c>
      <c r="B50" s="73">
        <f>B51</f>
        <v>0</v>
      </c>
      <c r="C50" s="73">
        <f t="shared" ref="C50:AE50" si="16">C51</f>
        <v>0</v>
      </c>
      <c r="D50" s="73">
        <f t="shared" si="16"/>
        <v>0</v>
      </c>
      <c r="E50" s="73">
        <f t="shared" si="16"/>
        <v>0</v>
      </c>
      <c r="F50" s="74">
        <f t="shared" si="16"/>
        <v>0</v>
      </c>
      <c r="G50" s="74">
        <f t="shared" si="16"/>
        <v>0</v>
      </c>
      <c r="H50" s="75">
        <f t="shared" si="16"/>
        <v>0</v>
      </c>
      <c r="I50" s="75">
        <f t="shared" si="16"/>
        <v>0</v>
      </c>
      <c r="J50" s="75">
        <f t="shared" si="16"/>
        <v>0</v>
      </c>
      <c r="K50" s="75">
        <f t="shared" si="16"/>
        <v>0</v>
      </c>
      <c r="L50" s="75">
        <f t="shared" si="16"/>
        <v>0</v>
      </c>
      <c r="M50" s="75">
        <f t="shared" si="16"/>
        <v>0</v>
      </c>
      <c r="N50" s="75">
        <f t="shared" si="16"/>
        <v>0</v>
      </c>
      <c r="O50" s="75">
        <f t="shared" si="16"/>
        <v>0</v>
      </c>
      <c r="P50" s="75">
        <f t="shared" si="16"/>
        <v>0</v>
      </c>
      <c r="Q50" s="75">
        <f t="shared" si="16"/>
        <v>0</v>
      </c>
      <c r="R50" s="75">
        <f t="shared" si="16"/>
        <v>0</v>
      </c>
      <c r="S50" s="75">
        <f t="shared" si="16"/>
        <v>0</v>
      </c>
      <c r="T50" s="75">
        <f t="shared" si="16"/>
        <v>0</v>
      </c>
      <c r="U50" s="75">
        <f t="shared" si="16"/>
        <v>0</v>
      </c>
      <c r="V50" s="75">
        <f t="shared" si="16"/>
        <v>0</v>
      </c>
      <c r="W50" s="75">
        <f t="shared" si="16"/>
        <v>0</v>
      </c>
      <c r="X50" s="75">
        <f t="shared" si="16"/>
        <v>0</v>
      </c>
      <c r="Y50" s="75">
        <f t="shared" si="16"/>
        <v>0</v>
      </c>
      <c r="Z50" s="75">
        <f t="shared" si="16"/>
        <v>0</v>
      </c>
      <c r="AA50" s="75">
        <f t="shared" si="16"/>
        <v>0</v>
      </c>
      <c r="AB50" s="75">
        <f t="shared" si="16"/>
        <v>0</v>
      </c>
      <c r="AC50" s="75">
        <f t="shared" si="16"/>
        <v>0</v>
      </c>
      <c r="AD50" s="75">
        <f t="shared" si="16"/>
        <v>0</v>
      </c>
      <c r="AE50" s="92">
        <f t="shared" si="16"/>
        <v>0</v>
      </c>
      <c r="AF50" s="40"/>
      <c r="AH50" s="36"/>
    </row>
    <row r="51" spans="1:171" s="33" customFormat="1" ht="23.25" customHeight="1" thickBot="1">
      <c r="A51" s="115" t="s">
        <v>105</v>
      </c>
      <c r="B51" s="116">
        <f>H51+J51+L51+N51+P51+R51+T51+V51+X51+Z51+AB51+AD51</f>
        <v>0</v>
      </c>
      <c r="C51" s="118">
        <f>H51+J51+L51+N51+P51+R51+T51+V51</f>
        <v>0</v>
      </c>
      <c r="D51" s="118">
        <f>H51+J51+L51+N51+P51+R51+T51+V51</f>
        <v>0</v>
      </c>
      <c r="E51" s="118">
        <f>I51+K51+M51+O51+Q51+S51+U51+W51+Y51+AA51+AC51+AE51</f>
        <v>0</v>
      </c>
      <c r="F51" s="117"/>
      <c r="G51" s="117"/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18">
        <v>0</v>
      </c>
      <c r="Q51" s="118">
        <v>0</v>
      </c>
      <c r="R51" s="118">
        <v>0</v>
      </c>
      <c r="S51" s="118">
        <v>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>
        <v>0</v>
      </c>
      <c r="AD51" s="118">
        <v>0</v>
      </c>
      <c r="AE51" s="118">
        <v>0</v>
      </c>
      <c r="AF51" s="118"/>
      <c r="AH51" s="34"/>
    </row>
    <row r="52" spans="1:171" s="35" customFormat="1" ht="21.75" customHeight="1">
      <c r="A52" s="144" t="s">
        <v>106</v>
      </c>
      <c r="B52" s="145">
        <f>B53+B54</f>
        <v>15368.9</v>
      </c>
      <c r="C52" s="145">
        <f>C53+C54</f>
        <v>15368.9</v>
      </c>
      <c r="D52" s="145">
        <f>D53+D54</f>
        <v>14616.121950000001</v>
      </c>
      <c r="E52" s="145">
        <f t="shared" ref="E52:AC52" si="17">E53+E54</f>
        <v>14252.485500000001</v>
      </c>
      <c r="F52" s="146">
        <f>E52/B52</f>
        <v>0.92735885456994327</v>
      </c>
      <c r="G52" s="146">
        <f>E52/C52</f>
        <v>0.92735885456994327</v>
      </c>
      <c r="H52" s="145">
        <f>H53+H54</f>
        <v>0</v>
      </c>
      <c r="I52" s="145">
        <f t="shared" si="17"/>
        <v>0</v>
      </c>
      <c r="J52" s="145">
        <f>J53+J54</f>
        <v>400.92899999999997</v>
      </c>
      <c r="K52" s="145">
        <f t="shared" si="17"/>
        <v>144.25865000000002</v>
      </c>
      <c r="L52" s="145">
        <f>L53+L54</f>
        <v>416.36699999999996</v>
      </c>
      <c r="M52" s="145">
        <f t="shared" si="17"/>
        <v>223.36032000000003</v>
      </c>
      <c r="N52" s="145">
        <f>N53+N54</f>
        <v>1031.76305</v>
      </c>
      <c r="O52" s="145">
        <f t="shared" si="17"/>
        <v>435.46879000000001</v>
      </c>
      <c r="P52" s="145">
        <f>P53+P54</f>
        <v>384.483</v>
      </c>
      <c r="Q52" s="145">
        <f t="shared" si="17"/>
        <v>345.79142000000002</v>
      </c>
      <c r="R52" s="145">
        <f>R53+R54</f>
        <v>4207.4030000000002</v>
      </c>
      <c r="S52" s="145">
        <f t="shared" si="17"/>
        <v>4188.7230899999995</v>
      </c>
      <c r="T52" s="145">
        <f>T53+T54</f>
        <v>3876.7840000000001</v>
      </c>
      <c r="U52" s="145">
        <f t="shared" si="17"/>
        <v>4122.5784700000004</v>
      </c>
      <c r="V52" s="145">
        <f>V53+V54</f>
        <v>4156.2209999999995</v>
      </c>
      <c r="W52" s="145">
        <f t="shared" si="17"/>
        <v>3824.8730199999995</v>
      </c>
      <c r="X52" s="145">
        <f>X53+X54</f>
        <v>335.05599999999998</v>
      </c>
      <c r="Y52" s="145">
        <f t="shared" si="17"/>
        <v>547.90067999999997</v>
      </c>
      <c r="Z52" s="145">
        <f>Z53+Z54</f>
        <v>368.97820999999999</v>
      </c>
      <c r="AA52" s="145">
        <f t="shared" si="17"/>
        <v>267.93007999999998</v>
      </c>
      <c r="AB52" s="145">
        <f>AB53+AB54</f>
        <v>190.91574</v>
      </c>
      <c r="AC52" s="145">
        <f t="shared" si="17"/>
        <v>151.60098000000002</v>
      </c>
      <c r="AD52" s="145">
        <f>AD53+AD54</f>
        <v>0</v>
      </c>
      <c r="AE52" s="145">
        <f>AE53+AE54</f>
        <v>0</v>
      </c>
      <c r="AF52" s="147"/>
      <c r="AG52" s="127"/>
      <c r="AH52" s="36"/>
    </row>
    <row r="53" spans="1:171" s="35" customFormat="1" ht="24" customHeight="1">
      <c r="A53" s="155" t="s">
        <v>104</v>
      </c>
      <c r="B53" s="156">
        <f>B22+B26+B36</f>
        <v>1430.8</v>
      </c>
      <c r="C53" s="157">
        <f>C22+C26+C36</f>
        <v>1430.8</v>
      </c>
      <c r="D53" s="157">
        <f>D22+D26+D36</f>
        <v>1324.4447500000001</v>
      </c>
      <c r="E53" s="157">
        <f>E22+E26+E36</f>
        <v>1324.4447500000001</v>
      </c>
      <c r="F53" s="158">
        <f>E53/B53</f>
        <v>0.92566728403690257</v>
      </c>
      <c r="G53" s="158">
        <f>E53/C53</f>
        <v>0.92566728403690257</v>
      </c>
      <c r="H53" s="157">
        <f t="shared" ref="H53:AE53" si="18">H22+H26+H36</f>
        <v>0</v>
      </c>
      <c r="I53" s="157">
        <f t="shared" si="18"/>
        <v>0</v>
      </c>
      <c r="J53" s="157">
        <f t="shared" si="18"/>
        <v>77.635999999999996</v>
      </c>
      <c r="K53" s="157">
        <f t="shared" si="18"/>
        <v>0</v>
      </c>
      <c r="L53" s="157">
        <f t="shared" si="18"/>
        <v>142.672</v>
      </c>
      <c r="M53" s="157">
        <f t="shared" si="18"/>
        <v>39.956780000000002</v>
      </c>
      <c r="N53" s="157">
        <f t="shared" si="18"/>
        <v>125.56578999999999</v>
      </c>
      <c r="O53" s="157">
        <f t="shared" si="18"/>
        <v>76.649650000000008</v>
      </c>
      <c r="P53" s="157">
        <f t="shared" si="18"/>
        <v>16.8</v>
      </c>
      <c r="Q53" s="157">
        <f t="shared" si="18"/>
        <v>93.314710000000005</v>
      </c>
      <c r="R53" s="157">
        <f t="shared" si="18"/>
        <v>0</v>
      </c>
      <c r="S53" s="157">
        <f t="shared" si="18"/>
        <v>83.617800000000003</v>
      </c>
      <c r="T53" s="157">
        <f t="shared" si="18"/>
        <v>280</v>
      </c>
      <c r="U53" s="157">
        <f t="shared" si="18"/>
        <v>320.41520000000003</v>
      </c>
      <c r="V53" s="157">
        <f t="shared" si="18"/>
        <v>591.81500000000005</v>
      </c>
      <c r="W53" s="157">
        <f t="shared" si="18"/>
        <v>330.23190999999997</v>
      </c>
      <c r="X53" s="157">
        <f t="shared" si="18"/>
        <v>80.433000000000007</v>
      </c>
      <c r="Y53" s="157">
        <f t="shared" si="18"/>
        <v>310.41800000000001</v>
      </c>
      <c r="Z53" s="157">
        <f t="shared" si="18"/>
        <v>99.078209999999999</v>
      </c>
      <c r="AA53" s="157">
        <f t="shared" si="18"/>
        <v>37.131699999999995</v>
      </c>
      <c r="AB53" s="157">
        <f t="shared" si="18"/>
        <v>16.8</v>
      </c>
      <c r="AC53" s="157">
        <f t="shared" si="18"/>
        <v>32.709000000000003</v>
      </c>
      <c r="AD53" s="157">
        <f t="shared" si="18"/>
        <v>0</v>
      </c>
      <c r="AE53" s="157">
        <f t="shared" si="18"/>
        <v>0</v>
      </c>
      <c r="AF53" s="159"/>
      <c r="AH53" s="36"/>
    </row>
    <row r="54" spans="1:171" s="153" customFormat="1" ht="24" customHeight="1">
      <c r="A54" s="80" t="s">
        <v>105</v>
      </c>
      <c r="B54" s="81">
        <f>B23+B27+B37+B48+B51</f>
        <v>13938.1</v>
      </c>
      <c r="C54" s="81">
        <f>C23+C27+C37+C48+C51</f>
        <v>13938.1</v>
      </c>
      <c r="D54" s="81">
        <f>D23+D27+D37+D48+D51</f>
        <v>13291.6772</v>
      </c>
      <c r="E54" s="81">
        <f>E23+E27+E37+E48+E51</f>
        <v>12928.04075</v>
      </c>
      <c r="F54" s="83">
        <f>E54/B54</f>
        <v>0.92753250084301297</v>
      </c>
      <c r="G54" s="83">
        <f>E54/C54</f>
        <v>0.92753250084301297</v>
      </c>
      <c r="H54" s="82">
        <f t="shared" ref="H54:AE54" si="19">H23+H27+H37+H48+H51</f>
        <v>0</v>
      </c>
      <c r="I54" s="82">
        <f t="shared" si="19"/>
        <v>0</v>
      </c>
      <c r="J54" s="82">
        <f t="shared" si="19"/>
        <v>323.29300000000001</v>
      </c>
      <c r="K54" s="82">
        <f t="shared" si="19"/>
        <v>144.25865000000002</v>
      </c>
      <c r="L54" s="82">
        <f t="shared" si="19"/>
        <v>273.69499999999999</v>
      </c>
      <c r="M54" s="82">
        <f t="shared" si="19"/>
        <v>183.40354000000002</v>
      </c>
      <c r="N54" s="82">
        <f t="shared" si="19"/>
        <v>906.19725999999991</v>
      </c>
      <c r="O54" s="82">
        <f t="shared" si="19"/>
        <v>358.81914</v>
      </c>
      <c r="P54" s="82">
        <f t="shared" si="19"/>
        <v>367.68299999999999</v>
      </c>
      <c r="Q54" s="82">
        <f t="shared" si="19"/>
        <v>252.47671</v>
      </c>
      <c r="R54" s="82">
        <f t="shared" si="19"/>
        <v>4207.4030000000002</v>
      </c>
      <c r="S54" s="82">
        <f t="shared" si="19"/>
        <v>4105.1052899999995</v>
      </c>
      <c r="T54" s="82">
        <f t="shared" si="19"/>
        <v>3596.7840000000001</v>
      </c>
      <c r="U54" s="82">
        <f t="shared" si="19"/>
        <v>3802.16327</v>
      </c>
      <c r="V54" s="82">
        <f t="shared" si="19"/>
        <v>3564.4059999999999</v>
      </c>
      <c r="W54" s="82">
        <f t="shared" si="19"/>
        <v>3494.6411099999996</v>
      </c>
      <c r="X54" s="82">
        <f t="shared" si="19"/>
        <v>254.62299999999999</v>
      </c>
      <c r="Y54" s="82">
        <f t="shared" si="19"/>
        <v>237.48268000000002</v>
      </c>
      <c r="Z54" s="82">
        <f t="shared" si="19"/>
        <v>269.89999999999998</v>
      </c>
      <c r="AA54" s="82">
        <f t="shared" si="19"/>
        <v>230.79838000000001</v>
      </c>
      <c r="AB54" s="82">
        <f t="shared" si="19"/>
        <v>174.11573999999999</v>
      </c>
      <c r="AC54" s="82">
        <f t="shared" si="19"/>
        <v>118.89198000000002</v>
      </c>
      <c r="AD54" s="82">
        <f t="shared" si="19"/>
        <v>0</v>
      </c>
      <c r="AE54" s="82">
        <f t="shared" si="19"/>
        <v>0</v>
      </c>
      <c r="AF54" s="82"/>
      <c r="AG54" s="35"/>
      <c r="AH54" s="36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174"/>
    </row>
    <row r="55" spans="1:171" s="153" customFormat="1" ht="111" customHeight="1">
      <c r="A55" s="133" t="s">
        <v>119</v>
      </c>
      <c r="B55" s="143"/>
      <c r="C55" s="140"/>
      <c r="D55" s="140"/>
      <c r="E55" s="140"/>
      <c r="F55" s="141"/>
      <c r="G55" s="141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65"/>
      <c r="AF55" s="140"/>
      <c r="AG55" s="35"/>
      <c r="AH55" s="36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174"/>
    </row>
    <row r="56" spans="1:171" s="35" customFormat="1" ht="34.5" customHeight="1">
      <c r="A56" s="160" t="s">
        <v>124</v>
      </c>
      <c r="B56" s="161"/>
      <c r="C56" s="162"/>
      <c r="D56" s="162"/>
      <c r="E56" s="162"/>
      <c r="F56" s="163"/>
      <c r="G56" s="163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4"/>
      <c r="AF56" s="203" t="s">
        <v>152</v>
      </c>
      <c r="AH56" s="36"/>
    </row>
    <row r="57" spans="1:171" s="35" customFormat="1" ht="39" customHeight="1">
      <c r="A57" s="112" t="s">
        <v>120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204"/>
      <c r="AH57" s="36"/>
    </row>
    <row r="58" spans="1:171" s="35" customFormat="1" ht="15.75" customHeight="1">
      <c r="A58" s="100" t="s">
        <v>121</v>
      </c>
      <c r="B58" s="105">
        <f>B60+B59</f>
        <v>3489.6549999999997</v>
      </c>
      <c r="C58" s="105">
        <f>C60+C59</f>
        <v>3489.6549999999997</v>
      </c>
      <c r="D58" s="105">
        <f>D60+D59</f>
        <v>3062.2240599999996</v>
      </c>
      <c r="E58" s="105">
        <f>E60+E59</f>
        <v>2275.6071999999999</v>
      </c>
      <c r="F58" s="104">
        <f>E58/B58</f>
        <v>0.65210090968878009</v>
      </c>
      <c r="G58" s="104">
        <f>E58/C58</f>
        <v>0.65210090968878009</v>
      </c>
      <c r="H58" s="85">
        <f>H60+H59</f>
        <v>0</v>
      </c>
      <c r="I58" s="85">
        <f>I60+I59</f>
        <v>0</v>
      </c>
      <c r="J58" s="85">
        <f t="shared" ref="J58:AE58" si="20">J60+J59</f>
        <v>0</v>
      </c>
      <c r="K58" s="85">
        <f t="shared" si="20"/>
        <v>0</v>
      </c>
      <c r="L58" s="85">
        <f t="shared" si="20"/>
        <v>0</v>
      </c>
      <c r="M58" s="85">
        <f t="shared" si="20"/>
        <v>0</v>
      </c>
      <c r="N58" s="85">
        <f t="shared" si="20"/>
        <v>22.704229999999999</v>
      </c>
      <c r="O58" s="85">
        <f t="shared" si="20"/>
        <v>22.704229999999999</v>
      </c>
      <c r="P58" s="85">
        <f>P60+P59</f>
        <v>112.67602000000001</v>
      </c>
      <c r="Q58" s="85">
        <f t="shared" si="20"/>
        <v>102.599</v>
      </c>
      <c r="R58" s="85">
        <f t="shared" si="20"/>
        <v>241.90176</v>
      </c>
      <c r="S58" s="85">
        <f t="shared" si="20"/>
        <v>251.97809000000001</v>
      </c>
      <c r="T58" s="85">
        <f t="shared" si="20"/>
        <v>331.98277999999999</v>
      </c>
      <c r="U58" s="85">
        <f t="shared" si="20"/>
        <v>331.98577999999998</v>
      </c>
      <c r="V58" s="85">
        <f t="shared" si="20"/>
        <v>591.41041999999993</v>
      </c>
      <c r="W58" s="85">
        <f t="shared" si="20"/>
        <v>315.82675</v>
      </c>
      <c r="X58" s="85">
        <f t="shared" si="20"/>
        <v>820.80500000000006</v>
      </c>
      <c r="Y58" s="85">
        <f t="shared" si="20"/>
        <v>545.88586999999995</v>
      </c>
      <c r="Z58" s="85">
        <f t="shared" si="20"/>
        <v>302.92500000000001</v>
      </c>
      <c r="AA58" s="85">
        <f t="shared" si="20"/>
        <v>323.23352000000006</v>
      </c>
      <c r="AB58" s="85">
        <f t="shared" si="20"/>
        <v>1065.2497899999998</v>
      </c>
      <c r="AC58" s="85">
        <f t="shared" si="20"/>
        <v>381.39395999999999</v>
      </c>
      <c r="AD58" s="85">
        <f t="shared" si="20"/>
        <v>0</v>
      </c>
      <c r="AE58" s="85">
        <f t="shared" si="20"/>
        <v>0</v>
      </c>
      <c r="AF58" s="204"/>
      <c r="AH58" s="36"/>
    </row>
    <row r="59" spans="1:171" s="35" customFormat="1" ht="21.75" customHeight="1">
      <c r="A59" s="101" t="s">
        <v>104</v>
      </c>
      <c r="B59" s="86">
        <f>H59+J59+L59+N59+P59+R59+T59+V59+X59+Z59+AB59+AD59</f>
        <v>859.89999999999986</v>
      </c>
      <c r="C59" s="84">
        <f>H59+J59+L59+N59+P59+R59+T59+V59+X59+Z59+AB59</f>
        <v>859.89999999999986</v>
      </c>
      <c r="D59" s="84">
        <f>432466.06/1000</f>
        <v>432.46605999999997</v>
      </c>
      <c r="E59" s="84">
        <f>I59+K59+M59+O59+Q59+S59+U59+W59+Y59+AA59+AC59</f>
        <v>432.46587</v>
      </c>
      <c r="F59" s="106">
        <f>E59/B59</f>
        <v>0.50292577043842313</v>
      </c>
      <c r="G59" s="106">
        <f>E59/C59</f>
        <v>0.50292577043842313</v>
      </c>
      <c r="H59" s="108"/>
      <c r="I59" s="108"/>
      <c r="J59" s="108"/>
      <c r="K59" s="108"/>
      <c r="L59" s="108"/>
      <c r="M59" s="108"/>
      <c r="N59" s="108"/>
      <c r="O59" s="108"/>
      <c r="P59" s="110"/>
      <c r="Q59" s="108"/>
      <c r="R59" s="110"/>
      <c r="S59" s="110"/>
      <c r="T59" s="110">
        <f>161956.36/1000</f>
        <v>161.95635999999999</v>
      </c>
      <c r="U59" s="110">
        <f>161956.36/1000</f>
        <v>161.95635999999999</v>
      </c>
      <c r="V59" s="110">
        <f>70457.42/1000</f>
        <v>70.457419999999999</v>
      </c>
      <c r="W59" s="110">
        <f>55178/1000</f>
        <v>55.177999999999997</v>
      </c>
      <c r="X59" s="110">
        <f>337200/1000</f>
        <v>337.2</v>
      </c>
      <c r="Y59" s="110">
        <f>99327.39/1000</f>
        <v>99.327389999999994</v>
      </c>
      <c r="Z59" s="110">
        <v>0</v>
      </c>
      <c r="AA59" s="110">
        <f>54795/1000</f>
        <v>54.795000000000002</v>
      </c>
      <c r="AB59" s="110">
        <f>290286.22/1000</f>
        <v>290.28621999999996</v>
      </c>
      <c r="AC59" s="110">
        <f>61209.12/1000</f>
        <v>61.209120000000006</v>
      </c>
      <c r="AD59" s="108"/>
      <c r="AE59" s="108"/>
      <c r="AF59" s="204"/>
      <c r="AH59" s="36"/>
    </row>
    <row r="60" spans="1:171" s="35" customFormat="1" ht="22.5" customHeight="1">
      <c r="A60" s="101" t="s">
        <v>105</v>
      </c>
      <c r="B60" s="86">
        <f>H60+J60+L60+N60+P60+R60+T60+V60+X60+Z60+AB60+AD60</f>
        <v>2629.7550000000001</v>
      </c>
      <c r="C60" s="84">
        <f>H60+J60+L60+N60+P60+R60+T60+V60+X60+Z60+AB60</f>
        <v>2629.7550000000001</v>
      </c>
      <c r="D60" s="84">
        <f>2629758/1000</f>
        <v>2629.7579999999998</v>
      </c>
      <c r="E60" s="84">
        <f>I60+K60+M60+O60+Q60+S60+U60+W60+Y60+AA60+AC60</f>
        <v>1843.1413299999999</v>
      </c>
      <c r="F60" s="106">
        <f>E60/B60</f>
        <v>0.70087948497103336</v>
      </c>
      <c r="G60" s="106">
        <f>E60/C60</f>
        <v>0.70087948497103336</v>
      </c>
      <c r="H60" s="108"/>
      <c r="I60" s="108"/>
      <c r="J60" s="108"/>
      <c r="K60" s="108"/>
      <c r="L60" s="108"/>
      <c r="M60" s="108"/>
      <c r="N60" s="110">
        <f>22704.23/1000</f>
        <v>22.704229999999999</v>
      </c>
      <c r="O60" s="110">
        <f>22704.23/1000</f>
        <v>22.704229999999999</v>
      </c>
      <c r="P60" s="110">
        <f>112676.02/1000</f>
        <v>112.67602000000001</v>
      </c>
      <c r="Q60" s="110">
        <f>102599/1000</f>
        <v>102.599</v>
      </c>
      <c r="R60" s="110">
        <f>241901.76/1000</f>
        <v>241.90176</v>
      </c>
      <c r="S60" s="110">
        <f>251978.09/1000</f>
        <v>251.97809000000001</v>
      </c>
      <c r="T60" s="110">
        <f>170026.42/1000</f>
        <v>170.02642</v>
      </c>
      <c r="U60" s="110">
        <f>170029.42/1000</f>
        <v>170.02942000000002</v>
      </c>
      <c r="V60" s="110">
        <f>520953/1000</f>
        <v>520.95299999999997</v>
      </c>
      <c r="W60" s="110">
        <f>260648.75/1000</f>
        <v>260.64875000000001</v>
      </c>
      <c r="X60" s="110">
        <f>483605/1000</f>
        <v>483.60500000000002</v>
      </c>
      <c r="Y60" s="110">
        <f>446558.48/1000</f>
        <v>446.55847999999997</v>
      </c>
      <c r="Z60" s="110">
        <f>302925/1000</f>
        <v>302.92500000000001</v>
      </c>
      <c r="AA60" s="110">
        <f>268438.52/1000</f>
        <v>268.43852000000004</v>
      </c>
      <c r="AB60" s="110">
        <f>774963.57/1000</f>
        <v>774.96357</v>
      </c>
      <c r="AC60" s="110">
        <f>320184.84/1000</f>
        <v>320.18484000000001</v>
      </c>
      <c r="AD60" s="108"/>
      <c r="AE60" s="108"/>
      <c r="AF60" s="204"/>
      <c r="AH60" s="36"/>
    </row>
    <row r="61" spans="1:171" s="35" customFormat="1" ht="102.75" customHeight="1">
      <c r="A61" s="112" t="s">
        <v>122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204"/>
      <c r="AH61" s="151"/>
      <c r="AI61" s="152"/>
    </row>
    <row r="62" spans="1:171" s="35" customFormat="1" ht="22.5" customHeight="1">
      <c r="A62" s="101" t="s">
        <v>105</v>
      </c>
      <c r="B62" s="86">
        <f>H62+J62+L62+N62+P62+R62+T62+V62+X62+Z62+AB62+AD62</f>
        <v>236.642</v>
      </c>
      <c r="C62" s="84">
        <f>H62+J62+L62+N62+P62+R62+T62+V62+X62+Z62+AB62</f>
        <v>236.642</v>
      </c>
      <c r="D62" s="126">
        <f>236642/1000</f>
        <v>236.642</v>
      </c>
      <c r="E62" s="84">
        <f>I62+K62+M62+O62+Q62+S62+U62+W62+Y62+AA62+AC62</f>
        <v>154.98400000000001</v>
      </c>
      <c r="F62" s="106">
        <f>E62/B62</f>
        <v>0.65493023216504265</v>
      </c>
      <c r="G62" s="106">
        <f>E62/C62</f>
        <v>0.65493023216504265</v>
      </c>
      <c r="H62" s="108"/>
      <c r="I62" s="108"/>
      <c r="J62" s="108"/>
      <c r="K62" s="108"/>
      <c r="L62" s="110">
        <f>58142/1000</f>
        <v>58.142000000000003</v>
      </c>
      <c r="M62" s="108"/>
      <c r="N62" s="110">
        <f>17500/1000</f>
        <v>17.5</v>
      </c>
      <c r="O62" s="110">
        <f>75642/1000</f>
        <v>75.641999999999996</v>
      </c>
      <c r="P62" s="110">
        <f>3465/1000</f>
        <v>3.4649999999999999</v>
      </c>
      <c r="Q62" s="110">
        <f>3465/1000</f>
        <v>3.4649999999999999</v>
      </c>
      <c r="R62" s="110">
        <f>19881/1000</f>
        <v>19.881</v>
      </c>
      <c r="S62" s="110">
        <f>19881/1000</f>
        <v>19.881</v>
      </c>
      <c r="T62" s="110">
        <f>3287/1000</f>
        <v>3.2869999999999999</v>
      </c>
      <c r="U62" s="110">
        <f>3287/1000</f>
        <v>3.2869999999999999</v>
      </c>
      <c r="V62" s="110">
        <f>35000/1000</f>
        <v>35</v>
      </c>
      <c r="W62" s="108">
        <f>23860/1000</f>
        <v>23.86</v>
      </c>
      <c r="X62" s="110">
        <f>28000/1000</f>
        <v>28</v>
      </c>
      <c r="Y62" s="110">
        <f>7425/1000</f>
        <v>7.4249999999999998</v>
      </c>
      <c r="Z62" s="110">
        <f>7000/1000</f>
        <v>7</v>
      </c>
      <c r="AA62" s="110">
        <f>21424/1000</f>
        <v>21.423999999999999</v>
      </c>
      <c r="AB62" s="110">
        <f>64367/1000</f>
        <v>64.367000000000004</v>
      </c>
      <c r="AC62" s="108"/>
      <c r="AD62" s="108"/>
      <c r="AE62" s="108"/>
      <c r="AF62" s="204"/>
      <c r="AH62" s="151"/>
      <c r="AI62" s="152"/>
    </row>
    <row r="63" spans="1:171" s="35" customFormat="1" ht="22.5" customHeight="1">
      <c r="A63" s="95" t="s">
        <v>126</v>
      </c>
      <c r="B63" s="73">
        <f>B65+B64</f>
        <v>3726.2969999999996</v>
      </c>
      <c r="C63" s="73">
        <f>C65+C64</f>
        <v>3726.2969999999996</v>
      </c>
      <c r="D63" s="73">
        <f>D65+D64</f>
        <v>3298.8660599999994</v>
      </c>
      <c r="E63" s="73">
        <f>E65+E64</f>
        <v>2430.5911999999998</v>
      </c>
      <c r="F63" s="74">
        <f>E63/B63</f>
        <v>0.65228058847697867</v>
      </c>
      <c r="G63" s="74">
        <f>E63/C63</f>
        <v>0.65228058847697867</v>
      </c>
      <c r="H63" s="75">
        <f>H65+H64</f>
        <v>0</v>
      </c>
      <c r="I63" s="75">
        <f>I65+I64</f>
        <v>0</v>
      </c>
      <c r="J63" s="75">
        <f t="shared" ref="J63:AE63" si="21">J65+J64</f>
        <v>0</v>
      </c>
      <c r="K63" s="75">
        <f t="shared" si="21"/>
        <v>0</v>
      </c>
      <c r="L63" s="75">
        <f t="shared" si="21"/>
        <v>58.142000000000003</v>
      </c>
      <c r="M63" s="75">
        <f t="shared" si="21"/>
        <v>0</v>
      </c>
      <c r="N63" s="75">
        <f t="shared" si="21"/>
        <v>40.204229999999995</v>
      </c>
      <c r="O63" s="75">
        <f t="shared" si="21"/>
        <v>98.346229999999991</v>
      </c>
      <c r="P63" s="75">
        <f>P65+P64</f>
        <v>116.14102000000001</v>
      </c>
      <c r="Q63" s="75">
        <f t="shared" si="21"/>
        <v>106.06400000000001</v>
      </c>
      <c r="R63" s="75">
        <f t="shared" si="21"/>
        <v>261.78276</v>
      </c>
      <c r="S63" s="75">
        <f t="shared" si="21"/>
        <v>271.85909000000004</v>
      </c>
      <c r="T63" s="75">
        <f t="shared" si="21"/>
        <v>335.26977999999997</v>
      </c>
      <c r="U63" s="75">
        <f t="shared" si="21"/>
        <v>335.27278000000001</v>
      </c>
      <c r="V63" s="75">
        <f t="shared" si="21"/>
        <v>626.41041999999993</v>
      </c>
      <c r="W63" s="75">
        <f t="shared" si="21"/>
        <v>339.68675000000002</v>
      </c>
      <c r="X63" s="75">
        <f t="shared" si="21"/>
        <v>848.80500000000006</v>
      </c>
      <c r="Y63" s="75">
        <f t="shared" si="21"/>
        <v>553.31087000000002</v>
      </c>
      <c r="Z63" s="75">
        <f t="shared" si="21"/>
        <v>309.92500000000001</v>
      </c>
      <c r="AA63" s="75">
        <f>AA65+AA64</f>
        <v>344.65752000000003</v>
      </c>
      <c r="AB63" s="75">
        <f t="shared" si="21"/>
        <v>1129.61679</v>
      </c>
      <c r="AC63" s="75">
        <f t="shared" si="21"/>
        <v>381.39395999999999</v>
      </c>
      <c r="AD63" s="75">
        <f t="shared" si="21"/>
        <v>0</v>
      </c>
      <c r="AE63" s="75">
        <f t="shared" si="21"/>
        <v>0</v>
      </c>
      <c r="AF63" s="204"/>
      <c r="AG63" s="127"/>
      <c r="AH63" s="36"/>
    </row>
    <row r="64" spans="1:171" s="35" customFormat="1" ht="22.5" customHeight="1">
      <c r="A64" s="101" t="s">
        <v>104</v>
      </c>
      <c r="B64" s="86">
        <f>H64+J64+L64+N64+P64+R64+T64+V64+X64+Z64+AB64+AD64</f>
        <v>859.89999999999986</v>
      </c>
      <c r="C64" s="84">
        <f>C59</f>
        <v>859.89999999999986</v>
      </c>
      <c r="D64" s="84">
        <f>D59</f>
        <v>432.46605999999997</v>
      </c>
      <c r="E64" s="84">
        <f>E59</f>
        <v>432.46587</v>
      </c>
      <c r="F64" s="106">
        <f>E64/B64</f>
        <v>0.50292577043842313</v>
      </c>
      <c r="G64" s="106">
        <f>E64/C64</f>
        <v>0.50292577043842313</v>
      </c>
      <c r="H64" s="109">
        <f>H59</f>
        <v>0</v>
      </c>
      <c r="I64" s="109">
        <f t="shared" ref="I64:AE64" si="22">I59</f>
        <v>0</v>
      </c>
      <c r="J64" s="109">
        <f t="shared" si="22"/>
        <v>0</v>
      </c>
      <c r="K64" s="109">
        <f t="shared" si="22"/>
        <v>0</v>
      </c>
      <c r="L64" s="109">
        <f t="shared" si="22"/>
        <v>0</v>
      </c>
      <c r="M64" s="109">
        <f t="shared" si="22"/>
        <v>0</v>
      </c>
      <c r="N64" s="109">
        <f t="shared" si="22"/>
        <v>0</v>
      </c>
      <c r="O64" s="109">
        <f t="shared" si="22"/>
        <v>0</v>
      </c>
      <c r="P64" s="109">
        <f t="shared" si="22"/>
        <v>0</v>
      </c>
      <c r="Q64" s="109">
        <f t="shared" si="22"/>
        <v>0</v>
      </c>
      <c r="R64" s="109">
        <f t="shared" si="22"/>
        <v>0</v>
      </c>
      <c r="S64" s="109">
        <f t="shared" si="22"/>
        <v>0</v>
      </c>
      <c r="T64" s="109">
        <f t="shared" si="22"/>
        <v>161.95635999999999</v>
      </c>
      <c r="U64" s="109">
        <f t="shared" si="22"/>
        <v>161.95635999999999</v>
      </c>
      <c r="V64" s="109">
        <f t="shared" si="22"/>
        <v>70.457419999999999</v>
      </c>
      <c r="W64" s="109">
        <f t="shared" si="22"/>
        <v>55.177999999999997</v>
      </c>
      <c r="X64" s="109">
        <f t="shared" si="22"/>
        <v>337.2</v>
      </c>
      <c r="Y64" s="109">
        <f t="shared" si="22"/>
        <v>99.327389999999994</v>
      </c>
      <c r="Z64" s="109">
        <f t="shared" si="22"/>
        <v>0</v>
      </c>
      <c r="AA64" s="109">
        <f t="shared" si="22"/>
        <v>54.795000000000002</v>
      </c>
      <c r="AB64" s="109">
        <f t="shared" si="22"/>
        <v>290.28621999999996</v>
      </c>
      <c r="AC64" s="109">
        <f t="shared" si="22"/>
        <v>61.209120000000006</v>
      </c>
      <c r="AD64" s="109">
        <f t="shared" si="22"/>
        <v>0</v>
      </c>
      <c r="AE64" s="109">
        <f t="shared" si="22"/>
        <v>0</v>
      </c>
      <c r="AF64" s="204"/>
      <c r="AH64" s="36"/>
    </row>
    <row r="65" spans="1:34" s="35" customFormat="1" ht="22.5" customHeight="1">
      <c r="A65" s="101" t="s">
        <v>105</v>
      </c>
      <c r="B65" s="86">
        <f>B60+B62</f>
        <v>2866.3969999999999</v>
      </c>
      <c r="C65" s="84">
        <f>C60+C62</f>
        <v>2866.3969999999999</v>
      </c>
      <c r="D65" s="84">
        <f>D60+D62</f>
        <v>2866.3999999999996</v>
      </c>
      <c r="E65" s="84">
        <f>E60+E62</f>
        <v>1998.1253299999998</v>
      </c>
      <c r="F65" s="106">
        <f>E65/B65</f>
        <v>0.69708603867503349</v>
      </c>
      <c r="G65" s="106">
        <f>E65/C65</f>
        <v>0.69708603867503349</v>
      </c>
      <c r="H65" s="109">
        <f>H60+H62</f>
        <v>0</v>
      </c>
      <c r="I65" s="109">
        <f t="shared" ref="I65:AE65" si="23">I60+I62</f>
        <v>0</v>
      </c>
      <c r="J65" s="109">
        <f t="shared" si="23"/>
        <v>0</v>
      </c>
      <c r="K65" s="109">
        <f t="shared" si="23"/>
        <v>0</v>
      </c>
      <c r="L65" s="109">
        <f t="shared" si="23"/>
        <v>58.142000000000003</v>
      </c>
      <c r="M65" s="109">
        <f t="shared" si="23"/>
        <v>0</v>
      </c>
      <c r="N65" s="109">
        <f t="shared" si="23"/>
        <v>40.204229999999995</v>
      </c>
      <c r="O65" s="109">
        <f t="shared" si="23"/>
        <v>98.346229999999991</v>
      </c>
      <c r="P65" s="109">
        <f t="shared" si="23"/>
        <v>116.14102000000001</v>
      </c>
      <c r="Q65" s="109">
        <f t="shared" si="23"/>
        <v>106.06400000000001</v>
      </c>
      <c r="R65" s="109">
        <f t="shared" si="23"/>
        <v>261.78276</v>
      </c>
      <c r="S65" s="109">
        <f t="shared" si="23"/>
        <v>271.85909000000004</v>
      </c>
      <c r="T65" s="109">
        <f t="shared" si="23"/>
        <v>173.31342000000001</v>
      </c>
      <c r="U65" s="109">
        <f t="shared" si="23"/>
        <v>173.31642000000002</v>
      </c>
      <c r="V65" s="109">
        <f t="shared" si="23"/>
        <v>555.95299999999997</v>
      </c>
      <c r="W65" s="109">
        <f t="shared" si="23"/>
        <v>284.50875000000002</v>
      </c>
      <c r="X65" s="109">
        <f t="shared" si="23"/>
        <v>511.60500000000002</v>
      </c>
      <c r="Y65" s="109">
        <f t="shared" si="23"/>
        <v>453.98347999999999</v>
      </c>
      <c r="Z65" s="109">
        <f t="shared" si="23"/>
        <v>309.92500000000001</v>
      </c>
      <c r="AA65" s="109">
        <f t="shared" si="23"/>
        <v>289.86252000000002</v>
      </c>
      <c r="AB65" s="109">
        <f t="shared" si="23"/>
        <v>839.33056999999997</v>
      </c>
      <c r="AC65" s="109">
        <f t="shared" si="23"/>
        <v>320.18484000000001</v>
      </c>
      <c r="AD65" s="109">
        <f t="shared" si="23"/>
        <v>0</v>
      </c>
      <c r="AE65" s="109">
        <f t="shared" si="23"/>
        <v>0</v>
      </c>
      <c r="AF65" s="205"/>
      <c r="AH65" s="36"/>
    </row>
    <row r="66" spans="1:34" s="35" customFormat="1" ht="22.5" customHeight="1">
      <c r="A66" s="103" t="s">
        <v>125</v>
      </c>
      <c r="B66" s="101"/>
      <c r="C66" s="101"/>
      <c r="D66" s="101"/>
      <c r="E66" s="101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203" t="s">
        <v>158</v>
      </c>
      <c r="AH66" s="36"/>
    </row>
    <row r="67" spans="1:34" s="35" customFormat="1" ht="33" customHeight="1">
      <c r="A67" s="112" t="s">
        <v>120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204"/>
      <c r="AH67" s="36"/>
    </row>
    <row r="68" spans="1:34" s="35" customFormat="1" ht="184.5" customHeight="1">
      <c r="A68" s="102" t="s">
        <v>105</v>
      </c>
      <c r="B68" s="86">
        <f>H68+J68+L68+N68+P68+R68+T68+V68+X68+Z68+AB68+AD68</f>
        <v>5165.7997400000004</v>
      </c>
      <c r="C68" s="84">
        <f>H68+J68+L68+N68+P68+R68+T68+V68+X68+Z68+AB68</f>
        <v>3982.1497399999998</v>
      </c>
      <c r="D68" s="84">
        <f>C68</f>
        <v>3982.1497399999998</v>
      </c>
      <c r="E68" s="84">
        <f>I68+K68+M68+O68+Q68+S68+U68+W68+Y68+AA68+AC68</f>
        <v>3905.61</v>
      </c>
      <c r="F68" s="106">
        <f>E68/B68</f>
        <v>0.7560513756965731</v>
      </c>
      <c r="G68" s="106">
        <f>E68/C68</f>
        <v>0.98077929133825092</v>
      </c>
      <c r="H68" s="86"/>
      <c r="I68" s="86"/>
      <c r="J68" s="86">
        <f>470000/1000</f>
        <v>470</v>
      </c>
      <c r="K68" s="86">
        <v>141.06</v>
      </c>
      <c r="L68" s="86">
        <f>470000/1000</f>
        <v>470</v>
      </c>
      <c r="M68" s="86">
        <v>469.7</v>
      </c>
      <c r="N68" s="86">
        <f>470000/1000</f>
        <v>470</v>
      </c>
      <c r="O68" s="86">
        <v>484.9</v>
      </c>
      <c r="P68" s="86">
        <f>450000/1000</f>
        <v>450</v>
      </c>
      <c r="Q68" s="86">
        <v>388.32</v>
      </c>
      <c r="R68" s="86">
        <v>477.25</v>
      </c>
      <c r="S68" s="86">
        <v>282.93</v>
      </c>
      <c r="T68" s="86">
        <f>(170000+49629.74)/1000</f>
        <v>219.62974</v>
      </c>
      <c r="U68" s="86">
        <v>89.63</v>
      </c>
      <c r="V68" s="86">
        <f>200000/1000</f>
        <v>200</v>
      </c>
      <c r="W68" s="86">
        <v>614.14</v>
      </c>
      <c r="X68" s="86">
        <f>200000/1000</f>
        <v>200</v>
      </c>
      <c r="Y68" s="86">
        <v>235.86</v>
      </c>
      <c r="Z68" s="86">
        <v>486.41</v>
      </c>
      <c r="AA68" s="86">
        <v>561.96</v>
      </c>
      <c r="AB68" s="86">
        <f>(450000+80000+8860)/1000</f>
        <v>538.86</v>
      </c>
      <c r="AC68" s="86">
        <v>637.11</v>
      </c>
      <c r="AD68" s="86">
        <f>1192.51-8.86</f>
        <v>1183.6500000000001</v>
      </c>
      <c r="AE68" s="86"/>
      <c r="AF68" s="205"/>
      <c r="AG68" s="127"/>
      <c r="AH68" s="36"/>
    </row>
    <row r="69" spans="1:34" s="35" customFormat="1">
      <c r="A69" s="72" t="s">
        <v>138</v>
      </c>
      <c r="B69" s="73">
        <f>B71+B70</f>
        <v>8892.0967400000009</v>
      </c>
      <c r="C69" s="73">
        <f>C71+C70</f>
        <v>7708.4467399999994</v>
      </c>
      <c r="D69" s="73">
        <f>D71+D70</f>
        <v>7281.0157999999992</v>
      </c>
      <c r="E69" s="73">
        <f>E71+E70</f>
        <v>6336.2011999999995</v>
      </c>
      <c r="F69" s="74">
        <f>E69/B69</f>
        <v>0.71256548205299874</v>
      </c>
      <c r="G69" s="74">
        <f>E69/C69</f>
        <v>0.82198157601851707</v>
      </c>
      <c r="H69" s="75">
        <f t="shared" ref="H69:AE69" si="24">H71+H70</f>
        <v>0</v>
      </c>
      <c r="I69" s="75">
        <f t="shared" si="24"/>
        <v>0</v>
      </c>
      <c r="J69" s="75">
        <f t="shared" si="24"/>
        <v>470</v>
      </c>
      <c r="K69" s="75">
        <f>K71+K70</f>
        <v>141.06</v>
      </c>
      <c r="L69" s="75">
        <f t="shared" si="24"/>
        <v>528.14200000000005</v>
      </c>
      <c r="M69" s="75">
        <f t="shared" si="24"/>
        <v>469.7</v>
      </c>
      <c r="N69" s="75">
        <f t="shared" si="24"/>
        <v>510.20423</v>
      </c>
      <c r="O69" s="75">
        <f t="shared" si="24"/>
        <v>583.24622999999997</v>
      </c>
      <c r="P69" s="75">
        <f t="shared" si="24"/>
        <v>566.14102000000003</v>
      </c>
      <c r="Q69" s="75">
        <f t="shared" si="24"/>
        <v>494.38400000000001</v>
      </c>
      <c r="R69" s="75">
        <f t="shared" si="24"/>
        <v>739.03276000000005</v>
      </c>
      <c r="S69" s="75">
        <f t="shared" si="24"/>
        <v>554.78908999999999</v>
      </c>
      <c r="T69" s="75">
        <f>T71+T70</f>
        <v>554.89952000000005</v>
      </c>
      <c r="U69" s="75">
        <f>U71+U70</f>
        <v>424.90278000000001</v>
      </c>
      <c r="V69" s="75">
        <f t="shared" si="24"/>
        <v>826.41041999999993</v>
      </c>
      <c r="W69" s="75">
        <f t="shared" si="24"/>
        <v>953.82675000000006</v>
      </c>
      <c r="X69" s="75">
        <f t="shared" si="24"/>
        <v>1048.8050000000001</v>
      </c>
      <c r="Y69" s="75">
        <f t="shared" si="24"/>
        <v>789.17087000000004</v>
      </c>
      <c r="Z69" s="75">
        <f t="shared" si="24"/>
        <v>796.33500000000004</v>
      </c>
      <c r="AA69" s="75">
        <f t="shared" si="24"/>
        <v>906.61752000000001</v>
      </c>
      <c r="AB69" s="75">
        <f t="shared" si="24"/>
        <v>1668.4767899999999</v>
      </c>
      <c r="AC69" s="75">
        <f t="shared" si="24"/>
        <v>1018.50396</v>
      </c>
      <c r="AD69" s="75">
        <f t="shared" si="24"/>
        <v>1183.6500000000001</v>
      </c>
      <c r="AE69" s="75">
        <f t="shared" si="24"/>
        <v>0</v>
      </c>
      <c r="AF69" s="75"/>
      <c r="AH69" s="36"/>
    </row>
    <row r="70" spans="1:34" s="35" customFormat="1">
      <c r="A70" s="91" t="s">
        <v>104</v>
      </c>
      <c r="B70" s="111">
        <f>B64</f>
        <v>859.89999999999986</v>
      </c>
      <c r="C70" s="107">
        <f>C64</f>
        <v>859.89999999999986</v>
      </c>
      <c r="D70" s="107">
        <f>D64</f>
        <v>432.46605999999997</v>
      </c>
      <c r="E70" s="107">
        <f>E64</f>
        <v>432.46587</v>
      </c>
      <c r="F70" s="79">
        <f>E70/B70</f>
        <v>0.50292577043842313</v>
      </c>
      <c r="G70" s="79">
        <f>E70/C70</f>
        <v>0.50292577043842313</v>
      </c>
      <c r="H70" s="111">
        <f>H64</f>
        <v>0</v>
      </c>
      <c r="I70" s="111">
        <f t="shared" ref="I70:AE70" si="25">I64</f>
        <v>0</v>
      </c>
      <c r="J70" s="111">
        <f>J64</f>
        <v>0</v>
      </c>
      <c r="K70" s="111">
        <f t="shared" si="25"/>
        <v>0</v>
      </c>
      <c r="L70" s="111">
        <f t="shared" si="25"/>
        <v>0</v>
      </c>
      <c r="M70" s="111">
        <f t="shared" si="25"/>
        <v>0</v>
      </c>
      <c r="N70" s="111">
        <f t="shared" si="25"/>
        <v>0</v>
      </c>
      <c r="O70" s="111">
        <f t="shared" si="25"/>
        <v>0</v>
      </c>
      <c r="P70" s="111">
        <f t="shared" si="25"/>
        <v>0</v>
      </c>
      <c r="Q70" s="111">
        <f t="shared" si="25"/>
        <v>0</v>
      </c>
      <c r="R70" s="111">
        <f t="shared" si="25"/>
        <v>0</v>
      </c>
      <c r="S70" s="111">
        <f t="shared" si="25"/>
        <v>0</v>
      </c>
      <c r="T70" s="111">
        <f t="shared" si="25"/>
        <v>161.95635999999999</v>
      </c>
      <c r="U70" s="111">
        <f t="shared" si="25"/>
        <v>161.95635999999999</v>
      </c>
      <c r="V70" s="111">
        <f t="shared" si="25"/>
        <v>70.457419999999999</v>
      </c>
      <c r="W70" s="111">
        <f t="shared" si="25"/>
        <v>55.177999999999997</v>
      </c>
      <c r="X70" s="111">
        <f t="shared" si="25"/>
        <v>337.2</v>
      </c>
      <c r="Y70" s="111">
        <f t="shared" si="25"/>
        <v>99.327389999999994</v>
      </c>
      <c r="Z70" s="111">
        <f t="shared" si="25"/>
        <v>0</v>
      </c>
      <c r="AA70" s="111">
        <f t="shared" si="25"/>
        <v>54.795000000000002</v>
      </c>
      <c r="AB70" s="111">
        <f t="shared" si="25"/>
        <v>290.28621999999996</v>
      </c>
      <c r="AC70" s="111">
        <f t="shared" si="25"/>
        <v>61.209120000000006</v>
      </c>
      <c r="AD70" s="111">
        <f t="shared" si="25"/>
        <v>0</v>
      </c>
      <c r="AE70" s="111">
        <f t="shared" si="25"/>
        <v>0</v>
      </c>
      <c r="AF70" s="107"/>
      <c r="AH70" s="36"/>
    </row>
    <row r="71" spans="1:34" s="33" customFormat="1" ht="26.25" customHeight="1">
      <c r="A71" s="89" t="s">
        <v>105</v>
      </c>
      <c r="B71" s="81">
        <f>B65+B68</f>
        <v>8032.1967400000003</v>
      </c>
      <c r="C71" s="81">
        <f>C65+C68</f>
        <v>6848.5467399999998</v>
      </c>
      <c r="D71" s="81">
        <f>D65+D68</f>
        <v>6848.5497399999995</v>
      </c>
      <c r="E71" s="81">
        <f>E65+E68</f>
        <v>5903.7353299999995</v>
      </c>
      <c r="F71" s="83">
        <f>E71/B71</f>
        <v>0.73500880532465629</v>
      </c>
      <c r="G71" s="83">
        <f>E71/C71</f>
        <v>0.862042058575481</v>
      </c>
      <c r="H71" s="81">
        <f t="shared" ref="H71:AE71" si="26">H65+H68</f>
        <v>0</v>
      </c>
      <c r="I71" s="81">
        <f t="shared" si="26"/>
        <v>0</v>
      </c>
      <c r="J71" s="81">
        <f t="shared" si="26"/>
        <v>470</v>
      </c>
      <c r="K71" s="81">
        <f t="shared" si="26"/>
        <v>141.06</v>
      </c>
      <c r="L71" s="81">
        <f>L65+L68</f>
        <v>528.14200000000005</v>
      </c>
      <c r="M71" s="81">
        <f t="shared" si="26"/>
        <v>469.7</v>
      </c>
      <c r="N71" s="81">
        <f t="shared" si="26"/>
        <v>510.20423</v>
      </c>
      <c r="O71" s="81">
        <f t="shared" si="26"/>
        <v>583.24622999999997</v>
      </c>
      <c r="P71" s="81">
        <f t="shared" si="26"/>
        <v>566.14102000000003</v>
      </c>
      <c r="Q71" s="81">
        <f t="shared" si="26"/>
        <v>494.38400000000001</v>
      </c>
      <c r="R71" s="81">
        <f t="shared" si="26"/>
        <v>739.03276000000005</v>
      </c>
      <c r="S71" s="81">
        <f t="shared" si="26"/>
        <v>554.78908999999999</v>
      </c>
      <c r="T71" s="81">
        <f t="shared" si="26"/>
        <v>392.94316000000003</v>
      </c>
      <c r="U71" s="81">
        <f t="shared" si="26"/>
        <v>262.94641999999999</v>
      </c>
      <c r="V71" s="81">
        <f t="shared" si="26"/>
        <v>755.95299999999997</v>
      </c>
      <c r="W71" s="81">
        <f t="shared" si="26"/>
        <v>898.64875000000006</v>
      </c>
      <c r="X71" s="81">
        <f t="shared" si="26"/>
        <v>711.60500000000002</v>
      </c>
      <c r="Y71" s="81">
        <f t="shared" si="26"/>
        <v>689.84348</v>
      </c>
      <c r="Z71" s="81">
        <f t="shared" si="26"/>
        <v>796.33500000000004</v>
      </c>
      <c r="AA71" s="81">
        <f t="shared" si="26"/>
        <v>851.82252000000005</v>
      </c>
      <c r="AB71" s="81">
        <f t="shared" si="26"/>
        <v>1378.19057</v>
      </c>
      <c r="AC71" s="81">
        <f t="shared" si="26"/>
        <v>957.29484000000002</v>
      </c>
      <c r="AD71" s="81">
        <f t="shared" si="26"/>
        <v>1183.6500000000001</v>
      </c>
      <c r="AE71" s="81">
        <f t="shared" si="26"/>
        <v>0</v>
      </c>
      <c r="AF71" s="81"/>
      <c r="AH71" s="34"/>
    </row>
    <row r="72" spans="1:34" s="35" customFormat="1" ht="122.25" customHeight="1">
      <c r="A72" s="133" t="s">
        <v>131</v>
      </c>
      <c r="B72" s="143"/>
      <c r="C72" s="140"/>
      <c r="D72" s="140"/>
      <c r="E72" s="140"/>
      <c r="F72" s="141"/>
      <c r="G72" s="141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2"/>
      <c r="AF72" s="149" t="s">
        <v>139</v>
      </c>
      <c r="AH72" s="36"/>
    </row>
    <row r="73" spans="1:34" s="35" customFormat="1">
      <c r="A73" s="72" t="s">
        <v>25</v>
      </c>
      <c r="B73" s="73">
        <f>B74</f>
        <v>0</v>
      </c>
      <c r="C73" s="73">
        <f>C74</f>
        <v>0</v>
      </c>
      <c r="D73" s="73">
        <f>D74</f>
        <v>0</v>
      </c>
      <c r="E73" s="73">
        <f t="shared" ref="E73:AE73" si="27">E74</f>
        <v>0</v>
      </c>
      <c r="F73" s="74">
        <f t="shared" si="27"/>
        <v>0</v>
      </c>
      <c r="G73" s="74">
        <v>0</v>
      </c>
      <c r="H73" s="73">
        <f t="shared" si="27"/>
        <v>0</v>
      </c>
      <c r="I73" s="73">
        <f t="shared" si="27"/>
        <v>0</v>
      </c>
      <c r="J73" s="73">
        <f t="shared" si="27"/>
        <v>0</v>
      </c>
      <c r="K73" s="73">
        <f t="shared" si="27"/>
        <v>0</v>
      </c>
      <c r="L73" s="73">
        <f t="shared" si="27"/>
        <v>0</v>
      </c>
      <c r="M73" s="73">
        <f t="shared" si="27"/>
        <v>0</v>
      </c>
      <c r="N73" s="73">
        <f t="shared" si="27"/>
        <v>0</v>
      </c>
      <c r="O73" s="73">
        <f t="shared" si="27"/>
        <v>0</v>
      </c>
      <c r="P73" s="73">
        <f t="shared" si="27"/>
        <v>0</v>
      </c>
      <c r="Q73" s="73">
        <f t="shared" si="27"/>
        <v>0</v>
      </c>
      <c r="R73" s="73">
        <f t="shared" si="27"/>
        <v>0</v>
      </c>
      <c r="S73" s="73">
        <f t="shared" si="27"/>
        <v>0</v>
      </c>
      <c r="T73" s="73">
        <f t="shared" si="27"/>
        <v>0</v>
      </c>
      <c r="U73" s="73">
        <f t="shared" si="27"/>
        <v>0</v>
      </c>
      <c r="V73" s="73">
        <f t="shared" si="27"/>
        <v>0</v>
      </c>
      <c r="W73" s="73">
        <f t="shared" si="27"/>
        <v>0</v>
      </c>
      <c r="X73" s="73">
        <f t="shared" si="27"/>
        <v>0</v>
      </c>
      <c r="Y73" s="73">
        <f t="shared" si="27"/>
        <v>0</v>
      </c>
      <c r="Z73" s="73">
        <f t="shared" si="27"/>
        <v>0</v>
      </c>
      <c r="AA73" s="73">
        <f t="shared" si="27"/>
        <v>0</v>
      </c>
      <c r="AB73" s="73">
        <f t="shared" si="27"/>
        <v>0</v>
      </c>
      <c r="AC73" s="73">
        <f t="shared" si="27"/>
        <v>0</v>
      </c>
      <c r="AD73" s="73">
        <f t="shared" si="27"/>
        <v>0</v>
      </c>
      <c r="AE73" s="73">
        <f t="shared" si="27"/>
        <v>0</v>
      </c>
      <c r="AF73" s="73"/>
      <c r="AH73" s="36"/>
    </row>
    <row r="74" spans="1:34" s="35" customFormat="1" ht="21" customHeight="1">
      <c r="A74" s="76" t="s">
        <v>104</v>
      </c>
      <c r="B74" s="77">
        <f>H74+J74+L74+N74+P74+R74+T74+V74+X74+Z74+AB74+AD74</f>
        <v>0</v>
      </c>
      <c r="C74" s="78">
        <f>H74+J74+L74+N74+P74+R74+T74+V74+X74</f>
        <v>0</v>
      </c>
      <c r="D74" s="78">
        <f>H74+J74+L74+N74+P74+R74+T74+V74</f>
        <v>0</v>
      </c>
      <c r="E74" s="78">
        <f>I74+K74+M74+O74+Q74+S74+U74+W74+Y74+AA74+AC74+AE74</f>
        <v>0</v>
      </c>
      <c r="F74" s="79">
        <v>0</v>
      </c>
      <c r="G74" s="79">
        <v>0</v>
      </c>
      <c r="H74" s="78">
        <v>0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  <c r="Z74" s="78">
        <v>0</v>
      </c>
      <c r="AA74" s="78">
        <v>0</v>
      </c>
      <c r="AB74" s="78">
        <v>0</v>
      </c>
      <c r="AC74" s="78">
        <v>0</v>
      </c>
      <c r="AD74" s="78">
        <v>0</v>
      </c>
      <c r="AE74" s="78">
        <v>0</v>
      </c>
      <c r="AF74" s="78"/>
      <c r="AH74" s="36"/>
    </row>
    <row r="75" spans="1:34" s="35" customFormat="1" ht="51" customHeight="1">
      <c r="A75" s="94" t="s">
        <v>115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41"/>
      <c r="AH75" s="36"/>
    </row>
    <row r="76" spans="1:34" s="35" customFormat="1">
      <c r="A76" s="72" t="s">
        <v>25</v>
      </c>
      <c r="B76" s="73">
        <f>B77+B78</f>
        <v>3144.1</v>
      </c>
      <c r="C76" s="73">
        <f>C77+C78</f>
        <v>2918.6898200000001</v>
      </c>
      <c r="D76" s="73">
        <f>D77+D78</f>
        <v>2846.1</v>
      </c>
      <c r="E76" s="73">
        <f>E77+E78</f>
        <v>2737.9902899999993</v>
      </c>
      <c r="F76" s="74">
        <f>E76/B76</f>
        <v>0.87083435323303948</v>
      </c>
      <c r="G76" s="74">
        <f>E76/C76</f>
        <v>0.93808882027758578</v>
      </c>
      <c r="H76" s="73">
        <f t="shared" ref="H76:AD76" si="28">H77+H78</f>
        <v>524.64462000000003</v>
      </c>
      <c r="I76" s="73">
        <f t="shared" si="28"/>
        <v>484.70751000000001</v>
      </c>
      <c r="J76" s="73">
        <f t="shared" si="28"/>
        <v>249.03572</v>
      </c>
      <c r="K76" s="73">
        <f t="shared" si="28"/>
        <v>285.25</v>
      </c>
      <c r="L76" s="73">
        <f t="shared" si="28"/>
        <v>102.92872</v>
      </c>
      <c r="M76" s="73">
        <f t="shared" si="28"/>
        <v>90.22</v>
      </c>
      <c r="N76" s="73">
        <f t="shared" si="28"/>
        <v>233.56572</v>
      </c>
      <c r="O76" s="73">
        <f t="shared" si="28"/>
        <v>228.02</v>
      </c>
      <c r="P76" s="73">
        <f t="shared" si="28"/>
        <v>308.98971999999998</v>
      </c>
      <c r="Q76" s="73">
        <f t="shared" si="28"/>
        <v>136.16</v>
      </c>
      <c r="R76" s="73">
        <f t="shared" si="28"/>
        <v>120.23872</v>
      </c>
      <c r="S76" s="73">
        <f t="shared" si="28"/>
        <v>306.14278000000002</v>
      </c>
      <c r="T76" s="73">
        <f t="shared" si="28"/>
        <v>633.34371999999996</v>
      </c>
      <c r="U76" s="73">
        <f t="shared" si="28"/>
        <v>582.28</v>
      </c>
      <c r="V76" s="73">
        <f t="shared" si="28"/>
        <v>174.05472</v>
      </c>
      <c r="W76" s="73">
        <f t="shared" si="28"/>
        <v>174.5</v>
      </c>
      <c r="X76" s="73">
        <f t="shared" si="28"/>
        <v>200.15371999999999</v>
      </c>
      <c r="Y76" s="73">
        <f t="shared" si="28"/>
        <v>104.22</v>
      </c>
      <c r="Z76" s="73">
        <f t="shared" si="28"/>
        <v>233.29172</v>
      </c>
      <c r="AA76" s="73">
        <f t="shared" si="28"/>
        <v>217.7</v>
      </c>
      <c r="AB76" s="73">
        <f t="shared" si="28"/>
        <v>138.44272000000001</v>
      </c>
      <c r="AC76" s="73">
        <f t="shared" si="28"/>
        <v>128.79</v>
      </c>
      <c r="AD76" s="73">
        <f t="shared" si="28"/>
        <v>225.41018</v>
      </c>
      <c r="AE76" s="73">
        <f>AE77+AE78</f>
        <v>0</v>
      </c>
      <c r="AF76" s="73"/>
      <c r="AH76" s="36"/>
    </row>
    <row r="77" spans="1:34" s="35" customFormat="1">
      <c r="A77" s="76" t="s">
        <v>104</v>
      </c>
      <c r="B77" s="77">
        <f>B81</f>
        <v>3144.1</v>
      </c>
      <c r="C77" s="77">
        <f t="shared" ref="C77:AE77" si="29">C81</f>
        <v>2918.6898200000001</v>
      </c>
      <c r="D77" s="77">
        <f t="shared" si="29"/>
        <v>2846.1</v>
      </c>
      <c r="E77" s="77">
        <f t="shared" si="29"/>
        <v>2737.9902899999993</v>
      </c>
      <c r="F77" s="119">
        <f>E77/B77</f>
        <v>0.87083435323303948</v>
      </c>
      <c r="G77" s="119">
        <f>E77/C77</f>
        <v>0.93808882027758578</v>
      </c>
      <c r="H77" s="77">
        <f t="shared" si="29"/>
        <v>524.64462000000003</v>
      </c>
      <c r="I77" s="77">
        <f t="shared" si="29"/>
        <v>484.70751000000001</v>
      </c>
      <c r="J77" s="77">
        <f t="shared" si="29"/>
        <v>249.03572</v>
      </c>
      <c r="K77" s="77">
        <f t="shared" si="29"/>
        <v>285.25</v>
      </c>
      <c r="L77" s="77">
        <f t="shared" si="29"/>
        <v>102.92872</v>
      </c>
      <c r="M77" s="77">
        <f t="shared" si="29"/>
        <v>90.22</v>
      </c>
      <c r="N77" s="77">
        <f t="shared" si="29"/>
        <v>233.56572</v>
      </c>
      <c r="O77" s="77">
        <f t="shared" si="29"/>
        <v>228.02</v>
      </c>
      <c r="P77" s="77">
        <f t="shared" si="29"/>
        <v>308.98971999999998</v>
      </c>
      <c r="Q77" s="77">
        <f t="shared" si="29"/>
        <v>136.16</v>
      </c>
      <c r="R77" s="77">
        <f t="shared" si="29"/>
        <v>120.23872</v>
      </c>
      <c r="S77" s="77">
        <f t="shared" si="29"/>
        <v>306.14278000000002</v>
      </c>
      <c r="T77" s="77">
        <f t="shared" si="29"/>
        <v>633.34371999999996</v>
      </c>
      <c r="U77" s="77">
        <f t="shared" si="29"/>
        <v>582.28</v>
      </c>
      <c r="V77" s="77">
        <f t="shared" si="29"/>
        <v>174.05472</v>
      </c>
      <c r="W77" s="77">
        <f t="shared" si="29"/>
        <v>174.5</v>
      </c>
      <c r="X77" s="77">
        <f t="shared" si="29"/>
        <v>200.15371999999999</v>
      </c>
      <c r="Y77" s="77">
        <f t="shared" si="29"/>
        <v>104.22</v>
      </c>
      <c r="Z77" s="77">
        <f t="shared" si="29"/>
        <v>233.29172</v>
      </c>
      <c r="AA77" s="77">
        <f t="shared" si="29"/>
        <v>217.7</v>
      </c>
      <c r="AB77" s="77">
        <f t="shared" si="29"/>
        <v>138.44272000000001</v>
      </c>
      <c r="AC77" s="77">
        <f t="shared" si="29"/>
        <v>128.79</v>
      </c>
      <c r="AD77" s="77">
        <f t="shared" si="29"/>
        <v>225.41018</v>
      </c>
      <c r="AE77" s="77">
        <f t="shared" si="29"/>
        <v>0</v>
      </c>
      <c r="AF77" s="77"/>
      <c r="AH77" s="36"/>
    </row>
    <row r="78" spans="1:34" s="35" customFormat="1">
      <c r="A78" s="80" t="s">
        <v>105</v>
      </c>
      <c r="B78" s="81">
        <f>B84</f>
        <v>0</v>
      </c>
      <c r="C78" s="81">
        <f t="shared" ref="C78:AE78" si="30">C84</f>
        <v>0</v>
      </c>
      <c r="D78" s="81">
        <f t="shared" si="30"/>
        <v>0</v>
      </c>
      <c r="E78" s="81">
        <f t="shared" si="30"/>
        <v>0</v>
      </c>
      <c r="F78" s="120">
        <v>0</v>
      </c>
      <c r="G78" s="120">
        <v>0</v>
      </c>
      <c r="H78" s="81">
        <f t="shared" si="30"/>
        <v>0</v>
      </c>
      <c r="I78" s="81">
        <f t="shared" si="30"/>
        <v>0</v>
      </c>
      <c r="J78" s="81">
        <f t="shared" si="30"/>
        <v>0</v>
      </c>
      <c r="K78" s="81">
        <f t="shared" si="30"/>
        <v>0</v>
      </c>
      <c r="L78" s="81">
        <f t="shared" si="30"/>
        <v>0</v>
      </c>
      <c r="M78" s="81">
        <f t="shared" si="30"/>
        <v>0</v>
      </c>
      <c r="N78" s="81">
        <f t="shared" si="30"/>
        <v>0</v>
      </c>
      <c r="O78" s="81">
        <f t="shared" si="30"/>
        <v>0</v>
      </c>
      <c r="P78" s="81">
        <f t="shared" si="30"/>
        <v>0</v>
      </c>
      <c r="Q78" s="81">
        <f t="shared" si="30"/>
        <v>0</v>
      </c>
      <c r="R78" s="81">
        <f t="shared" si="30"/>
        <v>0</v>
      </c>
      <c r="S78" s="81">
        <f t="shared" si="30"/>
        <v>0</v>
      </c>
      <c r="T78" s="81">
        <f t="shared" si="30"/>
        <v>0</v>
      </c>
      <c r="U78" s="81">
        <f t="shared" si="30"/>
        <v>0</v>
      </c>
      <c r="V78" s="81">
        <f t="shared" si="30"/>
        <v>0</v>
      </c>
      <c r="W78" s="81">
        <f t="shared" si="30"/>
        <v>0</v>
      </c>
      <c r="X78" s="81">
        <f t="shared" si="30"/>
        <v>0</v>
      </c>
      <c r="Y78" s="81">
        <f t="shared" si="30"/>
        <v>0</v>
      </c>
      <c r="Z78" s="81">
        <f t="shared" si="30"/>
        <v>0</v>
      </c>
      <c r="AA78" s="81">
        <f t="shared" si="30"/>
        <v>0</v>
      </c>
      <c r="AB78" s="81">
        <f t="shared" si="30"/>
        <v>0</v>
      </c>
      <c r="AC78" s="81">
        <f t="shared" si="30"/>
        <v>0</v>
      </c>
      <c r="AD78" s="81">
        <f t="shared" si="30"/>
        <v>0</v>
      </c>
      <c r="AE78" s="81">
        <f t="shared" si="30"/>
        <v>0</v>
      </c>
      <c r="AF78" s="81"/>
      <c r="AH78" s="36"/>
    </row>
    <row r="79" spans="1:34" s="35" customFormat="1" ht="130.5" customHeight="1">
      <c r="A79" s="129" t="s">
        <v>132</v>
      </c>
      <c r="B79" s="70"/>
      <c r="C79" s="130"/>
      <c r="D79" s="130"/>
      <c r="E79" s="130"/>
      <c r="F79" s="131"/>
      <c r="G79" s="131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2"/>
      <c r="AF79" s="207" t="s">
        <v>159</v>
      </c>
      <c r="AG79" s="127"/>
      <c r="AH79" s="36"/>
    </row>
    <row r="80" spans="1:34" s="35" customFormat="1">
      <c r="A80" s="72" t="s">
        <v>25</v>
      </c>
      <c r="B80" s="73">
        <f>B81</f>
        <v>3144.1</v>
      </c>
      <c r="C80" s="73">
        <f>C81</f>
        <v>2918.6898200000001</v>
      </c>
      <c r="D80" s="73">
        <f>D81</f>
        <v>2846.1</v>
      </c>
      <c r="E80" s="73">
        <f>E81</f>
        <v>2737.9902899999993</v>
      </c>
      <c r="F80" s="74">
        <f>E80/B80</f>
        <v>0.87083435323303948</v>
      </c>
      <c r="G80" s="74">
        <f>E80/C80</f>
        <v>0.93808882027758578</v>
      </c>
      <c r="H80" s="73">
        <f t="shared" ref="H80:AE80" si="31">H81</f>
        <v>524.64462000000003</v>
      </c>
      <c r="I80" s="73">
        <f t="shared" si="31"/>
        <v>484.70751000000001</v>
      </c>
      <c r="J80" s="73">
        <f t="shared" si="31"/>
        <v>249.03572</v>
      </c>
      <c r="K80" s="73">
        <f t="shared" si="31"/>
        <v>285.25</v>
      </c>
      <c r="L80" s="73">
        <f t="shared" si="31"/>
        <v>102.92872</v>
      </c>
      <c r="M80" s="73">
        <f t="shared" si="31"/>
        <v>90.22</v>
      </c>
      <c r="N80" s="73">
        <f t="shared" si="31"/>
        <v>233.56572</v>
      </c>
      <c r="O80" s="73">
        <f t="shared" si="31"/>
        <v>228.02</v>
      </c>
      <c r="P80" s="73">
        <f t="shared" si="31"/>
        <v>308.98971999999998</v>
      </c>
      <c r="Q80" s="73">
        <f t="shared" si="31"/>
        <v>136.16</v>
      </c>
      <c r="R80" s="73">
        <f t="shared" si="31"/>
        <v>120.23872</v>
      </c>
      <c r="S80" s="73">
        <f t="shared" si="31"/>
        <v>306.14278000000002</v>
      </c>
      <c r="T80" s="73">
        <f t="shared" si="31"/>
        <v>633.34371999999996</v>
      </c>
      <c r="U80" s="73">
        <f t="shared" si="31"/>
        <v>582.28</v>
      </c>
      <c r="V80" s="73">
        <f t="shared" si="31"/>
        <v>174.05472</v>
      </c>
      <c r="W80" s="73">
        <f t="shared" si="31"/>
        <v>174.5</v>
      </c>
      <c r="X80" s="73">
        <f t="shared" si="31"/>
        <v>200.15371999999999</v>
      </c>
      <c r="Y80" s="73">
        <f t="shared" si="31"/>
        <v>104.22</v>
      </c>
      <c r="Z80" s="73">
        <f t="shared" si="31"/>
        <v>233.29172</v>
      </c>
      <c r="AA80" s="73">
        <f t="shared" si="31"/>
        <v>217.7</v>
      </c>
      <c r="AB80" s="73">
        <f t="shared" si="31"/>
        <v>138.44272000000001</v>
      </c>
      <c r="AC80" s="73">
        <f t="shared" si="31"/>
        <v>128.79</v>
      </c>
      <c r="AD80" s="73">
        <f t="shared" si="31"/>
        <v>225.41018</v>
      </c>
      <c r="AE80" s="73">
        <f t="shared" si="31"/>
        <v>0</v>
      </c>
      <c r="AF80" s="207"/>
      <c r="AH80" s="36"/>
    </row>
    <row r="81" spans="1:118" s="35" customFormat="1" ht="93" customHeight="1">
      <c r="A81" s="91" t="s">
        <v>104</v>
      </c>
      <c r="B81" s="77">
        <f>H81+J81+L81+N81+P81+R81+T81+V81+X81+Z81+AB81+AD81</f>
        <v>3144.1</v>
      </c>
      <c r="C81" s="78">
        <f>H81+J81+L81+N81+P81+R81+T81+V81+X81+Z81+AB81</f>
        <v>2918.6898200000001</v>
      </c>
      <c r="D81" s="78">
        <f>2846100/1000</f>
        <v>2846.1</v>
      </c>
      <c r="E81" s="78">
        <f>I81+K81+M81+O81+Q81+S81+U81+W81+Y81+AA81+AC81</f>
        <v>2737.9902899999993</v>
      </c>
      <c r="F81" s="79">
        <f>E81/B81</f>
        <v>0.87083435323303948</v>
      </c>
      <c r="G81" s="79">
        <f>E81/C81</f>
        <v>0.93808882027758578</v>
      </c>
      <c r="H81" s="78">
        <f>524644.62/1000</f>
        <v>524.64462000000003</v>
      </c>
      <c r="I81" s="78">
        <f>484707.51/1000</f>
        <v>484.70751000000001</v>
      </c>
      <c r="J81" s="78">
        <f>249035.72/1000</f>
        <v>249.03572</v>
      </c>
      <c r="K81" s="78">
        <v>285.25</v>
      </c>
      <c r="L81" s="78">
        <f>102928.72/1000</f>
        <v>102.92872</v>
      </c>
      <c r="M81" s="78">
        <v>90.22</v>
      </c>
      <c r="N81" s="78">
        <f>233565.72/1000</f>
        <v>233.56572</v>
      </c>
      <c r="O81" s="78">
        <f>228.02</f>
        <v>228.02</v>
      </c>
      <c r="P81" s="78">
        <f>308989.72/1000</f>
        <v>308.98971999999998</v>
      </c>
      <c r="Q81" s="78">
        <v>136.16</v>
      </c>
      <c r="R81" s="78">
        <f>120238.72/1000</f>
        <v>120.23872</v>
      </c>
      <c r="S81" s="78">
        <f>306142.78/1000</f>
        <v>306.14278000000002</v>
      </c>
      <c r="T81" s="78">
        <f>633343.72/1000</f>
        <v>633.34371999999996</v>
      </c>
      <c r="U81" s="78">
        <v>582.28</v>
      </c>
      <c r="V81" s="78">
        <f>174054.72/1000</f>
        <v>174.05472</v>
      </c>
      <c r="W81" s="78">
        <v>174.5</v>
      </c>
      <c r="X81" s="78">
        <f>200153.72/1000</f>
        <v>200.15371999999999</v>
      </c>
      <c r="Y81" s="78">
        <v>104.22</v>
      </c>
      <c r="Z81" s="78">
        <f>233291.72/1000</f>
        <v>233.29172</v>
      </c>
      <c r="AA81" s="78">
        <v>217.7</v>
      </c>
      <c r="AB81" s="78">
        <f>138442.72/1000</f>
        <v>138.44272000000001</v>
      </c>
      <c r="AC81" s="78">
        <v>128.79</v>
      </c>
      <c r="AD81" s="78">
        <f>225410.18/1000</f>
        <v>225.41018</v>
      </c>
      <c r="AE81" s="78"/>
      <c r="AF81" s="207"/>
      <c r="AG81" s="127"/>
      <c r="AH81" s="36"/>
    </row>
    <row r="82" spans="1:118" s="61" customFormat="1" ht="126" customHeight="1">
      <c r="A82" s="129" t="s">
        <v>133</v>
      </c>
      <c r="B82" s="70">
        <v>0</v>
      </c>
      <c r="C82" s="71">
        <v>0</v>
      </c>
      <c r="D82" s="130"/>
      <c r="E82" s="130">
        <v>0</v>
      </c>
      <c r="F82" s="131">
        <v>0</v>
      </c>
      <c r="G82" s="131">
        <v>0</v>
      </c>
      <c r="H82" s="130">
        <v>0</v>
      </c>
      <c r="I82" s="130">
        <v>0</v>
      </c>
      <c r="J82" s="130">
        <v>0</v>
      </c>
      <c r="K82" s="130">
        <v>0</v>
      </c>
      <c r="L82" s="130">
        <v>0</v>
      </c>
      <c r="M82" s="130">
        <v>0</v>
      </c>
      <c r="N82" s="130">
        <v>0</v>
      </c>
      <c r="O82" s="130">
        <v>0</v>
      </c>
      <c r="P82" s="130">
        <v>0</v>
      </c>
      <c r="Q82" s="130">
        <v>0</v>
      </c>
      <c r="R82" s="130">
        <v>0</v>
      </c>
      <c r="S82" s="130">
        <v>0</v>
      </c>
      <c r="T82" s="130">
        <v>0</v>
      </c>
      <c r="U82" s="130">
        <v>0</v>
      </c>
      <c r="V82" s="130">
        <v>0</v>
      </c>
      <c r="W82" s="130">
        <v>0</v>
      </c>
      <c r="X82" s="130">
        <v>0</v>
      </c>
      <c r="Y82" s="130">
        <v>0</v>
      </c>
      <c r="Z82" s="130">
        <v>0</v>
      </c>
      <c r="AA82" s="130">
        <v>0</v>
      </c>
      <c r="AB82" s="130">
        <v>0</v>
      </c>
      <c r="AC82" s="130">
        <v>0</v>
      </c>
      <c r="AD82" s="130">
        <v>0</v>
      </c>
      <c r="AE82" s="132"/>
      <c r="AF82" s="63"/>
      <c r="AG82" s="35"/>
      <c r="AH82" s="36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</row>
    <row r="83" spans="1:118" s="61" customFormat="1">
      <c r="A83" s="72" t="s">
        <v>25</v>
      </c>
      <c r="B83" s="73">
        <f>B84</f>
        <v>0</v>
      </c>
      <c r="C83" s="73">
        <f t="shared" ref="C83:E83" si="32">C84</f>
        <v>0</v>
      </c>
      <c r="D83" s="73">
        <f t="shared" si="32"/>
        <v>0</v>
      </c>
      <c r="E83" s="73">
        <f t="shared" si="32"/>
        <v>0</v>
      </c>
      <c r="F83" s="74">
        <v>0</v>
      </c>
      <c r="G83" s="74">
        <v>0</v>
      </c>
      <c r="H83" s="73">
        <f>H84</f>
        <v>0</v>
      </c>
      <c r="I83" s="73">
        <f t="shared" ref="I83:AE83" si="33">I84</f>
        <v>0</v>
      </c>
      <c r="J83" s="73">
        <f t="shared" si="33"/>
        <v>0</v>
      </c>
      <c r="K83" s="73">
        <f t="shared" si="33"/>
        <v>0</v>
      </c>
      <c r="L83" s="73">
        <f t="shared" si="33"/>
        <v>0</v>
      </c>
      <c r="M83" s="73">
        <f t="shared" si="33"/>
        <v>0</v>
      </c>
      <c r="N83" s="73">
        <f>N84</f>
        <v>0</v>
      </c>
      <c r="O83" s="73">
        <f t="shared" si="33"/>
        <v>0</v>
      </c>
      <c r="P83" s="73">
        <f t="shared" si="33"/>
        <v>0</v>
      </c>
      <c r="Q83" s="73">
        <f t="shared" si="33"/>
        <v>0</v>
      </c>
      <c r="R83" s="73">
        <f t="shared" si="33"/>
        <v>0</v>
      </c>
      <c r="S83" s="73">
        <f t="shared" si="33"/>
        <v>0</v>
      </c>
      <c r="T83" s="73">
        <f t="shared" si="33"/>
        <v>0</v>
      </c>
      <c r="U83" s="73">
        <f t="shared" si="33"/>
        <v>0</v>
      </c>
      <c r="V83" s="73">
        <f t="shared" si="33"/>
        <v>0</v>
      </c>
      <c r="W83" s="73">
        <f t="shared" si="33"/>
        <v>0</v>
      </c>
      <c r="X83" s="73">
        <f t="shared" si="33"/>
        <v>0</v>
      </c>
      <c r="Y83" s="73">
        <f t="shared" si="33"/>
        <v>0</v>
      </c>
      <c r="Z83" s="73">
        <f t="shared" si="33"/>
        <v>0</v>
      </c>
      <c r="AA83" s="73">
        <f t="shared" si="33"/>
        <v>0</v>
      </c>
      <c r="AB83" s="73">
        <f t="shared" si="33"/>
        <v>0</v>
      </c>
      <c r="AC83" s="73">
        <f t="shared" si="33"/>
        <v>0</v>
      </c>
      <c r="AD83" s="73">
        <f t="shared" si="33"/>
        <v>0</v>
      </c>
      <c r="AE83" s="93">
        <f t="shared" si="33"/>
        <v>0</v>
      </c>
      <c r="AF83" s="42"/>
      <c r="AG83" s="35"/>
      <c r="AH83" s="36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</row>
    <row r="84" spans="1:118" s="61" customFormat="1" ht="18.75" customHeight="1">
      <c r="A84" s="80" t="s">
        <v>105</v>
      </c>
      <c r="B84" s="81">
        <f>H84+J84+L84+N84+P84+R84+T84+V84+X84+Z84+AB84+AD84</f>
        <v>0</v>
      </c>
      <c r="C84" s="82">
        <f>H84+J84+L84+N84+P84+R84+T84+V84</f>
        <v>0</v>
      </c>
      <c r="D84" s="82"/>
      <c r="E84" s="82">
        <f>I84+K84+M84+O84+Q84+S84+U84+W84+Y84+AA84+AC84+AE84</f>
        <v>0</v>
      </c>
      <c r="F84" s="83">
        <v>0</v>
      </c>
      <c r="G84" s="83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>
        <v>0</v>
      </c>
      <c r="O84" s="82">
        <v>0</v>
      </c>
      <c r="P84" s="82">
        <v>0</v>
      </c>
      <c r="Q84" s="82">
        <v>0</v>
      </c>
      <c r="R84" s="82">
        <v>0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82">
        <v>0</v>
      </c>
      <c r="Z84" s="82">
        <v>0</v>
      </c>
      <c r="AA84" s="82">
        <v>0</v>
      </c>
      <c r="AB84" s="82">
        <v>0</v>
      </c>
      <c r="AC84" s="82">
        <v>0</v>
      </c>
      <c r="AD84" s="82">
        <v>0</v>
      </c>
      <c r="AE84" s="82">
        <v>0</v>
      </c>
      <c r="AF84" s="82"/>
      <c r="AG84" s="35"/>
      <c r="AH84" s="36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</row>
    <row r="85" spans="1:118" s="35" customFormat="1" ht="90.75" customHeight="1">
      <c r="A85" s="133" t="s">
        <v>134</v>
      </c>
      <c r="B85" s="143"/>
      <c r="C85" s="140"/>
      <c r="D85" s="140"/>
      <c r="E85" s="140"/>
      <c r="F85" s="141"/>
      <c r="G85" s="141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2"/>
      <c r="AF85" s="172" t="s">
        <v>153</v>
      </c>
      <c r="AH85" s="36"/>
    </row>
    <row r="86" spans="1:118" s="35" customFormat="1">
      <c r="A86" s="72" t="s">
        <v>25</v>
      </c>
      <c r="B86" s="73">
        <f>B87</f>
        <v>0</v>
      </c>
      <c r="C86" s="73">
        <f>C87</f>
        <v>0</v>
      </c>
      <c r="D86" s="73">
        <f>D87</f>
        <v>0</v>
      </c>
      <c r="E86" s="73">
        <f>E87</f>
        <v>0</v>
      </c>
      <c r="F86" s="74">
        <f t="shared" ref="F86:AE86" si="34">F87</f>
        <v>0</v>
      </c>
      <c r="G86" s="74">
        <v>0</v>
      </c>
      <c r="H86" s="73">
        <f t="shared" si="34"/>
        <v>0</v>
      </c>
      <c r="I86" s="73">
        <f t="shared" si="34"/>
        <v>0</v>
      </c>
      <c r="J86" s="73">
        <f t="shared" si="34"/>
        <v>0</v>
      </c>
      <c r="K86" s="73">
        <f t="shared" si="34"/>
        <v>0</v>
      </c>
      <c r="L86" s="73">
        <f t="shared" si="34"/>
        <v>0</v>
      </c>
      <c r="M86" s="73">
        <f t="shared" si="34"/>
        <v>0</v>
      </c>
      <c r="N86" s="73">
        <f t="shared" si="34"/>
        <v>0</v>
      </c>
      <c r="O86" s="73">
        <f t="shared" si="34"/>
        <v>0</v>
      </c>
      <c r="P86" s="73">
        <f t="shared" si="34"/>
        <v>0</v>
      </c>
      <c r="Q86" s="73">
        <f t="shared" si="34"/>
        <v>0</v>
      </c>
      <c r="R86" s="73">
        <f t="shared" si="34"/>
        <v>0</v>
      </c>
      <c r="S86" s="73">
        <f t="shared" si="34"/>
        <v>0</v>
      </c>
      <c r="T86" s="73">
        <f t="shared" si="34"/>
        <v>0</v>
      </c>
      <c r="U86" s="73">
        <f t="shared" si="34"/>
        <v>0</v>
      </c>
      <c r="V86" s="73">
        <f t="shared" si="34"/>
        <v>0</v>
      </c>
      <c r="W86" s="73">
        <f t="shared" si="34"/>
        <v>0</v>
      </c>
      <c r="X86" s="73">
        <f t="shared" si="34"/>
        <v>0</v>
      </c>
      <c r="Y86" s="73">
        <f t="shared" si="34"/>
        <v>0</v>
      </c>
      <c r="Z86" s="73">
        <f t="shared" si="34"/>
        <v>0</v>
      </c>
      <c r="AA86" s="73">
        <f t="shared" si="34"/>
        <v>0</v>
      </c>
      <c r="AB86" s="73">
        <f t="shared" si="34"/>
        <v>0</v>
      </c>
      <c r="AC86" s="73">
        <f t="shared" si="34"/>
        <v>0</v>
      </c>
      <c r="AD86" s="73">
        <f t="shared" si="34"/>
        <v>0</v>
      </c>
      <c r="AE86" s="93">
        <f t="shared" si="34"/>
        <v>0</v>
      </c>
      <c r="AF86" s="42"/>
      <c r="AH86" s="36"/>
    </row>
    <row r="87" spans="1:118" s="35" customFormat="1" ht="27.75" customHeight="1">
      <c r="A87" s="80" t="s">
        <v>105</v>
      </c>
      <c r="B87" s="81">
        <f>H87+J87+L87+N87+P87+R87+T87+V87+X87+Z87+AB87+AD87</f>
        <v>0</v>
      </c>
      <c r="C87" s="82">
        <f>H87+J87+L87+N87+P87+R87+T87+V87+X87</f>
        <v>0</v>
      </c>
      <c r="D87" s="82"/>
      <c r="E87" s="82">
        <f>I87+K87+M87+O87+Q87+S87+U87+W87+Y87+AA87+AC87+AE87</f>
        <v>0</v>
      </c>
      <c r="F87" s="83">
        <v>0</v>
      </c>
      <c r="G87" s="83">
        <v>0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H87" s="36"/>
    </row>
    <row r="88" spans="1:118" s="35" customFormat="1" ht="291" customHeight="1">
      <c r="A88" s="133" t="s">
        <v>135</v>
      </c>
      <c r="B88" s="143"/>
      <c r="C88" s="140"/>
      <c r="D88" s="140"/>
      <c r="E88" s="140"/>
      <c r="F88" s="141"/>
      <c r="G88" s="141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2"/>
      <c r="AF88" s="172" t="s">
        <v>140</v>
      </c>
      <c r="AH88" s="36"/>
    </row>
    <row r="89" spans="1:118" s="35" customFormat="1">
      <c r="A89" s="72" t="s">
        <v>25</v>
      </c>
      <c r="B89" s="73">
        <f>B90</f>
        <v>0</v>
      </c>
      <c r="C89" s="73">
        <f>C90</f>
        <v>0</v>
      </c>
      <c r="D89" s="73">
        <f>D90</f>
        <v>0</v>
      </c>
      <c r="E89" s="73">
        <f>E90</f>
        <v>0</v>
      </c>
      <c r="F89" s="74">
        <f t="shared" ref="F89:AE89" si="35">F90</f>
        <v>0</v>
      </c>
      <c r="G89" s="74">
        <v>0</v>
      </c>
      <c r="H89" s="73">
        <f t="shared" si="35"/>
        <v>0</v>
      </c>
      <c r="I89" s="73">
        <f t="shared" si="35"/>
        <v>0</v>
      </c>
      <c r="J89" s="73">
        <f t="shared" si="35"/>
        <v>0</v>
      </c>
      <c r="K89" s="73">
        <f t="shared" si="35"/>
        <v>0</v>
      </c>
      <c r="L89" s="73">
        <f t="shared" si="35"/>
        <v>0</v>
      </c>
      <c r="M89" s="73">
        <f t="shared" si="35"/>
        <v>0</v>
      </c>
      <c r="N89" s="73">
        <f t="shared" si="35"/>
        <v>0</v>
      </c>
      <c r="O89" s="73">
        <f t="shared" si="35"/>
        <v>0</v>
      </c>
      <c r="P89" s="73">
        <f t="shared" si="35"/>
        <v>0</v>
      </c>
      <c r="Q89" s="73">
        <f t="shared" si="35"/>
        <v>0</v>
      </c>
      <c r="R89" s="73">
        <f t="shared" si="35"/>
        <v>0</v>
      </c>
      <c r="S89" s="73">
        <f t="shared" si="35"/>
        <v>0</v>
      </c>
      <c r="T89" s="73">
        <f t="shared" si="35"/>
        <v>0</v>
      </c>
      <c r="U89" s="73">
        <f t="shared" si="35"/>
        <v>0</v>
      </c>
      <c r="V89" s="73">
        <f t="shared" si="35"/>
        <v>0</v>
      </c>
      <c r="W89" s="73">
        <f t="shared" si="35"/>
        <v>0</v>
      </c>
      <c r="X89" s="73">
        <f t="shared" si="35"/>
        <v>0</v>
      </c>
      <c r="Y89" s="73">
        <f t="shared" si="35"/>
        <v>0</v>
      </c>
      <c r="Z89" s="73">
        <f t="shared" si="35"/>
        <v>0</v>
      </c>
      <c r="AA89" s="73">
        <f t="shared" si="35"/>
        <v>0</v>
      </c>
      <c r="AB89" s="73">
        <f t="shared" si="35"/>
        <v>0</v>
      </c>
      <c r="AC89" s="73">
        <f t="shared" si="35"/>
        <v>0</v>
      </c>
      <c r="AD89" s="73">
        <f t="shared" si="35"/>
        <v>0</v>
      </c>
      <c r="AE89" s="73">
        <f t="shared" si="35"/>
        <v>0</v>
      </c>
      <c r="AF89" s="42"/>
      <c r="AH89" s="36"/>
    </row>
    <row r="90" spans="1:118" s="35" customFormat="1" ht="22.5" customHeight="1">
      <c r="A90" s="80" t="s">
        <v>105</v>
      </c>
      <c r="B90" s="81">
        <f>H90+J90+L90+N90+P90+R90+T90+V90+X90+Z90+AB90+AD90</f>
        <v>0</v>
      </c>
      <c r="C90" s="82">
        <f>H90+J90+L90+N90+P90+R90+T90+V90+X90</f>
        <v>0</v>
      </c>
      <c r="D90" s="82"/>
      <c r="E90" s="82">
        <f>I90+K90+M90+O90+Q90+S90+U90+W90+Y90+AA90+AC90+AE90</f>
        <v>0</v>
      </c>
      <c r="F90" s="83">
        <v>0</v>
      </c>
      <c r="G90" s="83">
        <v>0</v>
      </c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H90" s="36"/>
    </row>
    <row r="91" spans="1:118" s="35" customFormat="1" ht="75.75" customHeight="1">
      <c r="A91" s="94" t="s">
        <v>136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H91" s="36"/>
    </row>
    <row r="92" spans="1:118" s="35" customFormat="1" ht="111" customHeight="1">
      <c r="A92" s="133" t="s">
        <v>137</v>
      </c>
      <c r="B92" s="143"/>
      <c r="C92" s="140"/>
      <c r="D92" s="140"/>
      <c r="E92" s="140"/>
      <c r="F92" s="141"/>
      <c r="G92" s="141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2"/>
      <c r="AF92" s="149" t="s">
        <v>139</v>
      </c>
      <c r="AH92" s="36"/>
    </row>
    <row r="93" spans="1:118" s="35" customFormat="1">
      <c r="A93" s="72" t="s">
        <v>25</v>
      </c>
      <c r="B93" s="73">
        <f>B94</f>
        <v>0</v>
      </c>
      <c r="C93" s="73">
        <f>C94</f>
        <v>0</v>
      </c>
      <c r="D93" s="73">
        <f>D94</f>
        <v>0</v>
      </c>
      <c r="E93" s="73">
        <f>E94</f>
        <v>0</v>
      </c>
      <c r="F93" s="74">
        <v>0</v>
      </c>
      <c r="G93" s="74">
        <v>0</v>
      </c>
      <c r="H93" s="73">
        <f t="shared" ref="H93:AE93" si="36">H94</f>
        <v>0</v>
      </c>
      <c r="I93" s="73">
        <f t="shared" si="36"/>
        <v>0</v>
      </c>
      <c r="J93" s="73">
        <f t="shared" si="36"/>
        <v>0</v>
      </c>
      <c r="K93" s="73">
        <f t="shared" si="36"/>
        <v>0</v>
      </c>
      <c r="L93" s="73">
        <f t="shared" si="36"/>
        <v>0</v>
      </c>
      <c r="M93" s="73">
        <f t="shared" si="36"/>
        <v>0</v>
      </c>
      <c r="N93" s="73">
        <f t="shared" si="36"/>
        <v>0</v>
      </c>
      <c r="O93" s="73">
        <f t="shared" si="36"/>
        <v>0</v>
      </c>
      <c r="P93" s="73">
        <f t="shared" si="36"/>
        <v>0</v>
      </c>
      <c r="Q93" s="73">
        <f t="shared" si="36"/>
        <v>0</v>
      </c>
      <c r="R93" s="73">
        <f t="shared" si="36"/>
        <v>0</v>
      </c>
      <c r="S93" s="73">
        <f t="shared" si="36"/>
        <v>0</v>
      </c>
      <c r="T93" s="73">
        <f t="shared" si="36"/>
        <v>0</v>
      </c>
      <c r="U93" s="73">
        <f t="shared" si="36"/>
        <v>0</v>
      </c>
      <c r="V93" s="73">
        <f t="shared" si="36"/>
        <v>0</v>
      </c>
      <c r="W93" s="73">
        <f t="shared" si="36"/>
        <v>0</v>
      </c>
      <c r="X93" s="73">
        <f t="shared" si="36"/>
        <v>0</v>
      </c>
      <c r="Y93" s="73">
        <f t="shared" si="36"/>
        <v>0</v>
      </c>
      <c r="Z93" s="73">
        <f t="shared" si="36"/>
        <v>0</v>
      </c>
      <c r="AA93" s="73">
        <f t="shared" si="36"/>
        <v>0</v>
      </c>
      <c r="AB93" s="73">
        <f t="shared" si="36"/>
        <v>0</v>
      </c>
      <c r="AC93" s="73">
        <f t="shared" si="36"/>
        <v>0</v>
      </c>
      <c r="AD93" s="73">
        <f t="shared" si="36"/>
        <v>0</v>
      </c>
      <c r="AE93" s="73">
        <f t="shared" si="36"/>
        <v>0</v>
      </c>
      <c r="AF93" s="73"/>
      <c r="AH93" s="36"/>
    </row>
    <row r="94" spans="1:118" s="35" customFormat="1" ht="20.25" customHeight="1">
      <c r="A94" s="76" t="s">
        <v>104</v>
      </c>
      <c r="B94" s="77">
        <f>H94+J94+L94+N94+P94+R94+T94+V94+X94+Z94+AB94+AD94</f>
        <v>0</v>
      </c>
      <c r="C94" s="78">
        <f>H94+J94+L94+N94+P94+R94+T94+V94+X94+Z94+AB94</f>
        <v>0</v>
      </c>
      <c r="D94" s="78">
        <v>0</v>
      </c>
      <c r="E94" s="78">
        <f>I94+K94+M94+O94+Q94+S94+U94+W94+Y94+AA94+AC94+AE94</f>
        <v>0</v>
      </c>
      <c r="F94" s="79">
        <v>0</v>
      </c>
      <c r="G94" s="79">
        <v>0</v>
      </c>
      <c r="H94" s="78">
        <v>0</v>
      </c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8">
        <v>0</v>
      </c>
      <c r="R94" s="78">
        <v>0</v>
      </c>
      <c r="S94" s="78">
        <v>0</v>
      </c>
      <c r="T94" s="78"/>
      <c r="U94" s="78"/>
      <c r="V94" s="78">
        <v>0</v>
      </c>
      <c r="W94" s="78">
        <v>0</v>
      </c>
      <c r="X94" s="78">
        <v>0</v>
      </c>
      <c r="Y94" s="78">
        <v>0</v>
      </c>
      <c r="Z94" s="78"/>
      <c r="AA94" s="78"/>
      <c r="AB94" s="78"/>
      <c r="AC94" s="78">
        <v>0</v>
      </c>
      <c r="AD94" s="78">
        <v>0</v>
      </c>
      <c r="AE94" s="78">
        <v>0</v>
      </c>
      <c r="AF94" s="78"/>
      <c r="AH94" s="36"/>
    </row>
    <row r="95" spans="1:118" s="43" customFormat="1" ht="37.5" customHeight="1">
      <c r="A95" s="72" t="s">
        <v>107</v>
      </c>
      <c r="B95" s="73">
        <f>B96+B97</f>
        <v>27405.096740000001</v>
      </c>
      <c r="C95" s="73">
        <f>C96+C97</f>
        <v>25996.03656</v>
      </c>
      <c r="D95" s="73">
        <f t="shared" ref="D95:AE95" si="37">D96+D97</f>
        <v>24743.23775</v>
      </c>
      <c r="E95" s="73">
        <f t="shared" si="37"/>
        <v>23326.67699</v>
      </c>
      <c r="F95" s="74">
        <f>E95/B95</f>
        <v>0.8511802461894904</v>
      </c>
      <c r="G95" s="74">
        <f>E95/C95</f>
        <v>0.8973166711841245</v>
      </c>
      <c r="H95" s="73">
        <f t="shared" si="37"/>
        <v>524.64462000000003</v>
      </c>
      <c r="I95" s="73">
        <f t="shared" si="37"/>
        <v>484.70751000000001</v>
      </c>
      <c r="J95" s="73">
        <f t="shared" si="37"/>
        <v>1119.9647199999999</v>
      </c>
      <c r="K95" s="73">
        <f t="shared" si="37"/>
        <v>570.56865000000005</v>
      </c>
      <c r="L95" s="73">
        <f t="shared" si="37"/>
        <v>1047.4377199999999</v>
      </c>
      <c r="M95" s="73">
        <f t="shared" si="37"/>
        <v>783.28032000000007</v>
      </c>
      <c r="N95" s="73">
        <f t="shared" si="37"/>
        <v>1775.5329999999999</v>
      </c>
      <c r="O95" s="73">
        <f t="shared" si="37"/>
        <v>1246.7350200000001</v>
      </c>
      <c r="P95" s="73">
        <f t="shared" si="37"/>
        <v>1259.61374</v>
      </c>
      <c r="Q95" s="73">
        <f t="shared" si="37"/>
        <v>976.33542000000011</v>
      </c>
      <c r="R95" s="73">
        <f t="shared" si="37"/>
        <v>5066.6744800000006</v>
      </c>
      <c r="S95" s="73">
        <f t="shared" si="37"/>
        <v>5049.6549599999998</v>
      </c>
      <c r="T95" s="73">
        <f t="shared" si="37"/>
        <v>5065.0272400000003</v>
      </c>
      <c r="U95" s="73">
        <f t="shared" si="37"/>
        <v>5129.7612500000005</v>
      </c>
      <c r="V95" s="73">
        <f t="shared" si="37"/>
        <v>5156.6861400000007</v>
      </c>
      <c r="W95" s="73">
        <f t="shared" si="37"/>
        <v>4953.1997700000002</v>
      </c>
      <c r="X95" s="73">
        <f t="shared" si="37"/>
        <v>1584.0147200000001</v>
      </c>
      <c r="Y95" s="73">
        <f t="shared" si="37"/>
        <v>1441.2915499999999</v>
      </c>
      <c r="Z95" s="73">
        <f t="shared" si="37"/>
        <v>1398.6049300000002</v>
      </c>
      <c r="AA95" s="73">
        <f t="shared" si="37"/>
        <v>1392.2476000000001</v>
      </c>
      <c r="AB95" s="73">
        <f t="shared" si="37"/>
        <v>1997.8352499999999</v>
      </c>
      <c r="AC95" s="73">
        <f t="shared" si="37"/>
        <v>1298.8949400000001</v>
      </c>
      <c r="AD95" s="73">
        <f t="shared" si="37"/>
        <v>1409.0601800000002</v>
      </c>
      <c r="AE95" s="73">
        <f t="shared" si="37"/>
        <v>0</v>
      </c>
      <c r="AF95" s="42"/>
      <c r="AG95" s="66"/>
      <c r="AH95" s="44"/>
    </row>
    <row r="96" spans="1:118" s="35" customFormat="1" ht="24" customHeight="1">
      <c r="A96" s="76" t="s">
        <v>104</v>
      </c>
      <c r="B96" s="77">
        <f>B10+B77+B94</f>
        <v>5434.7999999999993</v>
      </c>
      <c r="C96" s="77">
        <f>C10+C77+C94</f>
        <v>5209.3898200000003</v>
      </c>
      <c r="D96" s="77">
        <f>D10+D77+D94</f>
        <v>4603.0108099999998</v>
      </c>
      <c r="E96" s="77">
        <f>E10+E77+E94</f>
        <v>4494.9009099999994</v>
      </c>
      <c r="F96" s="119">
        <f>E96/B96</f>
        <v>0.82705912085081323</v>
      </c>
      <c r="G96" s="119">
        <f>E96/C96</f>
        <v>0.86284595035354816</v>
      </c>
      <c r="H96" s="77">
        <f t="shared" ref="H96:AE96" si="38">H10+H77+H94</f>
        <v>524.64462000000003</v>
      </c>
      <c r="I96" s="77">
        <f t="shared" si="38"/>
        <v>484.70751000000001</v>
      </c>
      <c r="J96" s="77">
        <f t="shared" si="38"/>
        <v>326.67171999999999</v>
      </c>
      <c r="K96" s="77">
        <f t="shared" si="38"/>
        <v>285.25</v>
      </c>
      <c r="L96" s="77">
        <f t="shared" si="38"/>
        <v>245.60072</v>
      </c>
      <c r="M96" s="77">
        <f t="shared" si="38"/>
        <v>130.17678000000001</v>
      </c>
      <c r="N96" s="77">
        <f t="shared" si="38"/>
        <v>359.13150999999999</v>
      </c>
      <c r="O96" s="77">
        <f t="shared" si="38"/>
        <v>304.66965000000005</v>
      </c>
      <c r="P96" s="77">
        <f t="shared" si="38"/>
        <v>325.78971999999999</v>
      </c>
      <c r="Q96" s="77">
        <f t="shared" si="38"/>
        <v>229.47471000000002</v>
      </c>
      <c r="R96" s="77">
        <f t="shared" si="38"/>
        <v>120.23872</v>
      </c>
      <c r="S96" s="77">
        <f t="shared" si="38"/>
        <v>389.76058</v>
      </c>
      <c r="T96" s="77">
        <f t="shared" si="38"/>
        <v>1075.30008</v>
      </c>
      <c r="U96" s="77">
        <f t="shared" si="38"/>
        <v>1064.65156</v>
      </c>
      <c r="V96" s="77">
        <f t="shared" si="38"/>
        <v>836.32713999999999</v>
      </c>
      <c r="W96" s="77">
        <f t="shared" si="38"/>
        <v>559.90990999999997</v>
      </c>
      <c r="X96" s="77">
        <f t="shared" si="38"/>
        <v>617.78671999999995</v>
      </c>
      <c r="Y96" s="77">
        <f t="shared" si="38"/>
        <v>513.96538999999996</v>
      </c>
      <c r="Z96" s="77">
        <f t="shared" si="38"/>
        <v>332.36993000000001</v>
      </c>
      <c r="AA96" s="77">
        <f t="shared" si="38"/>
        <v>309.62669999999997</v>
      </c>
      <c r="AB96" s="77">
        <f t="shared" si="38"/>
        <v>445.52893999999998</v>
      </c>
      <c r="AC96" s="77">
        <f t="shared" si="38"/>
        <v>222.70812000000001</v>
      </c>
      <c r="AD96" s="77">
        <f t="shared" si="38"/>
        <v>225.41018</v>
      </c>
      <c r="AE96" s="77">
        <f t="shared" si="38"/>
        <v>0</v>
      </c>
      <c r="AF96" s="77"/>
      <c r="AG96" s="66"/>
      <c r="AH96" s="36"/>
    </row>
    <row r="97" spans="1:43" s="35" customFormat="1" ht="24" customHeight="1">
      <c r="A97" s="80" t="s">
        <v>105</v>
      </c>
      <c r="B97" s="81">
        <f>B11+B78</f>
        <v>21970.296740000002</v>
      </c>
      <c r="C97" s="81">
        <f>C11+C78</f>
        <v>20786.64674</v>
      </c>
      <c r="D97" s="81">
        <f>D11+D78</f>
        <v>20140.22694</v>
      </c>
      <c r="E97" s="81">
        <f>E11+E78</f>
        <v>18831.77608</v>
      </c>
      <c r="F97" s="120">
        <f>E97/B97</f>
        <v>0.85714709741330508</v>
      </c>
      <c r="G97" s="120">
        <f>E97/C97</f>
        <v>0.90595545859553095</v>
      </c>
      <c r="H97" s="81">
        <f t="shared" ref="H97:AE97" si="39">H11+H78</f>
        <v>0</v>
      </c>
      <c r="I97" s="81">
        <f t="shared" si="39"/>
        <v>0</v>
      </c>
      <c r="J97" s="81">
        <f t="shared" si="39"/>
        <v>793.29300000000001</v>
      </c>
      <c r="K97" s="81">
        <f t="shared" si="39"/>
        <v>285.31865000000005</v>
      </c>
      <c r="L97" s="81">
        <f t="shared" si="39"/>
        <v>801.83699999999999</v>
      </c>
      <c r="M97" s="81">
        <f t="shared" si="39"/>
        <v>653.10354000000007</v>
      </c>
      <c r="N97" s="81">
        <f t="shared" si="39"/>
        <v>1416.40149</v>
      </c>
      <c r="O97" s="81">
        <f t="shared" si="39"/>
        <v>942.06537000000003</v>
      </c>
      <c r="P97" s="81">
        <f t="shared" si="39"/>
        <v>933.82402000000002</v>
      </c>
      <c r="Q97" s="81">
        <f t="shared" si="39"/>
        <v>746.86071000000004</v>
      </c>
      <c r="R97" s="81">
        <f t="shared" si="39"/>
        <v>4946.4357600000003</v>
      </c>
      <c r="S97" s="81">
        <f t="shared" si="39"/>
        <v>4659.8943799999997</v>
      </c>
      <c r="T97" s="81">
        <f t="shared" si="39"/>
        <v>3989.7271600000004</v>
      </c>
      <c r="U97" s="81">
        <f t="shared" si="39"/>
        <v>4065.1096900000002</v>
      </c>
      <c r="V97" s="81">
        <f t="shared" si="39"/>
        <v>4320.3590000000004</v>
      </c>
      <c r="W97" s="81">
        <f t="shared" si="39"/>
        <v>4393.2898599999999</v>
      </c>
      <c r="X97" s="81">
        <f t="shared" si="39"/>
        <v>966.22800000000007</v>
      </c>
      <c r="Y97" s="81">
        <f t="shared" si="39"/>
        <v>927.32616000000007</v>
      </c>
      <c r="Z97" s="81">
        <f t="shared" si="39"/>
        <v>1066.2350000000001</v>
      </c>
      <c r="AA97" s="81">
        <f t="shared" si="39"/>
        <v>1082.6209000000001</v>
      </c>
      <c r="AB97" s="81">
        <f t="shared" si="39"/>
        <v>1552.3063099999999</v>
      </c>
      <c r="AC97" s="81">
        <f t="shared" si="39"/>
        <v>1076.1868200000001</v>
      </c>
      <c r="AD97" s="81">
        <f t="shared" si="39"/>
        <v>1183.6500000000001</v>
      </c>
      <c r="AE97" s="81">
        <f t="shared" si="39"/>
        <v>0</v>
      </c>
      <c r="AF97" s="81"/>
      <c r="AG97" s="66"/>
      <c r="AH97" s="36"/>
    </row>
    <row r="98" spans="1:43" s="35" customFormat="1">
      <c r="A98" s="45"/>
      <c r="B98" s="45"/>
      <c r="C98" s="46"/>
      <c r="D98" s="46"/>
      <c r="E98" s="47"/>
      <c r="F98" s="47"/>
      <c r="G98" s="47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9"/>
      <c r="AH98" s="36"/>
    </row>
    <row r="99" spans="1:43" s="35" customFormat="1" ht="63.75" customHeight="1">
      <c r="A99" s="125" t="s">
        <v>156</v>
      </c>
      <c r="B99" s="208"/>
      <c r="C99" s="208"/>
      <c r="D99" s="209" t="s">
        <v>155</v>
      </c>
      <c r="E99" s="210"/>
      <c r="F99" s="210"/>
      <c r="G99" s="210"/>
      <c r="H99" s="211"/>
      <c r="I99" s="211"/>
      <c r="J99" s="211"/>
      <c r="K99" s="48"/>
      <c r="L99" s="48"/>
      <c r="M99" s="48"/>
      <c r="N99" s="48"/>
      <c r="O99" s="48"/>
      <c r="P99" s="48"/>
      <c r="Q99" s="48"/>
      <c r="R99" s="48"/>
      <c r="S99" s="48"/>
      <c r="T99" s="46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9"/>
      <c r="AH99" s="36"/>
    </row>
    <row r="100" spans="1:43" ht="15.75" customHeight="1">
      <c r="B100" s="58" t="s">
        <v>108</v>
      </c>
      <c r="D100" s="212" t="s">
        <v>109</v>
      </c>
      <c r="E100" s="212"/>
      <c r="F100" s="212"/>
      <c r="G100" s="60"/>
      <c r="H100" s="213"/>
      <c r="I100" s="213"/>
      <c r="J100" s="213"/>
      <c r="M100" s="33"/>
      <c r="N100" s="33"/>
      <c r="U100" s="51"/>
      <c r="AA100" s="59"/>
      <c r="AB100" s="59"/>
      <c r="AC100" s="59"/>
      <c r="AD100" s="52"/>
    </row>
    <row r="101" spans="1:43" ht="15.75" customHeight="1">
      <c r="A101" s="51"/>
      <c r="B101" s="50"/>
      <c r="E101" s="51"/>
      <c r="F101" s="52"/>
      <c r="G101" s="52"/>
      <c r="H101" s="53"/>
      <c r="I101" s="54"/>
      <c r="M101" s="33"/>
      <c r="N101" s="33"/>
      <c r="R101" s="55"/>
      <c r="S101" s="19"/>
      <c r="U101" s="51"/>
      <c r="V101" s="20"/>
      <c r="W101" s="20"/>
      <c r="X101" s="20"/>
      <c r="Y101" s="20"/>
      <c r="AA101" s="20"/>
      <c r="AB101" s="33"/>
      <c r="AC101" s="59"/>
      <c r="AD101" s="52"/>
      <c r="AE101" s="20"/>
      <c r="AF101" s="19"/>
      <c r="AG101" s="19"/>
      <c r="AH101" s="56"/>
      <c r="AI101" s="19"/>
      <c r="AJ101" s="19"/>
      <c r="AK101" s="19"/>
      <c r="AL101" s="19"/>
      <c r="AM101" s="19"/>
      <c r="AN101" s="19"/>
      <c r="AO101" s="19"/>
      <c r="AP101" s="19"/>
      <c r="AQ101" s="18"/>
    </row>
    <row r="102" spans="1:43" ht="18.75" customHeight="1">
      <c r="A102" s="206" t="s">
        <v>110</v>
      </c>
      <c r="B102" s="206"/>
      <c r="C102" s="206"/>
      <c r="D102" s="206"/>
      <c r="E102" s="206"/>
      <c r="F102" s="206"/>
      <c r="G102" s="206"/>
      <c r="H102" s="206"/>
      <c r="U102" s="57"/>
      <c r="Y102" s="57"/>
    </row>
    <row r="103" spans="1:43" ht="15.75" customHeight="1">
      <c r="A103" s="18" t="s">
        <v>141</v>
      </c>
    </row>
    <row r="104" spans="1:43" ht="15.75" customHeight="1">
      <c r="A104" s="64"/>
    </row>
    <row r="105" spans="1:43" ht="15.75" customHeight="1"/>
    <row r="106" spans="1:43" ht="15.75" customHeight="1"/>
  </sheetData>
  <mergeCells count="34">
    <mergeCell ref="D100:F100"/>
    <mergeCell ref="H100:J100"/>
    <mergeCell ref="A102:H102"/>
    <mergeCell ref="AF28:AF31"/>
    <mergeCell ref="AF32:AF37"/>
    <mergeCell ref="AF38:AF47"/>
    <mergeCell ref="AF56:AF65"/>
    <mergeCell ref="AF66:AF68"/>
    <mergeCell ref="AF79:AF81"/>
    <mergeCell ref="B99:C99"/>
    <mergeCell ref="D99:G99"/>
    <mergeCell ref="H99:J99"/>
    <mergeCell ref="AF24:AF27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F5"/>
    <mergeCell ref="AF12:AF23"/>
    <mergeCell ref="A2:AC2"/>
    <mergeCell ref="A4:A5"/>
    <mergeCell ref="B4:B5"/>
    <mergeCell ref="C4:C5"/>
    <mergeCell ref="D4:D5"/>
    <mergeCell ref="E4:E5"/>
    <mergeCell ref="F4:G4"/>
    <mergeCell ref="H4:I4"/>
    <mergeCell ref="J4:K4"/>
    <mergeCell ref="L4:M4"/>
  </mergeCells>
  <printOptions horizontalCentered="1"/>
  <pageMargins left="0" right="0" top="0" bottom="0" header="0" footer="0"/>
  <pageSetup paperSize="9" scale="50" fitToHeight="0" orientation="landscape" r:id="rId1"/>
  <rowBreaks count="1" manualBreakCount="1">
    <brk id="7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титульный лист</vt:lpstr>
      <vt:lpstr>сетевой 2018 </vt:lpstr>
      <vt:lpstr>сетевой 2018  для размещения </vt:lpstr>
      <vt:lpstr>'сетевой 2018 '!Заголовки_для_печати</vt:lpstr>
      <vt:lpstr>'сетевой 2018  для размещения '!Заголовки_для_печати</vt:lpstr>
      <vt:lpstr>'сетевой 2018 '!Область_печати</vt:lpstr>
      <vt:lpstr>'сетевой 2018  для размещения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2018-12-14T04:33:03Z</dcterms:modified>
</cp:coreProperties>
</file>