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65" windowWidth="14805" windowHeight="6450" firstSheet="2" activeTab="2"/>
  </bookViews>
  <sheets>
    <sheet name="Лист1" sheetId="2" state="hidden" r:id="rId1"/>
    <sheet name="Лист2" sheetId="3" state="hidden" r:id="rId2"/>
    <sheet name="сетевой 2019" sheetId="14" r:id="rId3"/>
    <sheet name="программа" sheetId="17" r:id="rId4"/>
  </sheets>
  <definedNames>
    <definedName name="_xlnm.Print_Titles" localSheetId="2">'сетевой 2019'!$A:$A,'сетевой 2019'!$4:$5</definedName>
    <definedName name="_xlnm.Print_Area" localSheetId="2">'сетевой 2019'!$A$1:$AF$148</definedName>
  </definedNames>
  <calcPr calcId="145621"/>
</workbook>
</file>

<file path=xl/calcChain.xml><?xml version="1.0" encoding="utf-8"?>
<calcChain xmlns="http://schemas.openxmlformats.org/spreadsheetml/2006/main">
  <c r="Q48" i="14" l="1"/>
  <c r="Q47" i="14"/>
  <c r="C68" i="14" l="1"/>
  <c r="D68" i="14" s="1"/>
  <c r="D57" i="14"/>
  <c r="D47" i="14"/>
  <c r="Q127" i="14"/>
  <c r="Q29" i="14"/>
  <c r="Q28" i="14"/>
  <c r="D28" i="14"/>
  <c r="D127" i="14"/>
  <c r="N100" i="14"/>
  <c r="AD98" i="14"/>
  <c r="P80" i="14"/>
  <c r="C80" i="14" s="1"/>
  <c r="P70" i="14"/>
  <c r="C70" i="14" s="1"/>
  <c r="C73" i="14" s="1"/>
  <c r="H167" i="17" l="1"/>
  <c r="G167" i="17"/>
  <c r="G165" i="17" s="1"/>
  <c r="H165" i="17"/>
  <c r="H158" i="17"/>
  <c r="G158" i="17"/>
  <c r="F158" i="17"/>
  <c r="E158" i="17" s="1"/>
  <c r="E152" i="17"/>
  <c r="E149" i="17" s="1"/>
  <c r="E151" i="17"/>
  <c r="H149" i="17"/>
  <c r="G149" i="17"/>
  <c r="F149" i="17"/>
  <c r="E147" i="17"/>
  <c r="E144" i="17" s="1"/>
  <c r="E146" i="17"/>
  <c r="H144" i="17"/>
  <c r="G144" i="17"/>
  <c r="F144" i="17"/>
  <c r="E142" i="17"/>
  <c r="E141" i="17"/>
  <c r="E139" i="17" s="1"/>
  <c r="H139" i="17"/>
  <c r="G139" i="17"/>
  <c r="F139" i="17"/>
  <c r="E137" i="17"/>
  <c r="E134" i="17" s="1"/>
  <c r="E136" i="17"/>
  <c r="H134" i="17"/>
  <c r="G134" i="17"/>
  <c r="F134" i="17"/>
  <c r="E131" i="17"/>
  <c r="E130" i="17"/>
  <c r="E128" i="17" s="1"/>
  <c r="H128" i="17"/>
  <c r="G128" i="17"/>
  <c r="F128" i="17"/>
  <c r="E121" i="17"/>
  <c r="E120" i="17"/>
  <c r="H118" i="17"/>
  <c r="G118" i="17"/>
  <c r="F118" i="17"/>
  <c r="E118" i="17"/>
  <c r="G116" i="17"/>
  <c r="G113" i="17" s="1"/>
  <c r="G115" i="17"/>
  <c r="E112" i="17"/>
  <c r="E110" i="17" s="1"/>
  <c r="E111" i="17"/>
  <c r="H110" i="17"/>
  <c r="G110" i="17"/>
  <c r="F110" i="17"/>
  <c r="E109" i="17"/>
  <c r="E107" i="17" s="1"/>
  <c r="E108" i="17"/>
  <c r="H107" i="17"/>
  <c r="G107" i="17"/>
  <c r="F107" i="17"/>
  <c r="E106" i="17"/>
  <c r="F105" i="17"/>
  <c r="F167" i="17" s="1"/>
  <c r="H104" i="17"/>
  <c r="G104" i="17"/>
  <c r="F104" i="17"/>
  <c r="H102" i="17"/>
  <c r="H116" i="17" s="1"/>
  <c r="G102" i="17"/>
  <c r="F102" i="17"/>
  <c r="F116" i="17" s="1"/>
  <c r="H101" i="17"/>
  <c r="H115" i="17" s="1"/>
  <c r="H113" i="17" s="1"/>
  <c r="G101" i="17"/>
  <c r="F101" i="17"/>
  <c r="E101" i="17" s="1"/>
  <c r="H99" i="17"/>
  <c r="G99" i="17"/>
  <c r="F99" i="17"/>
  <c r="E96" i="17"/>
  <c r="E93" i="17" s="1"/>
  <c r="E95" i="17"/>
  <c r="H93" i="17"/>
  <c r="G93" i="17"/>
  <c r="F93" i="17"/>
  <c r="E87" i="17"/>
  <c r="E86" i="17"/>
  <c r="H85" i="17"/>
  <c r="G85" i="17"/>
  <c r="F85" i="17"/>
  <c r="E85" i="17"/>
  <c r="E84" i="17"/>
  <c r="E82" i="17" s="1"/>
  <c r="E83" i="17"/>
  <c r="H82" i="17"/>
  <c r="G82" i="17"/>
  <c r="F82" i="17"/>
  <c r="H80" i="17"/>
  <c r="G80" i="17"/>
  <c r="F80" i="17"/>
  <c r="F77" i="17" s="1"/>
  <c r="H79" i="17"/>
  <c r="G79" i="17"/>
  <c r="F79" i="17"/>
  <c r="H77" i="17"/>
  <c r="E76" i="17"/>
  <c r="H75" i="17"/>
  <c r="G75" i="17"/>
  <c r="G68" i="17" s="1"/>
  <c r="F75" i="17"/>
  <c r="H74" i="17"/>
  <c r="F74" i="17"/>
  <c r="E73" i="17"/>
  <c r="H72" i="17"/>
  <c r="H157" i="17" s="1"/>
  <c r="H155" i="17" s="1"/>
  <c r="G72" i="17"/>
  <c r="G157" i="17" s="1"/>
  <c r="G155" i="17" s="1"/>
  <c r="F72" i="17"/>
  <c r="E72" i="17" s="1"/>
  <c r="E71" i="17" s="1"/>
  <c r="H71" i="17"/>
  <c r="G71" i="17"/>
  <c r="F71" i="17"/>
  <c r="H69" i="17"/>
  <c r="H91" i="17" s="1"/>
  <c r="G69" i="17"/>
  <c r="F69" i="17"/>
  <c r="F91" i="17" s="1"/>
  <c r="E63" i="17"/>
  <c r="E54" i="17"/>
  <c r="F53" i="17"/>
  <c r="E53" i="17" s="1"/>
  <c r="E52" i="17" s="1"/>
  <c r="H52" i="17"/>
  <c r="G52" i="17"/>
  <c r="F52" i="17"/>
  <c r="H50" i="17"/>
  <c r="H168" i="17" s="1"/>
  <c r="G50" i="17"/>
  <c r="G168" i="17" s="1"/>
  <c r="F50" i="17"/>
  <c r="F168" i="17" s="1"/>
  <c r="H49" i="17"/>
  <c r="H62" i="17" s="1"/>
  <c r="H60" i="17" s="1"/>
  <c r="G49" i="17"/>
  <c r="G62" i="17" s="1"/>
  <c r="G60" i="17" s="1"/>
  <c r="F49" i="17"/>
  <c r="F62" i="17" s="1"/>
  <c r="F60" i="17" s="1"/>
  <c r="E48" i="17"/>
  <c r="G47" i="17"/>
  <c r="F47" i="17"/>
  <c r="H46" i="17"/>
  <c r="H198" i="17" s="1"/>
  <c r="G46" i="17"/>
  <c r="G198" i="17" s="1"/>
  <c r="F46" i="17"/>
  <c r="H45" i="17"/>
  <c r="H197" i="17" s="1"/>
  <c r="G45" i="17"/>
  <c r="G197" i="17" s="1"/>
  <c r="F45" i="17"/>
  <c r="H43" i="17"/>
  <c r="H193" i="17" s="1"/>
  <c r="G43" i="17"/>
  <c r="G193" i="17" s="1"/>
  <c r="F43" i="17"/>
  <c r="H42" i="17"/>
  <c r="H192" i="17" s="1"/>
  <c r="G42" i="17"/>
  <c r="G192" i="17" s="1"/>
  <c r="F42" i="17"/>
  <c r="F41" i="17" s="1"/>
  <c r="H40" i="17"/>
  <c r="H188" i="17" s="1"/>
  <c r="G40" i="17"/>
  <c r="G188" i="17" s="1"/>
  <c r="F40" i="17"/>
  <c r="H39" i="17"/>
  <c r="H187" i="17" s="1"/>
  <c r="G39" i="17"/>
  <c r="G187" i="17" s="1"/>
  <c r="F39" i="17"/>
  <c r="F38" i="17" s="1"/>
  <c r="H37" i="17"/>
  <c r="H183" i="17" s="1"/>
  <c r="G37" i="17"/>
  <c r="G183" i="17" s="1"/>
  <c r="F37" i="17"/>
  <c r="H36" i="17"/>
  <c r="H182" i="17" s="1"/>
  <c r="G36" i="17"/>
  <c r="G182" i="17" s="1"/>
  <c r="F36" i="17"/>
  <c r="H34" i="17"/>
  <c r="H173" i="17" s="1"/>
  <c r="G34" i="17"/>
  <c r="G173" i="17" s="1"/>
  <c r="F34" i="17"/>
  <c r="H33" i="17"/>
  <c r="H172" i="17" s="1"/>
  <c r="G33" i="17"/>
  <c r="G172" i="17" s="1"/>
  <c r="F33" i="17"/>
  <c r="H31" i="17"/>
  <c r="H178" i="17" s="1"/>
  <c r="G31" i="17"/>
  <c r="G178" i="17" s="1"/>
  <c r="F31" i="17"/>
  <c r="H30" i="17"/>
  <c r="H177" i="17" s="1"/>
  <c r="G30" i="17"/>
  <c r="G177" i="17" s="1"/>
  <c r="F30" i="17"/>
  <c r="H28" i="17"/>
  <c r="H26" i="17" s="1"/>
  <c r="H27" i="17"/>
  <c r="H24" i="17"/>
  <c r="G24" i="17"/>
  <c r="F24" i="17"/>
  <c r="E23" i="17"/>
  <c r="H22" i="17"/>
  <c r="G22" i="17"/>
  <c r="H21" i="17"/>
  <c r="H19" i="17" s="1"/>
  <c r="G21" i="17"/>
  <c r="F21" i="17"/>
  <c r="F19" i="17" s="1"/>
  <c r="H20" i="17"/>
  <c r="G20" i="17"/>
  <c r="G19" i="17" s="1"/>
  <c r="F20" i="17"/>
  <c r="H18" i="17"/>
  <c r="H163" i="17" s="1"/>
  <c r="G18" i="17"/>
  <c r="F18" i="17"/>
  <c r="F16" i="17" s="1"/>
  <c r="H17" i="17"/>
  <c r="H162" i="17" s="1"/>
  <c r="G17" i="17"/>
  <c r="G162" i="17" s="1"/>
  <c r="F17" i="17"/>
  <c r="F162" i="17" s="1"/>
  <c r="H14" i="17"/>
  <c r="H58" i="17" s="1"/>
  <c r="E167" i="17" l="1"/>
  <c r="E165" i="17" s="1"/>
  <c r="F165" i="17"/>
  <c r="G27" i="17"/>
  <c r="G26" i="17" s="1"/>
  <c r="G29" i="17"/>
  <c r="G32" i="17"/>
  <c r="G35" i="17"/>
  <c r="H180" i="17"/>
  <c r="G185" i="17"/>
  <c r="E49" i="17"/>
  <c r="E47" i="17" s="1"/>
  <c r="E50" i="17"/>
  <c r="F66" i="17"/>
  <c r="G74" i="17"/>
  <c r="E79" i="17"/>
  <c r="G91" i="17"/>
  <c r="F115" i="17"/>
  <c r="F113" i="17" s="1"/>
  <c r="E18" i="17"/>
  <c r="H29" i="17"/>
  <c r="H32" i="17"/>
  <c r="G38" i="17"/>
  <c r="G44" i="17"/>
  <c r="F68" i="17"/>
  <c r="F90" i="17" s="1"/>
  <c r="E90" i="17" s="1"/>
  <c r="E88" i="17" s="1"/>
  <c r="F157" i="17"/>
  <c r="H16" i="17"/>
  <c r="H35" i="17"/>
  <c r="G41" i="17"/>
  <c r="H13" i="17"/>
  <c r="E20" i="17"/>
  <c r="G28" i="17"/>
  <c r="G14" i="17" s="1"/>
  <c r="G58" i="17" s="1"/>
  <c r="G126" i="17" s="1"/>
  <c r="H38" i="17"/>
  <c r="H41" i="17"/>
  <c r="H44" i="17"/>
  <c r="E69" i="17"/>
  <c r="E102" i="17"/>
  <c r="E99" i="17" s="1"/>
  <c r="E105" i="17"/>
  <c r="E104" i="17" s="1"/>
  <c r="E30" i="17"/>
  <c r="F177" i="17"/>
  <c r="E34" i="17"/>
  <c r="F173" i="17"/>
  <c r="E173" i="17" s="1"/>
  <c r="F198" i="17"/>
  <c r="E198" i="17" s="1"/>
  <c r="E46" i="17"/>
  <c r="F88" i="17"/>
  <c r="G16" i="17"/>
  <c r="H160" i="17"/>
  <c r="E24" i="17"/>
  <c r="E22" i="17" s="1"/>
  <c r="F22" i="17"/>
  <c r="F163" i="17"/>
  <c r="F29" i="17"/>
  <c r="G175" i="17"/>
  <c r="F172" i="17"/>
  <c r="E33" i="17"/>
  <c r="E37" i="17"/>
  <c r="F183" i="17"/>
  <c r="E183" i="17" s="1"/>
  <c r="H185" i="17"/>
  <c r="G190" i="17"/>
  <c r="E45" i="17"/>
  <c r="F197" i="17"/>
  <c r="E157" i="17"/>
  <c r="E155" i="17" s="1"/>
  <c r="E168" i="17"/>
  <c r="F28" i="17"/>
  <c r="E28" i="17" s="1"/>
  <c r="H175" i="17"/>
  <c r="F32" i="17"/>
  <c r="G170" i="17"/>
  <c r="F182" i="17"/>
  <c r="E36" i="17"/>
  <c r="E35" i="17" s="1"/>
  <c r="F188" i="17"/>
  <c r="E188" i="17" s="1"/>
  <c r="E40" i="17"/>
  <c r="H190" i="17"/>
  <c r="F44" i="17"/>
  <c r="G195" i="17"/>
  <c r="E62" i="17"/>
  <c r="E60" i="17" s="1"/>
  <c r="E91" i="17"/>
  <c r="G77" i="17"/>
  <c r="G90" i="17"/>
  <c r="G88" i="17" s="1"/>
  <c r="E116" i="17"/>
  <c r="E162" i="17"/>
  <c r="H126" i="17"/>
  <c r="E17" i="17"/>
  <c r="E16" i="17" s="1"/>
  <c r="G163" i="17"/>
  <c r="G160" i="17" s="1"/>
  <c r="E21" i="17"/>
  <c r="F27" i="17"/>
  <c r="F178" i="17"/>
  <c r="E178" i="17" s="1"/>
  <c r="E31" i="17"/>
  <c r="H170" i="17"/>
  <c r="F35" i="17"/>
  <c r="G180" i="17"/>
  <c r="E39" i="17"/>
  <c r="E38" i="17" s="1"/>
  <c r="F187" i="17"/>
  <c r="F193" i="17"/>
  <c r="E193" i="17" s="1"/>
  <c r="E43" i="17"/>
  <c r="H195" i="17"/>
  <c r="H68" i="17"/>
  <c r="H90" i="17" s="1"/>
  <c r="H88" i="17" s="1"/>
  <c r="H66" i="17"/>
  <c r="E80" i="17"/>
  <c r="E77" i="17" s="1"/>
  <c r="F192" i="17"/>
  <c r="E42" i="17"/>
  <c r="E41" i="17" s="1"/>
  <c r="F155" i="17"/>
  <c r="F160" i="17"/>
  <c r="E75" i="17"/>
  <c r="H47" i="17"/>
  <c r="G66" i="17"/>
  <c r="E19" i="17" l="1"/>
  <c r="E44" i="17"/>
  <c r="E115" i="17"/>
  <c r="H57" i="17"/>
  <c r="H11" i="17"/>
  <c r="G13" i="17"/>
  <c r="E74" i="17"/>
  <c r="E66" i="17"/>
  <c r="E27" i="17"/>
  <c r="E26" i="17" s="1"/>
  <c r="F13" i="17"/>
  <c r="F26" i="17"/>
  <c r="F195" i="17"/>
  <c r="E197" i="17"/>
  <c r="E195" i="17" s="1"/>
  <c r="G57" i="17"/>
  <c r="G11" i="17"/>
  <c r="E192" i="17"/>
  <c r="E190" i="17" s="1"/>
  <c r="F190" i="17"/>
  <c r="F185" i="17"/>
  <c r="E187" i="17"/>
  <c r="E185" i="17" s="1"/>
  <c r="E182" i="17"/>
  <c r="E180" i="17" s="1"/>
  <c r="F180" i="17"/>
  <c r="F175" i="17"/>
  <c r="E177" i="17"/>
  <c r="E175" i="17" s="1"/>
  <c r="E68" i="17"/>
  <c r="E32" i="17"/>
  <c r="E163" i="17"/>
  <c r="E160" i="17" s="1"/>
  <c r="E113" i="17"/>
  <c r="E29" i="17"/>
  <c r="E172" i="17"/>
  <c r="E170" i="17" s="1"/>
  <c r="F170" i="17"/>
  <c r="F14" i="17"/>
  <c r="H125" i="17" l="1"/>
  <c r="H123" i="17" s="1"/>
  <c r="H55" i="17"/>
  <c r="G55" i="17"/>
  <c r="G125" i="17"/>
  <c r="G123" i="17" s="1"/>
  <c r="E13" i="17"/>
  <c r="F11" i="17"/>
  <c r="F57" i="17"/>
  <c r="E14" i="17"/>
  <c r="F58" i="17"/>
  <c r="E11" i="17" l="1"/>
  <c r="F126" i="17"/>
  <c r="E126" i="17" s="1"/>
  <c r="E58" i="17"/>
  <c r="F125" i="17"/>
  <c r="E57" i="17"/>
  <c r="F55" i="17"/>
  <c r="F123" i="17" l="1"/>
  <c r="E125" i="17"/>
  <c r="E123" i="17" s="1"/>
  <c r="E55" i="17"/>
  <c r="N29" i="14" l="1"/>
  <c r="N28" i="14"/>
  <c r="L29" i="14"/>
  <c r="L28" i="14"/>
  <c r="T20" i="14"/>
  <c r="T19" i="14"/>
  <c r="R20" i="14"/>
  <c r="R19" i="14"/>
  <c r="C138" i="14" l="1"/>
  <c r="C119" i="14"/>
  <c r="C115" i="14"/>
  <c r="C100" i="14"/>
  <c r="D100" i="14" s="1"/>
  <c r="C98" i="14"/>
  <c r="D98" i="14" s="1"/>
  <c r="C97" i="14"/>
  <c r="D97" i="14" s="1"/>
  <c r="C90" i="14"/>
  <c r="D90" i="14" s="1"/>
  <c r="C88" i="14"/>
  <c r="D88" i="14" s="1"/>
  <c r="C87" i="14"/>
  <c r="D87" i="14" s="1"/>
  <c r="C78" i="14"/>
  <c r="D78" i="14" s="1"/>
  <c r="C77" i="14"/>
  <c r="D77" i="14" s="1"/>
  <c r="C67" i="14"/>
  <c r="D67" i="14" s="1"/>
  <c r="C60" i="14"/>
  <c r="C58" i="14"/>
  <c r="C34" i="14"/>
  <c r="C20" i="14"/>
  <c r="C19" i="14"/>
  <c r="C15" i="14" s="1"/>
  <c r="C72" i="14" l="1"/>
  <c r="C82" i="14"/>
  <c r="O50" i="14"/>
  <c r="O48" i="14"/>
  <c r="O36" i="14"/>
  <c r="O29" i="14"/>
  <c r="O28" i="14"/>
  <c r="O22" i="14"/>
  <c r="AD78" i="14" l="1"/>
  <c r="AD83" i="14"/>
  <c r="L63" i="14" l="1"/>
  <c r="AD57" i="14"/>
  <c r="AB57" i="14"/>
  <c r="Z57" i="14"/>
  <c r="X57" i="14"/>
  <c r="R57" i="14"/>
  <c r="P57" i="14"/>
  <c r="N57" i="14"/>
  <c r="L57" i="14"/>
  <c r="J57" i="14"/>
  <c r="C57" i="14" l="1"/>
  <c r="H63" i="14"/>
  <c r="E36" i="14" l="1"/>
  <c r="E19" i="14"/>
  <c r="G19" i="14" s="1"/>
  <c r="C66" i="14" l="1"/>
  <c r="C76" i="14"/>
  <c r="AE103" i="14"/>
  <c r="AD103" i="14"/>
  <c r="AC103" i="14"/>
  <c r="AA103" i="14"/>
  <c r="Y103" i="14"/>
  <c r="W103" i="14"/>
  <c r="V103" i="14"/>
  <c r="U103" i="14"/>
  <c r="S103" i="14"/>
  <c r="Q103" i="14"/>
  <c r="O103" i="14"/>
  <c r="N103" i="14"/>
  <c r="K103" i="14"/>
  <c r="I103" i="14"/>
  <c r="AE102" i="14"/>
  <c r="AC102" i="14"/>
  <c r="AA102" i="14"/>
  <c r="Z102" i="14"/>
  <c r="Y102" i="14"/>
  <c r="W102" i="14"/>
  <c r="U102" i="14"/>
  <c r="S102" i="14"/>
  <c r="S101" i="14" s="1"/>
  <c r="R102" i="14"/>
  <c r="Q102" i="14"/>
  <c r="O102" i="14"/>
  <c r="M102" i="14"/>
  <c r="K102" i="14"/>
  <c r="J102" i="14"/>
  <c r="I102" i="14"/>
  <c r="H102" i="14"/>
  <c r="D102" i="14"/>
  <c r="E100" i="14"/>
  <c r="H103" i="14"/>
  <c r="B100" i="14"/>
  <c r="AB103" i="14"/>
  <c r="Z103" i="14"/>
  <c r="X96" i="14"/>
  <c r="T103" i="14"/>
  <c r="R103" i="14"/>
  <c r="P103" i="14"/>
  <c r="M103" i="14"/>
  <c r="L103" i="14"/>
  <c r="J103" i="14"/>
  <c r="E98" i="14"/>
  <c r="AD96" i="14"/>
  <c r="AB102" i="14"/>
  <c r="X102" i="14"/>
  <c r="V96" i="14"/>
  <c r="T102" i="14"/>
  <c r="P102" i="14"/>
  <c r="N96" i="14"/>
  <c r="L102" i="14"/>
  <c r="E97" i="14"/>
  <c r="E102" i="14" s="1"/>
  <c r="C102" i="14"/>
  <c r="AE96" i="14"/>
  <c r="AC96" i="14"/>
  <c r="AB96" i="14"/>
  <c r="AA96" i="14"/>
  <c r="Y96" i="14"/>
  <c r="W96" i="14"/>
  <c r="U96" i="14"/>
  <c r="T96" i="14"/>
  <c r="S96" i="14"/>
  <c r="Q96" i="14"/>
  <c r="O96" i="14"/>
  <c r="M96" i="14"/>
  <c r="L96" i="14"/>
  <c r="K96" i="14"/>
  <c r="I96" i="14"/>
  <c r="H96" i="14"/>
  <c r="AE93" i="14"/>
  <c r="AD93" i="14"/>
  <c r="AC93" i="14"/>
  <c r="AA93" i="14"/>
  <c r="Z93" i="14"/>
  <c r="Y93" i="14"/>
  <c r="W93" i="14"/>
  <c r="V93" i="14"/>
  <c r="U93" i="14"/>
  <c r="S93" i="14"/>
  <c r="R93" i="14"/>
  <c r="Q93" i="14"/>
  <c r="O93" i="14"/>
  <c r="N93" i="14"/>
  <c r="K93" i="14"/>
  <c r="I93" i="14"/>
  <c r="AE92" i="14"/>
  <c r="AE91" i="14" s="1"/>
  <c r="AC92" i="14"/>
  <c r="AA92" i="14"/>
  <c r="Z92" i="14"/>
  <c r="Y92" i="14"/>
  <c r="W92" i="14"/>
  <c r="U92" i="14"/>
  <c r="U91" i="14" s="1"/>
  <c r="S92" i="14"/>
  <c r="R92" i="14"/>
  <c r="Q92" i="14"/>
  <c r="O92" i="14"/>
  <c r="O91" i="14" s="1"/>
  <c r="M92" i="14"/>
  <c r="K92" i="14"/>
  <c r="J92" i="14"/>
  <c r="I92" i="14"/>
  <c r="H92" i="14"/>
  <c r="D92" i="14"/>
  <c r="E90" i="14"/>
  <c r="H93" i="14"/>
  <c r="B90" i="14"/>
  <c r="AB93" i="14"/>
  <c r="Z86" i="14"/>
  <c r="X93" i="14"/>
  <c r="T93" i="14"/>
  <c r="R86" i="14"/>
  <c r="P93" i="14"/>
  <c r="M93" i="14"/>
  <c r="L93" i="14"/>
  <c r="J86" i="14"/>
  <c r="E88" i="14"/>
  <c r="AD86" i="14"/>
  <c r="AB92" i="14"/>
  <c r="X92" i="14"/>
  <c r="V86" i="14"/>
  <c r="T92" i="14"/>
  <c r="P92" i="14"/>
  <c r="N86" i="14"/>
  <c r="L92" i="14"/>
  <c r="E87" i="14"/>
  <c r="E92" i="14" s="1"/>
  <c r="C92" i="14"/>
  <c r="C105" i="14" s="1"/>
  <c r="AE86" i="14"/>
  <c r="AC86" i="14"/>
  <c r="AB86" i="14"/>
  <c r="AA86" i="14"/>
  <c r="Y86" i="14"/>
  <c r="W86" i="14"/>
  <c r="U86" i="14"/>
  <c r="T86" i="14"/>
  <c r="S86" i="14"/>
  <c r="Q86" i="14"/>
  <c r="O86" i="14"/>
  <c r="M86" i="14"/>
  <c r="L86" i="14"/>
  <c r="K86" i="14"/>
  <c r="I86" i="14"/>
  <c r="H86" i="14"/>
  <c r="AE83" i="14"/>
  <c r="AC83" i="14"/>
  <c r="AA83" i="14"/>
  <c r="Z83" i="14"/>
  <c r="Y83" i="14"/>
  <c r="W83" i="14"/>
  <c r="V83" i="14"/>
  <c r="U83" i="14"/>
  <c r="S83" i="14"/>
  <c r="R83" i="14"/>
  <c r="Q83" i="14"/>
  <c r="O83" i="14"/>
  <c r="N83" i="14"/>
  <c r="K83" i="14"/>
  <c r="I83" i="14"/>
  <c r="AE82" i="14"/>
  <c r="AE81" i="14" s="1"/>
  <c r="AC82" i="14"/>
  <c r="AA82" i="14"/>
  <c r="Z82" i="14"/>
  <c r="Y82" i="14"/>
  <c r="W82" i="14"/>
  <c r="U82" i="14"/>
  <c r="S82" i="14"/>
  <c r="R82" i="14"/>
  <c r="Q82" i="14"/>
  <c r="O82" i="14"/>
  <c r="M82" i="14"/>
  <c r="K82" i="14"/>
  <c r="J82" i="14"/>
  <c r="I82" i="14"/>
  <c r="H82" i="14"/>
  <c r="D82" i="14"/>
  <c r="E80" i="14"/>
  <c r="D80" i="14"/>
  <c r="H83" i="14"/>
  <c r="H81" i="14" s="1"/>
  <c r="B80" i="14"/>
  <c r="AB83" i="14"/>
  <c r="Z76" i="14"/>
  <c r="X83" i="14"/>
  <c r="T83" i="14"/>
  <c r="R76" i="14"/>
  <c r="P83" i="14"/>
  <c r="M83" i="14"/>
  <c r="L83" i="14"/>
  <c r="J76" i="14"/>
  <c r="E78" i="14"/>
  <c r="AD76" i="14"/>
  <c r="AB82" i="14"/>
  <c r="X82" i="14"/>
  <c r="V76" i="14"/>
  <c r="T82" i="14"/>
  <c r="P82" i="14"/>
  <c r="N76" i="14"/>
  <c r="L82" i="14"/>
  <c r="E77" i="14"/>
  <c r="E82" i="14" s="1"/>
  <c r="AE76" i="14"/>
  <c r="AC76" i="14"/>
  <c r="AB76" i="14"/>
  <c r="AA76" i="14"/>
  <c r="Y76" i="14"/>
  <c r="W76" i="14"/>
  <c r="U76" i="14"/>
  <c r="T76" i="14"/>
  <c r="S76" i="14"/>
  <c r="Q76" i="14"/>
  <c r="O76" i="14"/>
  <c r="M76" i="14"/>
  <c r="L76" i="14"/>
  <c r="K76" i="14"/>
  <c r="I76" i="14"/>
  <c r="H76" i="14"/>
  <c r="AE73" i="14"/>
  <c r="AE106" i="14" s="1"/>
  <c r="AC73" i="14"/>
  <c r="AC106" i="14" s="1"/>
  <c r="AA73" i="14"/>
  <c r="Y73" i="14"/>
  <c r="Y106" i="14" s="1"/>
  <c r="X73" i="14"/>
  <c r="W73" i="14"/>
  <c r="W106" i="14" s="1"/>
  <c r="U73" i="14"/>
  <c r="S73" i="14"/>
  <c r="S106" i="14" s="1"/>
  <c r="Q73" i="14"/>
  <c r="Q106" i="14" s="1"/>
  <c r="O73" i="14"/>
  <c r="K73" i="14"/>
  <c r="K106" i="14" s="1"/>
  <c r="I73" i="14"/>
  <c r="I106" i="14" s="1"/>
  <c r="AE72" i="14"/>
  <c r="AD72" i="14"/>
  <c r="AC72" i="14"/>
  <c r="AC105" i="14" s="1"/>
  <c r="AC104" i="14" s="1"/>
  <c r="AA72" i="14"/>
  <c r="AA105" i="14" s="1"/>
  <c r="Z72" i="14"/>
  <c r="Z105" i="14" s="1"/>
  <c r="Y72" i="14"/>
  <c r="W72" i="14"/>
  <c r="W105" i="14" s="1"/>
  <c r="W104" i="14" s="1"/>
  <c r="V72" i="14"/>
  <c r="U72" i="14"/>
  <c r="U105" i="14" s="1"/>
  <c r="S72" i="14"/>
  <c r="R72" i="14"/>
  <c r="Q72" i="14"/>
  <c r="Q105" i="14" s="1"/>
  <c r="O72" i="14"/>
  <c r="O105" i="14" s="1"/>
  <c r="N72" i="14"/>
  <c r="M72" i="14"/>
  <c r="K72" i="14"/>
  <c r="J72" i="14"/>
  <c r="J105" i="14" s="1"/>
  <c r="I72" i="14"/>
  <c r="I105" i="14" s="1"/>
  <c r="H72" i="14"/>
  <c r="D72" i="14"/>
  <c r="P73" i="14"/>
  <c r="E70" i="14"/>
  <c r="B70" i="14"/>
  <c r="D70" i="14"/>
  <c r="AD73" i="14"/>
  <c r="AB73" i="14"/>
  <c r="Z73" i="14"/>
  <c r="V73" i="14"/>
  <c r="V106" i="14" s="1"/>
  <c r="T73" i="14"/>
  <c r="R73" i="14"/>
  <c r="R106" i="14" s="1"/>
  <c r="N73" i="14"/>
  <c r="N106" i="14" s="1"/>
  <c r="E68" i="14"/>
  <c r="L73" i="14"/>
  <c r="L106" i="14" s="1"/>
  <c r="J73" i="14"/>
  <c r="B68" i="14"/>
  <c r="AB72" i="14"/>
  <c r="X72" i="14"/>
  <c r="X105" i="14" s="1"/>
  <c r="T72" i="14"/>
  <c r="P72" i="14"/>
  <c r="L72" i="14"/>
  <c r="L105" i="14" s="1"/>
  <c r="J66" i="14"/>
  <c r="E67" i="14"/>
  <c r="E72" i="14" s="1"/>
  <c r="E105" i="14" s="1"/>
  <c r="B67" i="14"/>
  <c r="B72" i="14" s="1"/>
  <c r="AE66" i="14"/>
  <c r="AD66" i="14"/>
  <c r="AC66" i="14"/>
  <c r="AB66" i="14"/>
  <c r="AA66" i="14"/>
  <c r="Y66" i="14"/>
  <c r="X66" i="14"/>
  <c r="W66" i="14"/>
  <c r="V66" i="14"/>
  <c r="U66" i="14"/>
  <c r="T66" i="14"/>
  <c r="S66" i="14"/>
  <c r="Q66" i="14"/>
  <c r="P66" i="14"/>
  <c r="O66" i="14"/>
  <c r="N66" i="14"/>
  <c r="M66" i="14"/>
  <c r="L66" i="14"/>
  <c r="K66" i="14"/>
  <c r="I66" i="14"/>
  <c r="H66" i="14"/>
  <c r="H91" i="14" l="1"/>
  <c r="I91" i="14"/>
  <c r="AA91" i="14"/>
  <c r="H101" i="14"/>
  <c r="K105" i="14"/>
  <c r="K104" i="14" s="1"/>
  <c r="H105" i="14"/>
  <c r="M105" i="14"/>
  <c r="R105" i="14"/>
  <c r="R104" i="14" s="1"/>
  <c r="U106" i="14"/>
  <c r="AA106" i="14"/>
  <c r="AB105" i="14"/>
  <c r="D105" i="14"/>
  <c r="P105" i="14"/>
  <c r="I104" i="14"/>
  <c r="S105" i="14"/>
  <c r="Y105" i="14"/>
  <c r="Y104" i="14" s="1"/>
  <c r="Q81" i="14"/>
  <c r="W81" i="14"/>
  <c r="AC81" i="14"/>
  <c r="O106" i="14"/>
  <c r="O104" i="14" s="1"/>
  <c r="AE71" i="14"/>
  <c r="AE105" i="14"/>
  <c r="AE104" i="14" s="1"/>
  <c r="AD106" i="14"/>
  <c r="G67" i="14"/>
  <c r="Z101" i="14"/>
  <c r="AB106" i="14"/>
  <c r="Z106" i="14"/>
  <c r="T106" i="14"/>
  <c r="P106" i="14"/>
  <c r="T71" i="14"/>
  <c r="T105" i="14"/>
  <c r="O71" i="14"/>
  <c r="Q71" i="14"/>
  <c r="Y71" i="14"/>
  <c r="R81" i="14"/>
  <c r="Q91" i="14"/>
  <c r="S104" i="14"/>
  <c r="AC101" i="14"/>
  <c r="K81" i="14"/>
  <c r="L71" i="14"/>
  <c r="I71" i="14"/>
  <c r="S71" i="14"/>
  <c r="G77" i="14"/>
  <c r="Z81" i="14"/>
  <c r="Q101" i="14"/>
  <c r="W101" i="14"/>
  <c r="U104" i="14"/>
  <c r="AA104" i="14"/>
  <c r="U71" i="14"/>
  <c r="O81" i="14"/>
  <c r="U81" i="14"/>
  <c r="P101" i="14"/>
  <c r="K101" i="14"/>
  <c r="Y101" i="14"/>
  <c r="AE101" i="14"/>
  <c r="L104" i="14"/>
  <c r="AB104" i="14"/>
  <c r="Q104" i="14"/>
  <c r="L101" i="14"/>
  <c r="O101" i="14"/>
  <c r="I101" i="14"/>
  <c r="U101" i="14"/>
  <c r="AA101" i="14"/>
  <c r="G97" i="14"/>
  <c r="R101" i="14"/>
  <c r="AB91" i="14"/>
  <c r="Y91" i="14"/>
  <c r="S91" i="14"/>
  <c r="Z91" i="14"/>
  <c r="G87" i="14"/>
  <c r="T91" i="14"/>
  <c r="W91" i="14"/>
  <c r="AC91" i="14"/>
  <c r="L91" i="14"/>
  <c r="K91" i="14"/>
  <c r="R91" i="14"/>
  <c r="T81" i="14"/>
  <c r="L81" i="14"/>
  <c r="Y81" i="14"/>
  <c r="S81" i="14"/>
  <c r="AB81" i="14"/>
  <c r="I81" i="14"/>
  <c r="AA81" i="14"/>
  <c r="AB71" i="14"/>
  <c r="Z71" i="14"/>
  <c r="W71" i="14"/>
  <c r="X71" i="14"/>
  <c r="AC71" i="14"/>
  <c r="K71" i="14"/>
  <c r="AA71" i="14"/>
  <c r="G105" i="14"/>
  <c r="M101" i="14"/>
  <c r="T101" i="14"/>
  <c r="AB101" i="14"/>
  <c r="G100" i="14"/>
  <c r="F100" i="14"/>
  <c r="J101" i="14"/>
  <c r="P96" i="14"/>
  <c r="B97" i="14"/>
  <c r="B98" i="14"/>
  <c r="N102" i="14"/>
  <c r="N101" i="14" s="1"/>
  <c r="V102" i="14"/>
  <c r="V101" i="14" s="1"/>
  <c r="AD102" i="14"/>
  <c r="AD101" i="14" s="1"/>
  <c r="E96" i="14"/>
  <c r="G98" i="14"/>
  <c r="G102" i="14"/>
  <c r="X103" i="14"/>
  <c r="X101" i="14" s="1"/>
  <c r="J96" i="14"/>
  <c r="R96" i="14"/>
  <c r="Z96" i="14"/>
  <c r="E103" i="14"/>
  <c r="G90" i="14"/>
  <c r="F90" i="14"/>
  <c r="P91" i="14"/>
  <c r="X91" i="14"/>
  <c r="E93" i="14"/>
  <c r="E91" i="14" s="1"/>
  <c r="G92" i="14"/>
  <c r="M91" i="14"/>
  <c r="J93" i="14"/>
  <c r="J91" i="14" s="1"/>
  <c r="P86" i="14"/>
  <c r="X86" i="14"/>
  <c r="B87" i="14"/>
  <c r="B88" i="14"/>
  <c r="F88" i="14" s="1"/>
  <c r="N92" i="14"/>
  <c r="N91" i="14" s="1"/>
  <c r="V92" i="14"/>
  <c r="V91" i="14" s="1"/>
  <c r="AD92" i="14"/>
  <c r="AD91" i="14" s="1"/>
  <c r="E86" i="14"/>
  <c r="G88" i="14"/>
  <c r="G80" i="14"/>
  <c r="F80" i="14"/>
  <c r="P81" i="14"/>
  <c r="X81" i="14"/>
  <c r="E83" i="14"/>
  <c r="G82" i="14"/>
  <c r="M81" i="14"/>
  <c r="J83" i="14"/>
  <c r="J81" i="14" s="1"/>
  <c r="P76" i="14"/>
  <c r="X76" i="14"/>
  <c r="B77" i="14"/>
  <c r="B78" i="14"/>
  <c r="E81" i="14"/>
  <c r="N82" i="14"/>
  <c r="N81" i="14" s="1"/>
  <c r="V82" i="14"/>
  <c r="V81" i="14" s="1"/>
  <c r="AD82" i="14"/>
  <c r="AD81" i="14" s="1"/>
  <c r="E76" i="14"/>
  <c r="N71" i="14"/>
  <c r="AD71" i="14"/>
  <c r="F70" i="14"/>
  <c r="G70" i="14"/>
  <c r="J71" i="14"/>
  <c r="G72" i="14"/>
  <c r="F72" i="14"/>
  <c r="V71" i="14"/>
  <c r="P71" i="14"/>
  <c r="B73" i="14"/>
  <c r="E73" i="14"/>
  <c r="E66" i="14"/>
  <c r="F68" i="14"/>
  <c r="R71" i="14"/>
  <c r="H73" i="14"/>
  <c r="B66" i="14"/>
  <c r="R66" i="14"/>
  <c r="Z66" i="14"/>
  <c r="M73" i="14"/>
  <c r="F67" i="14"/>
  <c r="P104" i="14" l="1"/>
  <c r="M71" i="14"/>
  <c r="M106" i="14"/>
  <c r="M104" i="14" s="1"/>
  <c r="H71" i="14"/>
  <c r="H106" i="14"/>
  <c r="E106" i="14"/>
  <c r="E104" i="14" s="1"/>
  <c r="J106" i="14"/>
  <c r="J104" i="14" s="1"/>
  <c r="H104" i="14"/>
  <c r="X106" i="14"/>
  <c r="Z104" i="14"/>
  <c r="X104" i="14"/>
  <c r="AD105" i="14"/>
  <c r="V105" i="14"/>
  <c r="N105" i="14"/>
  <c r="T104" i="14"/>
  <c r="B71" i="14"/>
  <c r="E101" i="14"/>
  <c r="B103" i="14"/>
  <c r="F103" i="14" s="1"/>
  <c r="B96" i="14"/>
  <c r="F96" i="14" s="1"/>
  <c r="F98" i="14"/>
  <c r="F97" i="14"/>
  <c r="B102" i="14"/>
  <c r="C96" i="14"/>
  <c r="G96" i="14" s="1"/>
  <c r="C103" i="14"/>
  <c r="G103" i="14" s="1"/>
  <c r="B92" i="14"/>
  <c r="F87" i="14"/>
  <c r="C86" i="14"/>
  <c r="G86" i="14" s="1"/>
  <c r="C93" i="14"/>
  <c r="B86" i="14"/>
  <c r="F86" i="14" s="1"/>
  <c r="B93" i="14"/>
  <c r="F93" i="14" s="1"/>
  <c r="C83" i="14"/>
  <c r="G83" i="14" s="1"/>
  <c r="G76" i="14"/>
  <c r="B76" i="14"/>
  <c r="F76" i="14" s="1"/>
  <c r="B83" i="14"/>
  <c r="F83" i="14" s="1"/>
  <c r="B82" i="14"/>
  <c r="B105" i="14" s="1"/>
  <c r="F77" i="14"/>
  <c r="G78" i="14"/>
  <c r="F78" i="14"/>
  <c r="G66" i="14"/>
  <c r="G73" i="14"/>
  <c r="F66" i="14"/>
  <c r="G68" i="14"/>
  <c r="F73" i="14"/>
  <c r="E71" i="14"/>
  <c r="H18" i="14"/>
  <c r="C18" i="14"/>
  <c r="M29" i="14"/>
  <c r="M22" i="14"/>
  <c r="E22" i="14" s="1"/>
  <c r="C106" i="14" l="1"/>
  <c r="C104" i="14" s="1"/>
  <c r="B106" i="14"/>
  <c r="AD104" i="14"/>
  <c r="V104" i="14"/>
  <c r="F105" i="14"/>
  <c r="N104" i="14"/>
  <c r="B101" i="14"/>
  <c r="F101" i="14" s="1"/>
  <c r="F102" i="14"/>
  <c r="C101" i="14"/>
  <c r="D96" i="14"/>
  <c r="D103" i="14"/>
  <c r="D101" i="14" s="1"/>
  <c r="D93" i="14"/>
  <c r="D91" i="14" s="1"/>
  <c r="D86" i="14"/>
  <c r="C91" i="14"/>
  <c r="G93" i="14"/>
  <c r="B91" i="14"/>
  <c r="F91" i="14" s="1"/>
  <c r="F92" i="14"/>
  <c r="C81" i="14"/>
  <c r="B81" i="14"/>
  <c r="F81" i="14" s="1"/>
  <c r="F82" i="14"/>
  <c r="D83" i="14"/>
  <c r="D81" i="14" s="1"/>
  <c r="D76" i="14"/>
  <c r="D73" i="14"/>
  <c r="D66" i="14"/>
  <c r="F71" i="14"/>
  <c r="C71" i="14"/>
  <c r="G106" i="14" l="1"/>
  <c r="F106" i="14"/>
  <c r="B104" i="14"/>
  <c r="F104" i="14" s="1"/>
  <c r="D71" i="14"/>
  <c r="D106" i="14"/>
  <c r="G101" i="14"/>
  <c r="G104" i="14"/>
  <c r="G91" i="14"/>
  <c r="G81" i="14"/>
  <c r="G71" i="14"/>
  <c r="M60" i="14"/>
  <c r="M58" i="14"/>
  <c r="AD127" i="14"/>
  <c r="L127" i="14"/>
  <c r="E138" i="14"/>
  <c r="G138" i="14" s="1"/>
  <c r="D116" i="14"/>
  <c r="D115" i="14"/>
  <c r="H115" i="14"/>
  <c r="J115" i="14"/>
  <c r="I115" i="14"/>
  <c r="E119" i="14"/>
  <c r="I120" i="14"/>
  <c r="I116" i="14" s="1"/>
  <c r="I114" i="14" s="1"/>
  <c r="AE120" i="14"/>
  <c r="AE118" i="14" s="1"/>
  <c r="AD120" i="14"/>
  <c r="AD118" i="14" s="1"/>
  <c r="AC120" i="14"/>
  <c r="AC116" i="14" s="1"/>
  <c r="AB120" i="14"/>
  <c r="AB118" i="14" s="1"/>
  <c r="AA120" i="14"/>
  <c r="AA116" i="14" s="1"/>
  <c r="Z120" i="14"/>
  <c r="Z116" i="14" s="1"/>
  <c r="Y120" i="14"/>
  <c r="Y116" i="14" s="1"/>
  <c r="X120" i="14"/>
  <c r="X118" i="14" s="1"/>
  <c r="W120" i="14"/>
  <c r="W118" i="14" s="1"/>
  <c r="V120" i="14"/>
  <c r="V118" i="14" s="1"/>
  <c r="U120" i="14"/>
  <c r="U116" i="14" s="1"/>
  <c r="T120" i="14"/>
  <c r="T118" i="14" s="1"/>
  <c r="S120" i="14"/>
  <c r="S116" i="14" s="1"/>
  <c r="R120" i="14"/>
  <c r="R116" i="14" s="1"/>
  <c r="Q120" i="14"/>
  <c r="Q116" i="14" s="1"/>
  <c r="P120" i="14"/>
  <c r="P118" i="14" s="1"/>
  <c r="O120" i="14"/>
  <c r="O118" i="14" s="1"/>
  <c r="N120" i="14"/>
  <c r="N118" i="14" s="1"/>
  <c r="M120" i="14"/>
  <c r="M116" i="14" s="1"/>
  <c r="L120" i="14"/>
  <c r="L118" i="14" s="1"/>
  <c r="K120" i="14"/>
  <c r="K116" i="14" s="1"/>
  <c r="J120" i="14"/>
  <c r="J118" i="14" s="1"/>
  <c r="H120" i="14"/>
  <c r="K115" i="14"/>
  <c r="L115" i="14"/>
  <c r="M115" i="14"/>
  <c r="N115" i="14"/>
  <c r="O115" i="14"/>
  <c r="P115" i="14"/>
  <c r="Q115" i="14"/>
  <c r="R115" i="14"/>
  <c r="S115" i="14"/>
  <c r="T115" i="14"/>
  <c r="U115" i="14"/>
  <c r="V115" i="14"/>
  <c r="W115" i="14"/>
  <c r="X115" i="14"/>
  <c r="Y115" i="14"/>
  <c r="AA115" i="14"/>
  <c r="AB115" i="14"/>
  <c r="AC115" i="14"/>
  <c r="AD115" i="14"/>
  <c r="AE115" i="14"/>
  <c r="Z138" i="14"/>
  <c r="Z119" i="14"/>
  <c r="B119" i="14" s="1"/>
  <c r="B118" i="14" s="1"/>
  <c r="C118" i="14"/>
  <c r="D118" i="14"/>
  <c r="Z115" i="14" l="1"/>
  <c r="C120" i="14"/>
  <c r="C116" i="14" s="1"/>
  <c r="C114" i="14" s="1"/>
  <c r="U114" i="14"/>
  <c r="Y114" i="14"/>
  <c r="E115" i="14"/>
  <c r="G115" i="14" s="1"/>
  <c r="G119" i="14"/>
  <c r="D104" i="14"/>
  <c r="AA118" i="14"/>
  <c r="K118" i="14"/>
  <c r="AE116" i="14"/>
  <c r="AE114" i="14" s="1"/>
  <c r="AE7" i="14" s="1"/>
  <c r="W116" i="14"/>
  <c r="W114" i="14" s="1"/>
  <c r="O116" i="14"/>
  <c r="O114" i="14" s="1"/>
  <c r="I118" i="14"/>
  <c r="AB116" i="14"/>
  <c r="AB114" i="14" s="1"/>
  <c r="T116" i="14"/>
  <c r="L116" i="14"/>
  <c r="L114" i="14" s="1"/>
  <c r="T114" i="14"/>
  <c r="P114" i="14"/>
  <c r="S118" i="14"/>
  <c r="E118" i="14"/>
  <c r="K114" i="14"/>
  <c r="B115" i="14"/>
  <c r="F115" i="14" s="1"/>
  <c r="X116" i="14"/>
  <c r="X114" i="14" s="1"/>
  <c r="P116" i="14"/>
  <c r="B120" i="14"/>
  <c r="H116" i="14"/>
  <c r="Z118" i="14"/>
  <c r="R118" i="14"/>
  <c r="Y118" i="14"/>
  <c r="Q118" i="14"/>
  <c r="M118" i="14"/>
  <c r="AD116" i="14"/>
  <c r="AD114" i="14" s="1"/>
  <c r="V116" i="14"/>
  <c r="V114" i="14" s="1"/>
  <c r="N116" i="14"/>
  <c r="N114" i="14" s="1"/>
  <c r="J116" i="14"/>
  <c r="J114" i="14" s="1"/>
  <c r="F119" i="14"/>
  <c r="AA114" i="14"/>
  <c r="S114" i="14"/>
  <c r="M63" i="14"/>
  <c r="Z114" i="14"/>
  <c r="R114" i="14"/>
  <c r="AC118" i="14"/>
  <c r="U118" i="14"/>
  <c r="AC114" i="14"/>
  <c r="Q114" i="14"/>
  <c r="M114" i="14"/>
  <c r="H118" i="14"/>
  <c r="E120" i="14"/>
  <c r="D114" i="14"/>
  <c r="C112" i="14"/>
  <c r="F120" i="14" l="1"/>
  <c r="G120" i="14"/>
  <c r="F118" i="14"/>
  <c r="G118" i="14"/>
  <c r="B116" i="14"/>
  <c r="B114" i="14" s="1"/>
  <c r="H114" i="14"/>
  <c r="E116" i="14"/>
  <c r="F116" i="14" l="1"/>
  <c r="G116" i="14"/>
  <c r="E114" i="14"/>
  <c r="G114" i="14" s="1"/>
  <c r="K127" i="14"/>
  <c r="J127" i="14"/>
  <c r="F114" i="14" l="1"/>
  <c r="K29" i="14"/>
  <c r="K24" i="14"/>
  <c r="D34" i="14" l="1"/>
  <c r="D20" i="14"/>
  <c r="H16" i="14"/>
  <c r="D15" i="14" l="1"/>
  <c r="D41" i="14" s="1"/>
  <c r="H15" i="14" l="1"/>
  <c r="I127" i="14" l="1"/>
  <c r="AB48" i="14" l="1"/>
  <c r="AB47" i="14"/>
  <c r="Z48" i="14"/>
  <c r="Z47" i="14"/>
  <c r="X48" i="14"/>
  <c r="X47" i="14"/>
  <c r="V48" i="14"/>
  <c r="V47" i="14"/>
  <c r="T48" i="14"/>
  <c r="T50" i="14"/>
  <c r="T47" i="14"/>
  <c r="R48" i="14"/>
  <c r="R50" i="14"/>
  <c r="R47" i="14"/>
  <c r="P48" i="14"/>
  <c r="P50" i="14"/>
  <c r="P47" i="14"/>
  <c r="C47" i="14" s="1"/>
  <c r="C52" i="14" s="1"/>
  <c r="N48" i="14"/>
  <c r="C48" i="14" l="1"/>
  <c r="D48" i="14" s="1"/>
  <c r="C108" i="14"/>
  <c r="D60" i="14"/>
  <c r="C62" i="14"/>
  <c r="D137" i="14"/>
  <c r="K126" i="14"/>
  <c r="I126" i="14"/>
  <c r="H111" i="14"/>
  <c r="I63" i="14"/>
  <c r="J63" i="14"/>
  <c r="K63" i="14"/>
  <c r="N63" i="14"/>
  <c r="O63" i="14"/>
  <c r="P63" i="14"/>
  <c r="Q63" i="14"/>
  <c r="R63" i="14"/>
  <c r="S63" i="14"/>
  <c r="T63" i="14"/>
  <c r="U63" i="14"/>
  <c r="V63" i="14"/>
  <c r="W63" i="14"/>
  <c r="X63" i="14"/>
  <c r="Y63" i="14"/>
  <c r="Z63" i="14"/>
  <c r="AA63" i="14"/>
  <c r="AB63" i="14"/>
  <c r="AC63" i="14"/>
  <c r="AD63" i="14"/>
  <c r="AE63" i="14"/>
  <c r="D62" i="14"/>
  <c r="H62" i="14"/>
  <c r="I62" i="14"/>
  <c r="J62" i="14"/>
  <c r="K62" i="14"/>
  <c r="L62" i="14"/>
  <c r="M62" i="14"/>
  <c r="N62" i="14"/>
  <c r="O62" i="14"/>
  <c r="P62" i="14"/>
  <c r="Q62" i="14"/>
  <c r="R62" i="14"/>
  <c r="S62" i="14"/>
  <c r="T62" i="14"/>
  <c r="U62" i="14"/>
  <c r="V62" i="14"/>
  <c r="W62" i="14"/>
  <c r="X62" i="14"/>
  <c r="Y62" i="14"/>
  <c r="Z62" i="14"/>
  <c r="AA62" i="14"/>
  <c r="AB62" i="14"/>
  <c r="AC62" i="14"/>
  <c r="AD62" i="14"/>
  <c r="AE62" i="14"/>
  <c r="N56" i="14"/>
  <c r="O56" i="14"/>
  <c r="AE56" i="14"/>
  <c r="AC56" i="14"/>
  <c r="AD56" i="14"/>
  <c r="J56" i="14"/>
  <c r="I56" i="14"/>
  <c r="H56" i="14"/>
  <c r="AE46" i="14"/>
  <c r="R46" i="14"/>
  <c r="S46" i="14"/>
  <c r="H46" i="14"/>
  <c r="E57" i="14"/>
  <c r="E62" i="14" s="1"/>
  <c r="B47" i="14"/>
  <c r="C39" i="14"/>
  <c r="B39" i="14"/>
  <c r="B38" i="14" s="1"/>
  <c r="E39" i="14"/>
  <c r="J38" i="14"/>
  <c r="I38" i="14"/>
  <c r="H38" i="14"/>
  <c r="I32" i="14"/>
  <c r="J32" i="14"/>
  <c r="K32" i="14"/>
  <c r="M32" i="14"/>
  <c r="N32" i="14"/>
  <c r="O32" i="14"/>
  <c r="P32" i="14"/>
  <c r="Q32" i="14"/>
  <c r="S32" i="14"/>
  <c r="U32" i="14"/>
  <c r="W32" i="14"/>
  <c r="X32" i="14"/>
  <c r="Y32" i="14"/>
  <c r="Z32" i="14"/>
  <c r="AA32" i="14"/>
  <c r="AB32" i="14"/>
  <c r="AC32" i="14"/>
  <c r="AD32" i="14"/>
  <c r="AE32" i="14"/>
  <c r="H32" i="14"/>
  <c r="E28" i="14"/>
  <c r="I27" i="14"/>
  <c r="K27" i="14"/>
  <c r="M27" i="14"/>
  <c r="O27" i="14"/>
  <c r="Q27" i="14"/>
  <c r="R27" i="14"/>
  <c r="S27" i="14"/>
  <c r="T27" i="14"/>
  <c r="U27" i="14"/>
  <c r="V27" i="14"/>
  <c r="W27" i="14"/>
  <c r="Y27" i="14"/>
  <c r="AA27" i="14"/>
  <c r="AC27" i="14"/>
  <c r="AD27" i="14"/>
  <c r="AE27" i="14"/>
  <c r="H27" i="14"/>
  <c r="I16" i="14"/>
  <c r="I42" i="14" s="1"/>
  <c r="K16" i="14"/>
  <c r="K42" i="14" s="1"/>
  <c r="M16" i="14"/>
  <c r="M42" i="14" s="1"/>
  <c r="N16" i="14"/>
  <c r="O16" i="14"/>
  <c r="P16" i="14"/>
  <c r="Q16" i="14"/>
  <c r="Q42" i="14" s="1"/>
  <c r="S16" i="14"/>
  <c r="S42" i="14" s="1"/>
  <c r="U16" i="14"/>
  <c r="W16" i="14"/>
  <c r="W42" i="14" s="1"/>
  <c r="X16" i="14"/>
  <c r="Y16" i="14"/>
  <c r="Y42" i="14" s="1"/>
  <c r="Z16" i="14"/>
  <c r="AA16" i="14"/>
  <c r="AA42" i="14" s="1"/>
  <c r="AB16" i="14"/>
  <c r="AC16" i="14"/>
  <c r="AC42" i="14" s="1"/>
  <c r="AD16" i="14"/>
  <c r="AE16" i="14"/>
  <c r="AE42" i="14" s="1"/>
  <c r="H42" i="14"/>
  <c r="N15" i="14"/>
  <c r="O15" i="14"/>
  <c r="O41" i="14" s="1"/>
  <c r="AB15" i="14"/>
  <c r="AC15" i="14"/>
  <c r="AC41" i="14" s="1"/>
  <c r="AD15" i="14"/>
  <c r="AD41" i="14" s="1"/>
  <c r="AE15" i="14"/>
  <c r="AE41" i="14" s="1"/>
  <c r="I15" i="14"/>
  <c r="J15" i="14"/>
  <c r="J41" i="14" s="1"/>
  <c r="K15" i="14"/>
  <c r="K41" i="14" s="1"/>
  <c r="L15" i="14"/>
  <c r="M15" i="14"/>
  <c r="M41" i="14" s="1"/>
  <c r="P15" i="14"/>
  <c r="Q15" i="14"/>
  <c r="Q41" i="14" s="1"/>
  <c r="R15" i="14"/>
  <c r="R41" i="14" s="1"/>
  <c r="S15" i="14"/>
  <c r="S41" i="14" s="1"/>
  <c r="U15" i="14"/>
  <c r="U41" i="14" s="1"/>
  <c r="W15" i="14"/>
  <c r="W41" i="14" s="1"/>
  <c r="X15" i="14"/>
  <c r="Y15" i="14"/>
  <c r="Y41" i="14" s="1"/>
  <c r="Z15" i="14"/>
  <c r="AA15" i="14"/>
  <c r="AA41" i="14" s="1"/>
  <c r="H41" i="14"/>
  <c r="N18" i="14"/>
  <c r="O18" i="14"/>
  <c r="P18" i="14"/>
  <c r="Q18" i="14"/>
  <c r="S18" i="14"/>
  <c r="U18" i="14"/>
  <c r="W18" i="14"/>
  <c r="X18" i="14"/>
  <c r="Y18" i="14"/>
  <c r="Z18" i="14"/>
  <c r="AA18" i="14"/>
  <c r="AB18" i="14"/>
  <c r="AC18" i="14"/>
  <c r="AD18" i="14"/>
  <c r="AE18" i="14"/>
  <c r="M18" i="14"/>
  <c r="L18" i="14"/>
  <c r="K18" i="14"/>
  <c r="J18" i="14"/>
  <c r="I18" i="14"/>
  <c r="H14" i="14"/>
  <c r="D18" i="14"/>
  <c r="E29" i="14"/>
  <c r="E24" i="14"/>
  <c r="E20" i="14"/>
  <c r="G20" i="14" s="1"/>
  <c r="Z56" i="14"/>
  <c r="S56" i="14"/>
  <c r="R56" i="14"/>
  <c r="Q56" i="14"/>
  <c r="P56" i="14"/>
  <c r="AB56" i="14"/>
  <c r="Y56" i="14"/>
  <c r="X56" i="14"/>
  <c r="M56" i="14"/>
  <c r="L56" i="14"/>
  <c r="K56" i="14"/>
  <c r="E16" i="14" l="1"/>
  <c r="I41" i="14"/>
  <c r="E15" i="14"/>
  <c r="AE61" i="14"/>
  <c r="AA61" i="14"/>
  <c r="W61" i="14"/>
  <c r="S61" i="14"/>
  <c r="O61" i="14"/>
  <c r="K61" i="14"/>
  <c r="U42" i="14"/>
  <c r="O42" i="14"/>
  <c r="E18" i="14"/>
  <c r="G18" i="14" s="1"/>
  <c r="AC61" i="14"/>
  <c r="Y61" i="14"/>
  <c r="U61" i="14"/>
  <c r="Q61" i="14"/>
  <c r="M61" i="14"/>
  <c r="I61" i="14"/>
  <c r="C63" i="14"/>
  <c r="D58" i="14"/>
  <c r="D63" i="14" s="1"/>
  <c r="E32" i="14"/>
  <c r="G62" i="14"/>
  <c r="AD14" i="14"/>
  <c r="E27" i="14"/>
  <c r="K14" i="14"/>
  <c r="AC14" i="14"/>
  <c r="N14" i="14"/>
  <c r="AD42" i="14"/>
  <c r="AD61" i="14"/>
  <c r="AB61" i="14"/>
  <c r="Z61" i="14"/>
  <c r="X61" i="14"/>
  <c r="V61" i="14"/>
  <c r="T61" i="14"/>
  <c r="R61" i="14"/>
  <c r="P61" i="14"/>
  <c r="N61" i="14"/>
  <c r="L61" i="14"/>
  <c r="J61" i="14"/>
  <c r="H61" i="14"/>
  <c r="AA14" i="14"/>
  <c r="I14" i="14"/>
  <c r="AB14" i="14"/>
  <c r="S14" i="14"/>
  <c r="U14" i="14"/>
  <c r="T56" i="14"/>
  <c r="P14" i="14"/>
  <c r="M14" i="14"/>
  <c r="X14" i="14"/>
  <c r="Z14" i="14"/>
  <c r="O14" i="14"/>
  <c r="W14" i="14"/>
  <c r="U56" i="14"/>
  <c r="E60" i="14"/>
  <c r="G60" i="14" s="1"/>
  <c r="Q14" i="14"/>
  <c r="Y14" i="14"/>
  <c r="AE14" i="14"/>
  <c r="G57" i="14"/>
  <c r="B57" i="14"/>
  <c r="B62" i="14" s="1"/>
  <c r="V56" i="14"/>
  <c r="AA56" i="14"/>
  <c r="B58" i="14"/>
  <c r="E58" i="14"/>
  <c r="B60" i="14"/>
  <c r="W56" i="14"/>
  <c r="D61" i="14" l="1"/>
  <c r="F60" i="14"/>
  <c r="E63" i="14"/>
  <c r="C61" i="14"/>
  <c r="B63" i="14"/>
  <c r="F62" i="14"/>
  <c r="F57" i="14"/>
  <c r="E56" i="14"/>
  <c r="D56" i="14"/>
  <c r="G58" i="14"/>
  <c r="C56" i="14"/>
  <c r="F58" i="14"/>
  <c r="B56" i="14"/>
  <c r="E61" i="14" l="1"/>
  <c r="G63" i="14"/>
  <c r="G61" i="14"/>
  <c r="F63" i="14"/>
  <c r="B61" i="14"/>
  <c r="F61" i="14" s="1"/>
  <c r="G56" i="14"/>
  <c r="F56" i="14"/>
  <c r="AD53" i="14" l="1"/>
  <c r="AD109" i="14" s="1"/>
  <c r="M53" i="14"/>
  <c r="M109" i="14" s="1"/>
  <c r="K53" i="14"/>
  <c r="J53" i="14"/>
  <c r="J109" i="14" s="1"/>
  <c r="I53" i="14"/>
  <c r="H53" i="14"/>
  <c r="AD52" i="14"/>
  <c r="Z52" i="14"/>
  <c r="Z108" i="14" s="1"/>
  <c r="S52" i="14"/>
  <c r="R52" i="14"/>
  <c r="Q52" i="14"/>
  <c r="P52" i="14"/>
  <c r="P108" i="14" s="1"/>
  <c r="O52" i="14"/>
  <c r="N52" i="14"/>
  <c r="N108" i="14" s="1"/>
  <c r="M52" i="14"/>
  <c r="L52" i="14"/>
  <c r="L108" i="14" s="1"/>
  <c r="K52" i="14"/>
  <c r="J52" i="14"/>
  <c r="I52" i="14"/>
  <c r="H52" i="14"/>
  <c r="Z50" i="14"/>
  <c r="X50" i="14"/>
  <c r="V50" i="14"/>
  <c r="V53" i="14" s="1"/>
  <c r="V109" i="14" s="1"/>
  <c r="N50" i="14"/>
  <c r="N53" i="14" s="1"/>
  <c r="N109" i="14" s="1"/>
  <c r="L50" i="14"/>
  <c r="AE53" i="14"/>
  <c r="AE109" i="14" s="1"/>
  <c r="AC53" i="14"/>
  <c r="AC109" i="14" s="1"/>
  <c r="Z53" i="14"/>
  <c r="Z109" i="14" s="1"/>
  <c r="R53" i="14"/>
  <c r="R109" i="14" s="1"/>
  <c r="Q53" i="14"/>
  <c r="AE52" i="14"/>
  <c r="AC52" i="14"/>
  <c r="AB52" i="14"/>
  <c r="AB108" i="14" s="1"/>
  <c r="Y52" i="14"/>
  <c r="Y108" i="14" s="1"/>
  <c r="X52" i="14"/>
  <c r="X108" i="14" s="1"/>
  <c r="W52" i="14"/>
  <c r="V52" i="14"/>
  <c r="V108" i="14" s="1"/>
  <c r="U52" i="14"/>
  <c r="T52" i="14"/>
  <c r="T108" i="14" s="1"/>
  <c r="D52" i="14"/>
  <c r="AD46" i="14"/>
  <c r="Z46" i="14"/>
  <c r="P46" i="14"/>
  <c r="M46" i="14"/>
  <c r="L46" i="14"/>
  <c r="K46" i="14"/>
  <c r="J46" i="14"/>
  <c r="I46" i="14"/>
  <c r="V36" i="14"/>
  <c r="T36" i="14"/>
  <c r="R36" i="14"/>
  <c r="L36" i="14"/>
  <c r="C36" i="14" s="1"/>
  <c r="C32" i="14" s="1"/>
  <c r="V34" i="14"/>
  <c r="V32" i="14" s="1"/>
  <c r="T34" i="14"/>
  <c r="T32" i="14" s="1"/>
  <c r="R34" i="14"/>
  <c r="E34" i="14"/>
  <c r="G34" i="14" s="1"/>
  <c r="J24" i="14"/>
  <c r="C24" i="14" s="1"/>
  <c r="L22" i="14"/>
  <c r="C22" i="14" s="1"/>
  <c r="C16" i="14" s="1"/>
  <c r="V20" i="14"/>
  <c r="V19" i="14"/>
  <c r="V15" i="14" s="1"/>
  <c r="V41" i="14" s="1"/>
  <c r="V11" i="14" s="1"/>
  <c r="T15" i="14"/>
  <c r="T41" i="14" s="1"/>
  <c r="T11" i="14" s="1"/>
  <c r="W108" i="14" l="1"/>
  <c r="W11" i="14" s="1"/>
  <c r="AC108" i="14"/>
  <c r="AC11" i="14" s="1"/>
  <c r="H108" i="14"/>
  <c r="H11" i="14" s="1"/>
  <c r="AE108" i="14"/>
  <c r="AE11" i="14" s="1"/>
  <c r="AE140" i="14" s="1"/>
  <c r="I108" i="14"/>
  <c r="I11" i="14" s="1"/>
  <c r="M108" i="14"/>
  <c r="M11" i="14" s="1"/>
  <c r="AD108" i="14"/>
  <c r="AD11" i="14" s="1"/>
  <c r="K109" i="14"/>
  <c r="K12" i="14" s="1"/>
  <c r="U108" i="14"/>
  <c r="U11" i="14" s="1"/>
  <c r="J108" i="14"/>
  <c r="J11" i="14" s="1"/>
  <c r="R108" i="14"/>
  <c r="R11" i="14" s="1"/>
  <c r="H109" i="14"/>
  <c r="H107" i="14" s="1"/>
  <c r="C50" i="14"/>
  <c r="D50" i="14" s="1"/>
  <c r="K108" i="14"/>
  <c r="K11" i="14" s="1"/>
  <c r="O11" i="14"/>
  <c r="O108" i="14"/>
  <c r="S108" i="14"/>
  <c r="S11" i="14" s="1"/>
  <c r="I12" i="14"/>
  <c r="I109" i="14"/>
  <c r="D108" i="14"/>
  <c r="D11" i="14" s="1"/>
  <c r="Q109" i="14"/>
  <c r="Q12" i="14" s="1"/>
  <c r="Q108" i="14"/>
  <c r="Q11" i="14" s="1"/>
  <c r="D36" i="14"/>
  <c r="J16" i="14"/>
  <c r="Y11" i="14"/>
  <c r="L16" i="14"/>
  <c r="R32" i="14"/>
  <c r="L32" i="14"/>
  <c r="AE12" i="14"/>
  <c r="AE51" i="14"/>
  <c r="J107" i="14"/>
  <c r="G36" i="14"/>
  <c r="AC12" i="14"/>
  <c r="AC51" i="14"/>
  <c r="K107" i="14"/>
  <c r="M12" i="14"/>
  <c r="M51" i="14"/>
  <c r="J14" i="14"/>
  <c r="B50" i="14"/>
  <c r="I107" i="14"/>
  <c r="AD51" i="14"/>
  <c r="N51" i="14"/>
  <c r="T18" i="14"/>
  <c r="T16" i="14"/>
  <c r="T42" i="14" s="1"/>
  <c r="Y46" i="14"/>
  <c r="V18" i="14"/>
  <c r="V16" i="14"/>
  <c r="V42" i="14" s="1"/>
  <c r="V12" i="14" s="1"/>
  <c r="R18" i="14"/>
  <c r="R16" i="14"/>
  <c r="Q46" i="14"/>
  <c r="O53" i="14"/>
  <c r="O109" i="14" s="1"/>
  <c r="S53" i="14"/>
  <c r="S109" i="14" s="1"/>
  <c r="W53" i="14"/>
  <c r="W109" i="14" s="1"/>
  <c r="AA53" i="14"/>
  <c r="E50" i="14"/>
  <c r="N46" i="14"/>
  <c r="AB46" i="14"/>
  <c r="AC46" i="14"/>
  <c r="O46" i="14"/>
  <c r="L14" i="14"/>
  <c r="B22" i="14"/>
  <c r="F22" i="14" s="1"/>
  <c r="U46" i="14"/>
  <c r="T53" i="14"/>
  <c r="T109" i="14" s="1"/>
  <c r="X53" i="14"/>
  <c r="X109" i="14" s="1"/>
  <c r="AB53" i="14"/>
  <c r="AB109" i="14" s="1"/>
  <c r="I51" i="14"/>
  <c r="T14" i="14"/>
  <c r="B15" i="14"/>
  <c r="X46" i="14"/>
  <c r="T46" i="14"/>
  <c r="B48" i="14"/>
  <c r="U53" i="14"/>
  <c r="U109" i="14" s="1"/>
  <c r="Y53" i="14"/>
  <c r="Y109" i="14" s="1"/>
  <c r="B24" i="14"/>
  <c r="F24" i="14" s="1"/>
  <c r="B34" i="14"/>
  <c r="F34" i="14" s="1"/>
  <c r="N107" i="14"/>
  <c r="V107" i="14"/>
  <c r="V51" i="14"/>
  <c r="AC107" i="14"/>
  <c r="R51" i="14"/>
  <c r="R107" i="14"/>
  <c r="Z107" i="14"/>
  <c r="Z51" i="14"/>
  <c r="AE107" i="14"/>
  <c r="K51" i="14"/>
  <c r="V46" i="14"/>
  <c r="AA52" i="14"/>
  <c r="AA46" i="14"/>
  <c r="P53" i="14"/>
  <c r="P109" i="14" s="1"/>
  <c r="X107" i="14"/>
  <c r="X51" i="14"/>
  <c r="Q51" i="14"/>
  <c r="B52" i="14"/>
  <c r="B108" i="14" s="1"/>
  <c r="J51" i="14"/>
  <c r="L53" i="14"/>
  <c r="L109" i="14" s="1"/>
  <c r="W46" i="14"/>
  <c r="E47" i="14"/>
  <c r="E48" i="14"/>
  <c r="G48" i="14" s="1"/>
  <c r="H51" i="14"/>
  <c r="B19" i="14"/>
  <c r="F19" i="14" s="1"/>
  <c r="B36" i="14"/>
  <c r="F36" i="14" s="1"/>
  <c r="B20" i="14"/>
  <c r="K10" i="14" l="1"/>
  <c r="AA108" i="14"/>
  <c r="AA11" i="14" s="1"/>
  <c r="AA109" i="14"/>
  <c r="AA12" i="14" s="1"/>
  <c r="AE10" i="14"/>
  <c r="H12" i="14"/>
  <c r="H10" i="14" s="1"/>
  <c r="Q10" i="14"/>
  <c r="Q107" i="14"/>
  <c r="B32" i="14"/>
  <c r="T12" i="14"/>
  <c r="AD12" i="14"/>
  <c r="D22" i="14"/>
  <c r="G22" i="14"/>
  <c r="D24" i="14"/>
  <c r="G24" i="14"/>
  <c r="V10" i="14"/>
  <c r="U12" i="14"/>
  <c r="W51" i="14"/>
  <c r="W12" i="14"/>
  <c r="R14" i="14"/>
  <c r="R42" i="14"/>
  <c r="R12" i="14" s="1"/>
  <c r="F48" i="14"/>
  <c r="V14" i="14"/>
  <c r="S51" i="14"/>
  <c r="S12" i="14"/>
  <c r="I10" i="14"/>
  <c r="AC10" i="14"/>
  <c r="G47" i="14"/>
  <c r="F47" i="14"/>
  <c r="L51" i="14"/>
  <c r="O51" i="14"/>
  <c r="O12" i="14"/>
  <c r="M107" i="14"/>
  <c r="B18" i="14"/>
  <c r="F18" i="14" s="1"/>
  <c r="F20" i="14"/>
  <c r="AB51" i="14"/>
  <c r="AB107" i="14"/>
  <c r="Y12" i="14"/>
  <c r="G50" i="14"/>
  <c r="F50" i="14"/>
  <c r="T51" i="14"/>
  <c r="T107" i="14"/>
  <c r="T10" i="14"/>
  <c r="U51" i="14"/>
  <c r="B16" i="14"/>
  <c r="Y51" i="14"/>
  <c r="B46" i="14"/>
  <c r="AA107" i="14"/>
  <c r="B53" i="14"/>
  <c r="B109" i="14" s="1"/>
  <c r="AA51" i="14"/>
  <c r="AD107" i="14"/>
  <c r="E52" i="14"/>
  <c r="E108" i="14" s="1"/>
  <c r="C46" i="14"/>
  <c r="C53" i="14"/>
  <c r="C109" i="14" s="1"/>
  <c r="E53" i="14"/>
  <c r="E109" i="14" s="1"/>
  <c r="E46" i="14"/>
  <c r="P107" i="14"/>
  <c r="P51" i="14"/>
  <c r="AA10" i="14" l="1"/>
  <c r="F108" i="14"/>
  <c r="G108" i="14"/>
  <c r="AD10" i="14"/>
  <c r="D16" i="14"/>
  <c r="D14" i="14" s="1"/>
  <c r="C14" i="14"/>
  <c r="C31" i="14"/>
  <c r="D32" i="14"/>
  <c r="D53" i="14"/>
  <c r="D109" i="14" s="1"/>
  <c r="D107" i="14" s="1"/>
  <c r="G46" i="14"/>
  <c r="S107" i="14"/>
  <c r="G52" i="14"/>
  <c r="U10" i="14"/>
  <c r="F46" i="14"/>
  <c r="U107" i="14"/>
  <c r="W10" i="14"/>
  <c r="W107" i="14"/>
  <c r="O107" i="14"/>
  <c r="L107" i="14"/>
  <c r="S10" i="14"/>
  <c r="R10" i="14"/>
  <c r="B14" i="14"/>
  <c r="M10" i="14"/>
  <c r="G53" i="14"/>
  <c r="Y10" i="14"/>
  <c r="Y107" i="14"/>
  <c r="B51" i="14"/>
  <c r="F52" i="14"/>
  <c r="C51" i="14"/>
  <c r="D46" i="14"/>
  <c r="F53" i="14"/>
  <c r="E51" i="14"/>
  <c r="C107" i="14" l="1"/>
  <c r="O10" i="14"/>
  <c r="E107" i="14"/>
  <c r="G109" i="14"/>
  <c r="B107" i="14"/>
  <c r="F109" i="14"/>
  <c r="G51" i="14"/>
  <c r="F51" i="14"/>
  <c r="D51" i="14"/>
  <c r="G107" i="14" l="1"/>
  <c r="F107" i="14"/>
  <c r="AB127" i="14" l="1"/>
  <c r="Z127" i="14"/>
  <c r="X127" i="14"/>
  <c r="V127" i="14"/>
  <c r="T127" i="14"/>
  <c r="R127" i="14"/>
  <c r="P127" i="14"/>
  <c r="N127" i="14"/>
  <c r="L126" i="14"/>
  <c r="H127" i="14"/>
  <c r="C127" i="14" l="1"/>
  <c r="C124" i="14" s="1"/>
  <c r="H126" i="14"/>
  <c r="H124" i="14"/>
  <c r="H140" i="14" s="1"/>
  <c r="J126" i="14"/>
  <c r="H9" i="14"/>
  <c r="H7" i="14" s="1"/>
  <c r="AB29" i="14"/>
  <c r="Z29" i="14"/>
  <c r="X29" i="14"/>
  <c r="P29" i="14"/>
  <c r="J29" i="14"/>
  <c r="C29" i="14" s="1"/>
  <c r="AB28" i="14"/>
  <c r="AB41" i="14" s="1"/>
  <c r="AB11" i="14" s="1"/>
  <c r="Z28" i="14"/>
  <c r="Z41" i="14" s="1"/>
  <c r="Z11" i="14" s="1"/>
  <c r="X28" i="14"/>
  <c r="X41" i="14" s="1"/>
  <c r="X11" i="14" s="1"/>
  <c r="P28" i="14"/>
  <c r="N41" i="14"/>
  <c r="N11" i="14" s="1"/>
  <c r="P41" i="14" l="1"/>
  <c r="P11" i="14" s="1"/>
  <c r="C28" i="14"/>
  <c r="C41" i="14"/>
  <c r="G28" i="14"/>
  <c r="N27" i="14"/>
  <c r="N42" i="14"/>
  <c r="N12" i="14" s="1"/>
  <c r="AB27" i="14"/>
  <c r="AB42" i="14"/>
  <c r="AB12" i="14" s="1"/>
  <c r="AB10" i="14" s="1"/>
  <c r="P27" i="14"/>
  <c r="P42" i="14"/>
  <c r="P12" i="14" s="1"/>
  <c r="B28" i="14"/>
  <c r="L41" i="14"/>
  <c r="L11" i="14" s="1"/>
  <c r="B29" i="14"/>
  <c r="F29" i="14" s="1"/>
  <c r="J27" i="14"/>
  <c r="J42" i="14"/>
  <c r="J12" i="14" s="1"/>
  <c r="X27" i="14"/>
  <c r="X42" i="14"/>
  <c r="X12" i="14" s="1"/>
  <c r="L27" i="14"/>
  <c r="L42" i="14"/>
  <c r="L12" i="14" s="1"/>
  <c r="Z27" i="14"/>
  <c r="Z42" i="14"/>
  <c r="X10" i="14" l="1"/>
  <c r="P10" i="14"/>
  <c r="C27" i="14"/>
  <c r="D29" i="14"/>
  <c r="D27" i="14" s="1"/>
  <c r="G29" i="14"/>
  <c r="C42" i="14"/>
  <c r="Z12" i="14"/>
  <c r="C11" i="14"/>
  <c r="C140" i="14" s="1"/>
  <c r="L10" i="14"/>
  <c r="B27" i="14"/>
  <c r="F27" i="14" s="1"/>
  <c r="B42" i="14"/>
  <c r="F28" i="14"/>
  <c r="B41" i="14"/>
  <c r="N10" i="14"/>
  <c r="D126" i="14"/>
  <c r="J10" i="14"/>
  <c r="B40" i="14" l="1"/>
  <c r="Z10" i="14"/>
  <c r="C12" i="14"/>
  <c r="G27" i="14"/>
  <c r="C10" i="14" l="1"/>
  <c r="L31" i="14" l="1"/>
  <c r="L38" i="14"/>
  <c r="L40" i="14" l="1"/>
  <c r="B138" i="14"/>
  <c r="B137" i="14" s="1"/>
  <c r="B135" i="14" s="1"/>
  <c r="B134" i="14"/>
  <c r="B132" i="14"/>
  <c r="H130" i="14"/>
  <c r="J130" i="14"/>
  <c r="J125" i="14" s="1"/>
  <c r="I130" i="14"/>
  <c r="K130" i="14"/>
  <c r="K125" i="14" s="1"/>
  <c r="L130" i="14"/>
  <c r="L125" i="14" s="1"/>
  <c r="L141" i="14" s="1"/>
  <c r="M130" i="14"/>
  <c r="M125" i="14" s="1"/>
  <c r="M141" i="14" s="1"/>
  <c r="N130" i="14"/>
  <c r="N125" i="14" s="1"/>
  <c r="O130" i="14"/>
  <c r="O125" i="14" s="1"/>
  <c r="P130" i="14"/>
  <c r="P125" i="14" s="1"/>
  <c r="Q130" i="14"/>
  <c r="Q129" i="14" s="1"/>
  <c r="R130" i="14"/>
  <c r="R125" i="14" s="1"/>
  <c r="S130" i="14"/>
  <c r="S125" i="14" s="1"/>
  <c r="T130" i="14"/>
  <c r="T125" i="14" s="1"/>
  <c r="U130" i="14"/>
  <c r="U128" i="14" s="1"/>
  <c r="V130" i="14"/>
  <c r="V125" i="14" s="1"/>
  <c r="W130" i="14"/>
  <c r="W125" i="14" s="1"/>
  <c r="X130" i="14"/>
  <c r="X125" i="14" s="1"/>
  <c r="Y130" i="14"/>
  <c r="Y125" i="14" s="1"/>
  <c r="Z130" i="14"/>
  <c r="Z125" i="14" s="1"/>
  <c r="AA130" i="14"/>
  <c r="AA125" i="14" s="1"/>
  <c r="AB130" i="14"/>
  <c r="AB125" i="14" s="1"/>
  <c r="AC130" i="14"/>
  <c r="AC125" i="14" s="1"/>
  <c r="AD130" i="14"/>
  <c r="AD125" i="14" s="1"/>
  <c r="AD141" i="14" s="1"/>
  <c r="D129" i="14"/>
  <c r="AE129" i="14"/>
  <c r="AE123" i="14"/>
  <c r="D125" i="14"/>
  <c r="AD124" i="14"/>
  <c r="AD140" i="14" s="1"/>
  <c r="AB124" i="14"/>
  <c r="AB140" i="14" s="1"/>
  <c r="Z124" i="14"/>
  <c r="Z140" i="14" s="1"/>
  <c r="X124" i="14"/>
  <c r="X140" i="14" s="1"/>
  <c r="V124" i="14"/>
  <c r="V140" i="14" s="1"/>
  <c r="T124" i="14"/>
  <c r="T140" i="14" s="1"/>
  <c r="R124" i="14"/>
  <c r="R140" i="14" s="1"/>
  <c r="P124" i="14"/>
  <c r="P140" i="14" s="1"/>
  <c r="N124" i="14"/>
  <c r="N140" i="14" s="1"/>
  <c r="L124" i="14"/>
  <c r="L140" i="14" s="1"/>
  <c r="J124" i="14"/>
  <c r="J140" i="14" s="1"/>
  <c r="B112" i="14"/>
  <c r="B111" i="14" s="1"/>
  <c r="B31" i="14"/>
  <c r="E134" i="14"/>
  <c r="D134" i="14"/>
  <c r="C134" i="14"/>
  <c r="B127" i="14"/>
  <c r="B126" i="14" s="1"/>
  <c r="AE125" i="14"/>
  <c r="AF125" i="14"/>
  <c r="D124" i="14"/>
  <c r="D140" i="14" s="1"/>
  <c r="I124" i="14"/>
  <c r="I140" i="14" s="1"/>
  <c r="K124" i="14"/>
  <c r="K140" i="14" s="1"/>
  <c r="M124" i="14"/>
  <c r="M140" i="14" s="1"/>
  <c r="O124" i="14"/>
  <c r="O140" i="14" s="1"/>
  <c r="Q124" i="14"/>
  <c r="Q140" i="14" s="1"/>
  <c r="S124" i="14"/>
  <c r="S140" i="14" s="1"/>
  <c r="U124" i="14"/>
  <c r="U140" i="14" s="1"/>
  <c r="W124" i="14"/>
  <c r="W140" i="14" s="1"/>
  <c r="Y124" i="14"/>
  <c r="Y140" i="14" s="1"/>
  <c r="AA124" i="14"/>
  <c r="AA140" i="14" s="1"/>
  <c r="AC124" i="14"/>
  <c r="AC140" i="14" s="1"/>
  <c r="AD137" i="14"/>
  <c r="AD135" i="14" s="1"/>
  <c r="AC137" i="14"/>
  <c r="AC135" i="14" s="1"/>
  <c r="AB137" i="14"/>
  <c r="AB135" i="14" s="1"/>
  <c r="AA137" i="14"/>
  <c r="AA135" i="14" s="1"/>
  <c r="Z137" i="14"/>
  <c r="Z135" i="14" s="1"/>
  <c r="Y137" i="14"/>
  <c r="Y135" i="14" s="1"/>
  <c r="X137" i="14"/>
  <c r="X135" i="14" s="1"/>
  <c r="W137" i="14"/>
  <c r="W135" i="14" s="1"/>
  <c r="V137" i="14"/>
  <c r="V135" i="14" s="1"/>
  <c r="U137" i="14"/>
  <c r="U135" i="14" s="1"/>
  <c r="T137" i="14"/>
  <c r="T135" i="14" s="1"/>
  <c r="S137" i="14"/>
  <c r="S135" i="14" s="1"/>
  <c r="R137" i="14"/>
  <c r="R135" i="14" s="1"/>
  <c r="Q137" i="14"/>
  <c r="Q135" i="14" s="1"/>
  <c r="P137" i="14"/>
  <c r="P135" i="14" s="1"/>
  <c r="O137" i="14"/>
  <c r="O135" i="14" s="1"/>
  <c r="N137" i="14"/>
  <c r="N135" i="14" s="1"/>
  <c r="M137" i="14"/>
  <c r="M135" i="14" s="1"/>
  <c r="L137" i="14"/>
  <c r="L135" i="14" s="1"/>
  <c r="K137" i="14"/>
  <c r="K135" i="14" s="1"/>
  <c r="J137" i="14"/>
  <c r="J135" i="14" s="1"/>
  <c r="I137" i="14"/>
  <c r="I135" i="14" s="1"/>
  <c r="H137" i="14"/>
  <c r="H135" i="14" s="1"/>
  <c r="D135" i="14"/>
  <c r="E132" i="14"/>
  <c r="D132" i="14"/>
  <c r="C132" i="14"/>
  <c r="M126" i="14"/>
  <c r="N126" i="14"/>
  <c r="O126" i="14"/>
  <c r="P126" i="14"/>
  <c r="Q126" i="14"/>
  <c r="R126" i="14"/>
  <c r="S126" i="14"/>
  <c r="T126" i="14"/>
  <c r="U126" i="14"/>
  <c r="V126" i="14"/>
  <c r="W126" i="14"/>
  <c r="X126" i="14"/>
  <c r="Y126" i="14"/>
  <c r="Z126" i="14"/>
  <c r="AA126" i="14"/>
  <c r="AB126" i="14"/>
  <c r="AC126" i="14"/>
  <c r="AD126" i="14"/>
  <c r="G132" i="14" l="1"/>
  <c r="F132" i="14"/>
  <c r="AA141" i="14"/>
  <c r="AA139" i="14" s="1"/>
  <c r="W141" i="14"/>
  <c r="W139" i="14" s="1"/>
  <c r="S141" i="14"/>
  <c r="S139" i="14" s="1"/>
  <c r="O141" i="14"/>
  <c r="O139" i="14" s="1"/>
  <c r="K141" i="14"/>
  <c r="K139" i="14" s="1"/>
  <c r="Z141" i="14"/>
  <c r="Z139" i="14" s="1"/>
  <c r="V141" i="14"/>
  <c r="V139" i="14" s="1"/>
  <c r="R141" i="14"/>
  <c r="R139" i="14" s="1"/>
  <c r="N141" i="14"/>
  <c r="N139" i="14" s="1"/>
  <c r="AC141" i="14"/>
  <c r="AC139" i="14" s="1"/>
  <c r="Y141" i="14"/>
  <c r="Y139" i="14" s="1"/>
  <c r="J141" i="14"/>
  <c r="J139" i="14" s="1"/>
  <c r="AE141" i="14"/>
  <c r="AE139" i="14" s="1"/>
  <c r="AB141" i="14"/>
  <c r="AB139" i="14" s="1"/>
  <c r="X141" i="14"/>
  <c r="X139" i="14" s="1"/>
  <c r="T141" i="14"/>
  <c r="T139" i="14" s="1"/>
  <c r="P141" i="14"/>
  <c r="P139" i="14" s="1"/>
  <c r="M139" i="14"/>
  <c r="AD139" i="14"/>
  <c r="L139" i="14"/>
  <c r="B124" i="14"/>
  <c r="C137" i="14"/>
  <c r="F138" i="14"/>
  <c r="I125" i="14"/>
  <c r="I128" i="14"/>
  <c r="H125" i="14"/>
  <c r="H128" i="14"/>
  <c r="B11" i="14"/>
  <c r="R128" i="14"/>
  <c r="Q128" i="14"/>
  <c r="U129" i="14"/>
  <c r="P128" i="14"/>
  <c r="L128" i="14"/>
  <c r="AD129" i="14"/>
  <c r="N129" i="14"/>
  <c r="Z128" i="14"/>
  <c r="AC129" i="14"/>
  <c r="M129" i="14"/>
  <c r="Y128" i="14"/>
  <c r="M128" i="14"/>
  <c r="V129" i="14"/>
  <c r="AD128" i="14"/>
  <c r="V128" i="14"/>
  <c r="J128" i="14"/>
  <c r="AC128" i="14"/>
  <c r="U125" i="14"/>
  <c r="U141" i="14" s="1"/>
  <c r="Z129" i="14"/>
  <c r="R129" i="14"/>
  <c r="I129" i="14"/>
  <c r="X121" i="14"/>
  <c r="P121" i="14"/>
  <c r="N128" i="14"/>
  <c r="Z121" i="14"/>
  <c r="Q125" i="14"/>
  <c r="Q141" i="14" s="1"/>
  <c r="Y129" i="14"/>
  <c r="S123" i="14"/>
  <c r="AB128" i="14"/>
  <c r="X128" i="14"/>
  <c r="T128" i="14"/>
  <c r="AB129" i="14"/>
  <c r="X129" i="14"/>
  <c r="T129" i="14"/>
  <c r="P129" i="14"/>
  <c r="L129" i="14"/>
  <c r="J129" i="14"/>
  <c r="W123" i="14"/>
  <c r="AA128" i="14"/>
  <c r="W128" i="14"/>
  <c r="S128" i="14"/>
  <c r="O128" i="14"/>
  <c r="K128" i="14"/>
  <c r="AA129" i="14"/>
  <c r="W129" i="14"/>
  <c r="S129" i="14"/>
  <c r="O129" i="14"/>
  <c r="K129" i="14"/>
  <c r="AD123" i="14"/>
  <c r="Z123" i="14"/>
  <c r="V123" i="14"/>
  <c r="R121" i="14"/>
  <c r="N123" i="14"/>
  <c r="Y123" i="14"/>
  <c r="AB121" i="14"/>
  <c r="T121" i="14"/>
  <c r="L121" i="14"/>
  <c r="H123" i="14"/>
  <c r="AC123" i="14"/>
  <c r="O123" i="14"/>
  <c r="D123" i="14"/>
  <c r="H129" i="14"/>
  <c r="B130" i="14"/>
  <c r="AA123" i="14"/>
  <c r="M123" i="14"/>
  <c r="K123" i="14"/>
  <c r="R123" i="14"/>
  <c r="J121" i="14"/>
  <c r="L123" i="14"/>
  <c r="J123" i="14"/>
  <c r="AB123" i="14"/>
  <c r="X123" i="14"/>
  <c r="T123" i="14"/>
  <c r="P123" i="14"/>
  <c r="M121" i="14"/>
  <c r="Y121" i="14"/>
  <c r="AD121" i="14"/>
  <c r="AA121" i="14"/>
  <c r="W121" i="14"/>
  <c r="S121" i="14"/>
  <c r="O121" i="14"/>
  <c r="K121" i="14"/>
  <c r="AC121" i="14"/>
  <c r="E137" i="14"/>
  <c r="G137" i="14" s="1"/>
  <c r="D121" i="14"/>
  <c r="V121" i="14"/>
  <c r="N121" i="14"/>
  <c r="H141" i="14" l="1"/>
  <c r="H139" i="14" s="1"/>
  <c r="I141" i="14"/>
  <c r="I139" i="14" s="1"/>
  <c r="B140" i="14"/>
  <c r="Q121" i="14"/>
  <c r="Q139" i="14"/>
  <c r="C135" i="14"/>
  <c r="H121" i="14"/>
  <c r="U123" i="14"/>
  <c r="U139" i="14"/>
  <c r="E135" i="14"/>
  <c r="G135" i="14" s="1"/>
  <c r="F137" i="14"/>
  <c r="I121" i="14"/>
  <c r="I123" i="14"/>
  <c r="B125" i="14"/>
  <c r="B123" i="14" s="1"/>
  <c r="U121" i="14"/>
  <c r="Q123" i="14"/>
  <c r="B128" i="14"/>
  <c r="B129" i="14"/>
  <c r="F135" i="14" l="1"/>
  <c r="B121" i="14"/>
  <c r="B12" i="14"/>
  <c r="B141" i="14" s="1"/>
  <c r="B139" i="14" l="1"/>
  <c r="B10" i="14"/>
  <c r="C9" i="14"/>
  <c r="C7" i="14" s="1"/>
  <c r="AC9" i="14" l="1"/>
  <c r="AC7" i="14" s="1"/>
  <c r="AA9" i="14"/>
  <c r="AA7" i="14" s="1"/>
  <c r="Y9" i="14"/>
  <c r="Y7" i="14" s="1"/>
  <c r="W9" i="14"/>
  <c r="W7" i="14" s="1"/>
  <c r="S9" i="14"/>
  <c r="S7" i="14" s="1"/>
  <c r="Q9" i="14"/>
  <c r="Q7" i="14" s="1"/>
  <c r="O9" i="14"/>
  <c r="O7" i="14" s="1"/>
  <c r="M9" i="14"/>
  <c r="M7" i="14" s="1"/>
  <c r="K9" i="14"/>
  <c r="K7" i="14" s="1"/>
  <c r="U9" i="14"/>
  <c r="U7" i="14" s="1"/>
  <c r="I9" i="14"/>
  <c r="I7" i="14" s="1"/>
  <c r="AD9" i="14"/>
  <c r="AD7" i="14" s="1"/>
  <c r="AB9" i="14"/>
  <c r="AB7" i="14" s="1"/>
  <c r="Z9" i="14"/>
  <c r="Z7" i="14" s="1"/>
  <c r="N9" i="14"/>
  <c r="N7" i="14" s="1"/>
  <c r="L9" i="14"/>
  <c r="L7" i="14" s="1"/>
  <c r="V9" i="14"/>
  <c r="V7" i="14" s="1"/>
  <c r="R9" i="14"/>
  <c r="R7" i="14" s="1"/>
  <c r="C130" i="14"/>
  <c r="E130" i="14"/>
  <c r="F130" i="14" l="1"/>
  <c r="G130" i="14"/>
  <c r="E129" i="14"/>
  <c r="E125" i="14"/>
  <c r="C129" i="14"/>
  <c r="C125" i="14"/>
  <c r="B9" i="14"/>
  <c r="B7" i="14" s="1"/>
  <c r="C126" i="14"/>
  <c r="E128" i="14"/>
  <c r="C128" i="14"/>
  <c r="T9" i="14"/>
  <c r="T7" i="14" s="1"/>
  <c r="P9" i="14"/>
  <c r="P7" i="14" s="1"/>
  <c r="X9" i="14"/>
  <c r="X7" i="14" s="1"/>
  <c r="J9" i="14"/>
  <c r="J7" i="14" s="1"/>
  <c r="E127" i="14"/>
  <c r="E112" i="14"/>
  <c r="AE111" i="14"/>
  <c r="AD111" i="14"/>
  <c r="AC111" i="14"/>
  <c r="AB111" i="14"/>
  <c r="AA111" i="14"/>
  <c r="Z111" i="14"/>
  <c r="Y111" i="14"/>
  <c r="X111" i="14"/>
  <c r="W111" i="14"/>
  <c r="V111" i="14"/>
  <c r="U111" i="14"/>
  <c r="S111" i="14"/>
  <c r="R111" i="14"/>
  <c r="Q111" i="14"/>
  <c r="P111" i="14"/>
  <c r="O111" i="14"/>
  <c r="N111" i="14"/>
  <c r="M111" i="14"/>
  <c r="L111" i="14"/>
  <c r="K111" i="14"/>
  <c r="J111" i="14"/>
  <c r="I111" i="14"/>
  <c r="D111" i="14"/>
  <c r="E38" i="14"/>
  <c r="D39" i="14"/>
  <c r="C38" i="14"/>
  <c r="AE38" i="14"/>
  <c r="AD38" i="14"/>
  <c r="AC38" i="14"/>
  <c r="AB38" i="14"/>
  <c r="AA38" i="14"/>
  <c r="Z38" i="14"/>
  <c r="Y38" i="14"/>
  <c r="X38" i="14"/>
  <c r="W38" i="14"/>
  <c r="V38" i="14"/>
  <c r="U38" i="14"/>
  <c r="T38" i="14"/>
  <c r="S38" i="14"/>
  <c r="R38" i="14"/>
  <c r="Q38" i="14"/>
  <c r="P38" i="14"/>
  <c r="O38" i="14"/>
  <c r="N38" i="14"/>
  <c r="M38" i="14"/>
  <c r="K38" i="14"/>
  <c r="G38" i="14"/>
  <c r="F38" i="14"/>
  <c r="D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K31" i="14"/>
  <c r="J31" i="14"/>
  <c r="I31" i="14"/>
  <c r="H31" i="14"/>
  <c r="G125" i="14" l="1"/>
  <c r="F125" i="14"/>
  <c r="F129" i="14"/>
  <c r="G129" i="14"/>
  <c r="G128" i="14"/>
  <c r="F128" i="14"/>
  <c r="C141" i="14"/>
  <c r="C139" i="14" s="1"/>
  <c r="C111" i="14"/>
  <c r="F15" i="14"/>
  <c r="G15" i="14"/>
  <c r="E41" i="14"/>
  <c r="G16" i="14"/>
  <c r="E42" i="14"/>
  <c r="F16" i="14"/>
  <c r="D38" i="14"/>
  <c r="D42" i="14"/>
  <c r="G112" i="14"/>
  <c r="F112" i="14"/>
  <c r="E124" i="14"/>
  <c r="G127" i="14"/>
  <c r="F127" i="14"/>
  <c r="AE40" i="14"/>
  <c r="E14" i="14"/>
  <c r="C123" i="14"/>
  <c r="C121" i="14"/>
  <c r="E126" i="14"/>
  <c r="X40" i="14"/>
  <c r="U40" i="14"/>
  <c r="Y40" i="14"/>
  <c r="E111" i="14"/>
  <c r="M40" i="14"/>
  <c r="I40" i="14"/>
  <c r="Q40" i="14"/>
  <c r="S40" i="14"/>
  <c r="AC40" i="14"/>
  <c r="AA40" i="14"/>
  <c r="O40" i="14"/>
  <c r="W40" i="14"/>
  <c r="K40" i="14"/>
  <c r="G32" i="14"/>
  <c r="H40" i="14"/>
  <c r="P40" i="14"/>
  <c r="AB40" i="14"/>
  <c r="T111" i="14"/>
  <c r="F32" i="14"/>
  <c r="E31" i="14"/>
  <c r="J40" i="14"/>
  <c r="R40" i="14"/>
  <c r="Z40" i="14"/>
  <c r="AD40" i="14"/>
  <c r="F31" i="14" l="1"/>
  <c r="E11" i="14"/>
  <c r="E140" i="14" s="1"/>
  <c r="E12" i="14"/>
  <c r="D12" i="14"/>
  <c r="D40" i="14"/>
  <c r="E123" i="14"/>
  <c r="G123" i="14" s="1"/>
  <c r="F111" i="14"/>
  <c r="G111" i="14"/>
  <c r="E121" i="14"/>
  <c r="F121" i="14" s="1"/>
  <c r="G14" i="14"/>
  <c r="F14" i="14"/>
  <c r="G42" i="14"/>
  <c r="F42" i="14"/>
  <c r="G41" i="14"/>
  <c r="F41" i="14"/>
  <c r="G126" i="14"/>
  <c r="F126" i="14"/>
  <c r="G124" i="14"/>
  <c r="F124" i="14"/>
  <c r="T40" i="14"/>
  <c r="N40" i="14"/>
  <c r="V40" i="14"/>
  <c r="G31" i="14"/>
  <c r="C40" i="14"/>
  <c r="E40" i="14"/>
  <c r="D10" i="14" l="1"/>
  <c r="D9" i="14" s="1"/>
  <c r="D7" i="14" s="1"/>
  <c r="D141" i="14"/>
  <c r="D139" i="14" s="1"/>
  <c r="E141" i="14"/>
  <c r="F141" i="14" s="1"/>
  <c r="E10" i="14"/>
  <c r="E9" i="14" s="1"/>
  <c r="E7" i="14" s="1"/>
  <c r="F123" i="14"/>
  <c r="F12" i="14"/>
  <c r="G11" i="14"/>
  <c r="F11" i="14"/>
  <c r="G12" i="14"/>
  <c r="G121" i="14"/>
  <c r="F40" i="14"/>
  <c r="G40" i="14"/>
  <c r="P66" i="3"/>
  <c r="O66" i="3"/>
  <c r="N66" i="3"/>
  <c r="I66" i="3"/>
  <c r="H66" i="3"/>
  <c r="G66" i="3"/>
  <c r="R59" i="3"/>
  <c r="Q59" i="3"/>
  <c r="P49" i="3"/>
  <c r="P62" i="3" s="1"/>
  <c r="O49" i="3"/>
  <c r="O62" i="3" s="1"/>
  <c r="N49" i="3"/>
  <c r="N55" i="3" s="1"/>
  <c r="I49" i="3"/>
  <c r="I62" i="3" s="1"/>
  <c r="H49" i="3"/>
  <c r="H62" i="3" s="1"/>
  <c r="G49" i="3"/>
  <c r="G55" i="3" s="1"/>
  <c r="P48" i="3"/>
  <c r="P54" i="3" s="1"/>
  <c r="O48" i="3"/>
  <c r="O54" i="3" s="1"/>
  <c r="N48" i="3"/>
  <c r="N61" i="3" s="1"/>
  <c r="I48" i="3"/>
  <c r="I54" i="3" s="1"/>
  <c r="H48" i="3"/>
  <c r="H54" i="3" s="1"/>
  <c r="G48" i="3"/>
  <c r="G61" i="3" s="1"/>
  <c r="P47" i="3"/>
  <c r="P60" i="3" s="1"/>
  <c r="O47" i="3"/>
  <c r="O60" i="3" s="1"/>
  <c r="N47" i="3"/>
  <c r="N53" i="3" s="1"/>
  <c r="I47" i="3"/>
  <c r="I60" i="3" s="1"/>
  <c r="H47" i="3"/>
  <c r="H60" i="3" s="1"/>
  <c r="G47" i="3"/>
  <c r="G53" i="3" s="1"/>
  <c r="R46" i="3"/>
  <c r="M46" i="3"/>
  <c r="M49" i="3" s="1"/>
  <c r="F46" i="3"/>
  <c r="R45" i="3"/>
  <c r="M45" i="3"/>
  <c r="F45" i="3"/>
  <c r="R44" i="3"/>
  <c r="M44" i="3"/>
  <c r="F44" i="3"/>
  <c r="P38" i="3"/>
  <c r="P39" i="3" s="1"/>
  <c r="P67" i="3" s="1"/>
  <c r="O38" i="3"/>
  <c r="O39" i="3" s="1"/>
  <c r="O67" i="3" s="1"/>
  <c r="N38" i="3"/>
  <c r="N39" i="3" s="1"/>
  <c r="N67" i="3" s="1"/>
  <c r="I38" i="3"/>
  <c r="I39" i="3" s="1"/>
  <c r="I67" i="3" s="1"/>
  <c r="H38" i="3"/>
  <c r="H39" i="3" s="1"/>
  <c r="H67" i="3" s="1"/>
  <c r="G38" i="3"/>
  <c r="G39" i="3" s="1"/>
  <c r="R37" i="3"/>
  <c r="M37" i="3"/>
  <c r="M38" i="3" s="1"/>
  <c r="M39" i="3" s="1"/>
  <c r="M67" i="3" s="1"/>
  <c r="F37" i="3"/>
  <c r="P31" i="3"/>
  <c r="O31" i="3"/>
  <c r="N31" i="3"/>
  <c r="I31" i="3"/>
  <c r="H31" i="3"/>
  <c r="G31" i="3"/>
  <c r="R30" i="3"/>
  <c r="M30" i="3"/>
  <c r="M66" i="3" s="1"/>
  <c r="F30" i="3"/>
  <c r="P28" i="3"/>
  <c r="P65" i="3" s="1"/>
  <c r="O28" i="3"/>
  <c r="O65" i="3" s="1"/>
  <c r="N28" i="3"/>
  <c r="N65" i="3" s="1"/>
  <c r="I28" i="3"/>
  <c r="I65" i="3" s="1"/>
  <c r="H28" i="3"/>
  <c r="H65" i="3" s="1"/>
  <c r="G28" i="3"/>
  <c r="G65" i="3" s="1"/>
  <c r="R65" i="3" s="1"/>
  <c r="P27" i="3"/>
  <c r="P64" i="3" s="1"/>
  <c r="O27" i="3"/>
  <c r="O64" i="3" s="1"/>
  <c r="I27" i="3"/>
  <c r="I64" i="3" s="1"/>
  <c r="H27" i="3"/>
  <c r="H64" i="3" s="1"/>
  <c r="G27" i="3"/>
  <c r="R24" i="3"/>
  <c r="M24" i="3"/>
  <c r="F24" i="3"/>
  <c r="R23" i="3"/>
  <c r="M23" i="3"/>
  <c r="F23" i="3"/>
  <c r="R22" i="3"/>
  <c r="M22" i="3"/>
  <c r="F22" i="3"/>
  <c r="R21" i="3"/>
  <c r="M21" i="3"/>
  <c r="F21" i="3"/>
  <c r="N20" i="3"/>
  <c r="M20" i="3" s="1"/>
  <c r="F20" i="3"/>
  <c r="P19" i="3"/>
  <c r="O19" i="3"/>
  <c r="I19" i="3"/>
  <c r="H19" i="3"/>
  <c r="G19" i="3"/>
  <c r="R18" i="3"/>
  <c r="M18" i="3"/>
  <c r="F18" i="3"/>
  <c r="R17" i="3"/>
  <c r="M17" i="3"/>
  <c r="F17" i="3"/>
  <c r="N16" i="3"/>
  <c r="R16" i="3" s="1"/>
  <c r="F16" i="3"/>
  <c r="P15" i="3"/>
  <c r="O15" i="3"/>
  <c r="N15" i="3"/>
  <c r="I15" i="3"/>
  <c r="H15" i="3"/>
  <c r="G15" i="3"/>
  <c r="I66" i="2"/>
  <c r="H66" i="2"/>
  <c r="G66" i="2"/>
  <c r="I49" i="2"/>
  <c r="I62" i="2" s="1"/>
  <c r="H49" i="2"/>
  <c r="H62" i="2" s="1"/>
  <c r="G49" i="2"/>
  <c r="G62" i="2" s="1"/>
  <c r="I48" i="2"/>
  <c r="I61" i="2" s="1"/>
  <c r="H48" i="2"/>
  <c r="H61" i="2" s="1"/>
  <c r="G48" i="2"/>
  <c r="G61" i="2" s="1"/>
  <c r="I47" i="2"/>
  <c r="I60" i="2" s="1"/>
  <c r="H47" i="2"/>
  <c r="H60" i="2" s="1"/>
  <c r="G47" i="2"/>
  <c r="G60" i="2" s="1"/>
  <c r="F46" i="2"/>
  <c r="F49" i="2" s="1"/>
  <c r="F55" i="2" s="1"/>
  <c r="F45" i="2"/>
  <c r="F44" i="2"/>
  <c r="I38" i="2"/>
  <c r="I39" i="2" s="1"/>
  <c r="I67" i="2" s="1"/>
  <c r="H38" i="2"/>
  <c r="H39" i="2" s="1"/>
  <c r="H67" i="2" s="1"/>
  <c r="G38" i="2"/>
  <c r="G39" i="2" s="1"/>
  <c r="G67" i="2" s="1"/>
  <c r="F37" i="2"/>
  <c r="F38" i="2" s="1"/>
  <c r="F39" i="2" s="1"/>
  <c r="F67" i="2" s="1"/>
  <c r="I31" i="2"/>
  <c r="H31" i="2"/>
  <c r="G31" i="2"/>
  <c r="F30" i="2"/>
  <c r="F66" i="2" s="1"/>
  <c r="I28" i="2"/>
  <c r="I65" i="2" s="1"/>
  <c r="H28" i="2"/>
  <c r="H65" i="2" s="1"/>
  <c r="G28" i="2"/>
  <c r="I27" i="2"/>
  <c r="I64" i="2" s="1"/>
  <c r="H27" i="2"/>
  <c r="H64" i="2" s="1"/>
  <c r="F24" i="2"/>
  <c r="F23" i="2"/>
  <c r="F22" i="2"/>
  <c r="F21" i="2"/>
  <c r="G20" i="2"/>
  <c r="F20" i="2" s="1"/>
  <c r="I19" i="2"/>
  <c r="H19" i="2"/>
  <c r="G19" i="2"/>
  <c r="F18" i="2"/>
  <c r="F17" i="2"/>
  <c r="G16" i="2"/>
  <c r="F16" i="2" s="1"/>
  <c r="F15" i="2" s="1"/>
  <c r="I15" i="2"/>
  <c r="H15" i="2"/>
  <c r="G15" i="2"/>
  <c r="Q18" i="3" l="1"/>
  <c r="F48" i="2"/>
  <c r="F54" i="2" s="1"/>
  <c r="P26" i="3"/>
  <c r="P63" i="3" s="1"/>
  <c r="Q30" i="3"/>
  <c r="G10" i="14"/>
  <c r="F10" i="14"/>
  <c r="G141" i="14"/>
  <c r="F140" i="14"/>
  <c r="E139" i="14"/>
  <c r="G140" i="14"/>
  <c r="G9" i="14"/>
  <c r="F9" i="14"/>
  <c r="F19" i="2"/>
  <c r="F47" i="2"/>
  <c r="F53" i="2" s="1"/>
  <c r="M16" i="3"/>
  <c r="Q16" i="3" s="1"/>
  <c r="H33" i="3"/>
  <c r="P33" i="3"/>
  <c r="G27" i="2"/>
  <c r="F27" i="2" s="1"/>
  <c r="F64" i="2" s="1"/>
  <c r="Q24" i="3"/>
  <c r="G33" i="2"/>
  <c r="H33" i="2"/>
  <c r="F15" i="3"/>
  <c r="Q46" i="3"/>
  <c r="H26" i="2"/>
  <c r="H63" i="2" s="1"/>
  <c r="I33" i="2"/>
  <c r="G53" i="2"/>
  <c r="I26" i="2"/>
  <c r="I63" i="2" s="1"/>
  <c r="F28" i="2"/>
  <c r="F65" i="2" s="1"/>
  <c r="F31" i="2"/>
  <c r="R15" i="3"/>
  <c r="Q17" i="3"/>
  <c r="O26" i="3"/>
  <c r="O63" i="3" s="1"/>
  <c r="G33" i="3"/>
  <c r="Q22" i="3"/>
  <c r="Q45" i="3"/>
  <c r="O33" i="3"/>
  <c r="O57" i="3" s="1"/>
  <c r="F19" i="3"/>
  <c r="Q23" i="3"/>
  <c r="N54" i="3"/>
  <c r="N27" i="3"/>
  <c r="N26" i="3" s="1"/>
  <c r="N63" i="3" s="1"/>
  <c r="R61" i="3"/>
  <c r="I53" i="3"/>
  <c r="I55" i="3"/>
  <c r="R66" i="3"/>
  <c r="R20" i="3"/>
  <c r="G26" i="3"/>
  <c r="F48" i="3"/>
  <c r="P53" i="3"/>
  <c r="P55" i="3"/>
  <c r="M15" i="3"/>
  <c r="Q15" i="3" s="1"/>
  <c r="Q21" i="3"/>
  <c r="I26" i="3"/>
  <c r="I63" i="3" s="1"/>
  <c r="I33" i="3"/>
  <c r="I57" i="3" s="1"/>
  <c r="Q37" i="3"/>
  <c r="M48" i="3"/>
  <c r="M61" i="3" s="1"/>
  <c r="G54" i="3"/>
  <c r="M55" i="3"/>
  <c r="M62" i="3"/>
  <c r="P57" i="3"/>
  <c r="R53" i="3"/>
  <c r="R55" i="3"/>
  <c r="F33" i="3"/>
  <c r="H57" i="3"/>
  <c r="G67" i="3"/>
  <c r="R67" i="3" s="1"/>
  <c r="R39" i="3"/>
  <c r="Q20" i="3"/>
  <c r="P34" i="3"/>
  <c r="P58" i="3" s="1"/>
  <c r="R38" i="3"/>
  <c r="R49" i="3"/>
  <c r="G60" i="3"/>
  <c r="I61" i="3"/>
  <c r="G62" i="3"/>
  <c r="N19" i="3"/>
  <c r="M19" i="3" s="1"/>
  <c r="Q19" i="3" s="1"/>
  <c r="H26" i="3"/>
  <c r="H63" i="3" s="1"/>
  <c r="F27" i="3"/>
  <c r="F31" i="3"/>
  <c r="Q31" i="3" s="1"/>
  <c r="M31" i="3"/>
  <c r="H34" i="3"/>
  <c r="O34" i="3"/>
  <c r="F38" i="3"/>
  <c r="F47" i="3"/>
  <c r="M47" i="3"/>
  <c r="F49" i="3"/>
  <c r="H53" i="3"/>
  <c r="O53" i="3"/>
  <c r="H55" i="3"/>
  <c r="O55" i="3"/>
  <c r="H61" i="3"/>
  <c r="O61" i="3"/>
  <c r="F66" i="3"/>
  <c r="Q66" i="3" s="1"/>
  <c r="R31" i="3"/>
  <c r="I34" i="3"/>
  <c r="I32" i="3" s="1"/>
  <c r="I56" i="3" s="1"/>
  <c r="P61" i="3"/>
  <c r="N62" i="3"/>
  <c r="G64" i="3"/>
  <c r="F28" i="3"/>
  <c r="M28" i="3"/>
  <c r="M65" i="3" s="1"/>
  <c r="Q44" i="3"/>
  <c r="R47" i="3"/>
  <c r="N60" i="3"/>
  <c r="R28" i="3"/>
  <c r="G34" i="3"/>
  <c r="G32" i="3" s="1"/>
  <c r="N34" i="3"/>
  <c r="R48" i="3"/>
  <c r="F33" i="2"/>
  <c r="F57" i="2" s="1"/>
  <c r="G26" i="2"/>
  <c r="F60" i="2"/>
  <c r="F62" i="2"/>
  <c r="F61" i="2"/>
  <c r="G34" i="2"/>
  <c r="G32" i="2" s="1"/>
  <c r="G54" i="2"/>
  <c r="G57" i="2" s="1"/>
  <c r="G55" i="2"/>
  <c r="G64" i="2"/>
  <c r="G65" i="2"/>
  <c r="H34" i="2"/>
  <c r="H53" i="2"/>
  <c r="H54" i="2"/>
  <c r="H57" i="2" s="1"/>
  <c r="H55" i="2"/>
  <c r="I34" i="2"/>
  <c r="I32" i="2" s="1"/>
  <c r="I53" i="2"/>
  <c r="I54" i="2"/>
  <c r="I57" i="2" s="1"/>
  <c r="I55" i="2"/>
  <c r="G139" i="14" l="1"/>
  <c r="F139" i="14"/>
  <c r="G7" i="14"/>
  <c r="F7" i="14"/>
  <c r="I58" i="2"/>
  <c r="H58" i="2"/>
  <c r="I56" i="2"/>
  <c r="Q48" i="3"/>
  <c r="R27" i="3"/>
  <c r="M27" i="3"/>
  <c r="M64" i="3" s="1"/>
  <c r="F61" i="3"/>
  <c r="R26" i="3"/>
  <c r="M26" i="3"/>
  <c r="M63" i="3" s="1"/>
  <c r="G63" i="3"/>
  <c r="R63" i="3" s="1"/>
  <c r="R54" i="3"/>
  <c r="F26" i="3"/>
  <c r="F63" i="3" s="1"/>
  <c r="M54" i="3"/>
  <c r="F54" i="3"/>
  <c r="Q54" i="3" s="1"/>
  <c r="N64" i="3"/>
  <c r="I58" i="3"/>
  <c r="G57" i="3"/>
  <c r="N33" i="3"/>
  <c r="R64" i="3"/>
  <c r="Q61" i="3"/>
  <c r="G56" i="3"/>
  <c r="F39" i="3"/>
  <c r="Q38" i="3"/>
  <c r="Q26" i="3"/>
  <c r="F55" i="3"/>
  <c r="Q55" i="3" s="1"/>
  <c r="F62" i="3"/>
  <c r="Q62" i="3" s="1"/>
  <c r="Q49" i="3"/>
  <c r="O58" i="3"/>
  <c r="R62" i="3"/>
  <c r="R19" i="3"/>
  <c r="P32" i="3"/>
  <c r="P56" i="3" s="1"/>
  <c r="O32" i="3"/>
  <c r="O56" i="3" s="1"/>
  <c r="R34" i="3"/>
  <c r="G58" i="3"/>
  <c r="F34" i="3"/>
  <c r="F65" i="3"/>
  <c r="Q65" i="3" s="1"/>
  <c r="Q28" i="3"/>
  <c r="M53" i="3"/>
  <c r="M60" i="3"/>
  <c r="H58" i="3"/>
  <c r="F64" i="3"/>
  <c r="Q64" i="3" s="1"/>
  <c r="H32" i="3"/>
  <c r="H56" i="3" s="1"/>
  <c r="M34" i="3"/>
  <c r="M58" i="3" s="1"/>
  <c r="N58" i="3"/>
  <c r="F53" i="3"/>
  <c r="F60" i="3"/>
  <c r="Q60" i="3" s="1"/>
  <c r="Q47" i="3"/>
  <c r="R60" i="3"/>
  <c r="G56" i="2"/>
  <c r="H32" i="2"/>
  <c r="H56" i="2" s="1"/>
  <c r="G58" i="2"/>
  <c r="F34" i="2"/>
  <c r="F58" i="2" s="1"/>
  <c r="F26" i="2"/>
  <c r="F63" i="2" s="1"/>
  <c r="G63" i="2"/>
  <c r="Q53" i="3" l="1"/>
  <c r="Q63" i="3"/>
  <c r="Q27" i="3"/>
  <c r="N32" i="3"/>
  <c r="M32" i="3" s="1"/>
  <c r="M56" i="3" s="1"/>
  <c r="M33" i="3"/>
  <c r="R33" i="3"/>
  <c r="N57" i="3"/>
  <c r="R57" i="3" s="1"/>
  <c r="F57" i="3"/>
  <c r="F32" i="3"/>
  <c r="F67" i="3"/>
  <c r="Q67" i="3" s="1"/>
  <c r="Q39" i="3"/>
  <c r="Q34" i="3"/>
  <c r="F58" i="3"/>
  <c r="Q58" i="3" s="1"/>
  <c r="R58" i="3"/>
  <c r="F32" i="2"/>
  <c r="F56" i="2" s="1"/>
  <c r="Q32" i="3" l="1"/>
  <c r="M57" i="3"/>
  <c r="Q57" i="3" s="1"/>
  <c r="Q33" i="3"/>
  <c r="F56" i="3"/>
  <c r="Q56" i="3" s="1"/>
  <c r="N56" i="3"/>
  <c r="R56" i="3" s="1"/>
  <c r="R32" i="3"/>
</calcChain>
</file>

<file path=xl/comments1.xml><?xml version="1.0" encoding="utf-8"?>
<comments xmlns="http://schemas.openxmlformats.org/spreadsheetml/2006/main">
  <authors>
    <author>Автор</author>
  </authors>
  <commentList>
    <comment ref="B4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средства в рамках мун.задания</t>
        </r>
      </text>
    </comment>
    <comment ref="B5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иные средства</t>
        </r>
      </text>
    </comment>
    <comment ref="B6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т.к. МКУ средства доводятся полностью общей суммой на год. Это не иные и не мун.задание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мун.задание?</t>
        </r>
      </text>
    </comment>
  </commentList>
</comments>
</file>

<file path=xl/sharedStrings.xml><?xml version="1.0" encoding="utf-8"?>
<sst xmlns="http://schemas.openxmlformats.org/spreadsheetml/2006/main" count="837" uniqueCount="244">
  <si>
    <t>Мероприятия программы</t>
  </si>
  <si>
    <t>Срок выполнения</t>
  </si>
  <si>
    <t>Источники финансирования</t>
  </si>
  <si>
    <t>всего</t>
  </si>
  <si>
    <t>в том числе</t>
  </si>
  <si>
    <t>2014 год</t>
  </si>
  <si>
    <t>2015 год</t>
  </si>
  <si>
    <t>2016 год</t>
  </si>
  <si>
    <t>Задача 1 Содействие временному трудоустройству несовершеннолетних граждан</t>
  </si>
  <si>
    <t>Организация временного трудоустройства несовершеннолетних граждан в возрасте от 14 до 18 лет в свободное от учёбы время</t>
  </si>
  <si>
    <t>2014-2016 годы</t>
  </si>
  <si>
    <t>Организация временного трудоустройства несовершеннолетних граждан в возрасте от 14 до 18 лет в течение учебного года</t>
  </si>
  <si>
    <t xml:space="preserve">Организация временного трудоустройства несовершеннолетних безработных граждан в возрасте от 16 до 18 лет </t>
  </si>
  <si>
    <t>Привлечение внештатных сотрудников</t>
  </si>
  <si>
    <t>Приобретение канцелярских товаров</t>
  </si>
  <si>
    <t>Оказание консультационных услуг по вопросам о занятости несовершеннолетних граждан</t>
  </si>
  <si>
    <t>Финансовое обеспечение не требуется</t>
  </si>
  <si>
    <t>Итого по задаче 1</t>
  </si>
  <si>
    <t>Задача 2 Сдерживание роста безработицы и снижение напряжённости на рынке труда</t>
  </si>
  <si>
    <t>Организация проведения оплачиваемых общественных работ для не занятых трудовой деятельностью и безработных граждан</t>
  </si>
  <si>
    <t>Итого по задаче 2</t>
  </si>
  <si>
    <t>Итого по подпрограмме 1</t>
  </si>
  <si>
    <t>Управление экономики Администрации города Когалыма</t>
  </si>
  <si>
    <t>Организация и проведение в городе Когалыме смотра-конкурса «Лучший специалист по охране труда» среди специалистов по охране труда организаций города Когалыма</t>
  </si>
  <si>
    <t>Итого по задаче 3</t>
  </si>
  <si>
    <t>Всего</t>
  </si>
  <si>
    <t>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Принятие и реализация предупредительных и профилактических мер по снижению уровня производственного травматизма и профессиональной заболеваемости</t>
  </si>
  <si>
    <t>Итого по подпрограмме 2</t>
  </si>
  <si>
    <t>ответственный исполнитель – Управление экономики Администрации города Когалыма</t>
  </si>
  <si>
    <t>№ п/п</t>
  </si>
  <si>
    <t>Финансовые затраты на реализацию (тыс. рублей)</t>
  </si>
  <si>
    <t>1.1.</t>
  </si>
  <si>
    <t>1.2.</t>
  </si>
  <si>
    <t>1.3.</t>
  </si>
  <si>
    <t>1.4.</t>
  </si>
  <si>
    <t>1.5.</t>
  </si>
  <si>
    <t>1.6.</t>
  </si>
  <si>
    <t>1.7.</t>
  </si>
  <si>
    <t>2.1.</t>
  </si>
  <si>
    <t>3.1.</t>
  </si>
  <si>
    <t>4.1.</t>
  </si>
  <si>
    <t>4.2.</t>
  </si>
  <si>
    <t>Бюджет автономного округа</t>
  </si>
  <si>
    <t>Управление культуры, спорта и молодёжной политики Администрации города Когалыма</t>
  </si>
  <si>
    <t>Подпрограмма 3. «Улучшение условий и охраны труда в городе Когалыме»</t>
  </si>
  <si>
    <t>Задача 4. Совершенствование государственного управления охраной труда в городе Когалыме в рамках переданных полномочий</t>
  </si>
  <si>
    <t>4.3.</t>
  </si>
  <si>
    <t>4.4.</t>
  </si>
  <si>
    <t>Итого по задаче 4</t>
  </si>
  <si>
    <t>Задача 5. Снижение уровня производственного травматизма, улучшение условий труда</t>
  </si>
  <si>
    <t>5.1.</t>
  </si>
  <si>
    <t>5.2.</t>
  </si>
  <si>
    <t>Итого по подпрограмме 3</t>
  </si>
  <si>
    <t>Управление образования Администрации города Когалыма</t>
  </si>
  <si>
    <t xml:space="preserve">Бюджет автономного округа </t>
  </si>
  <si>
    <t>ВСЕГО  ПО  ПРОГРАММЕ</t>
  </si>
  <si>
    <t>Задача 3 Содействие трудоустройству незанятых одиноких родителей, родителей, воспитывающих детей-инвалидов, многодетных родителей</t>
  </si>
  <si>
    <t>Содействие трудоустройству незанятых одиноких родителей, родителей, воспитывающих детей-инвалидов, многодетных родителей</t>
  </si>
  <si>
    <t>Подпрограмма 1. «Содействие трудоустройству граждан»</t>
  </si>
  <si>
    <t>Подпрограмма 2. «Дополнительные мероприятия в области занятости населения»</t>
  </si>
  <si>
    <t>Основные мероприятия муниципальной программы</t>
  </si>
  <si>
    <t>соисполнитель 1 – Управление культуры, спорта и молодёжной политики Администрации города Когалыма</t>
  </si>
  <si>
    <t>соисполнитель 3 – Управление образования Администрации города Когалыма</t>
  </si>
  <si>
    <t>I. Цель 1. Содействие занятости населения города Когалыма и повышение конкурентоспособности рабочей силы</t>
  </si>
  <si>
    <t>II. Цель 2. Улучшение условий и охраны труда в городе Когалыме</t>
  </si>
  <si>
    <t>Муниципальное казённое учреждение «Управление жилищно-коммунального хозяйства города Когалыма»</t>
  </si>
  <si>
    <t>соисполнитель 2 – Муниципальное казённое учреждение «Управление жилищно-коммунального хозяйства города Когалыма»</t>
  </si>
  <si>
    <t>в том числе:</t>
  </si>
  <si>
    <t>к постановлению Администрации города Когалыма</t>
  </si>
  <si>
    <t>от ____________ №_________</t>
  </si>
  <si>
    <t>Бюджет города Когалыма  (2016 год - за счёт условно утверждённых расходов)</t>
  </si>
  <si>
    <t xml:space="preserve">Бюджет города Когалыма  </t>
  </si>
  <si>
    <t>Ответственный исполнитель /соисполнитель,учреждение, организация</t>
  </si>
  <si>
    <t>Приложение</t>
  </si>
  <si>
    <t>Обеспечение мероприятий по соблюдению охраны труда несовершеннолетних граждан согласно трудовому законодательству Российской Федерации</t>
  </si>
  <si>
    <t>Проведение семинара по вопросам методического руководства служб охраны труда в организациях, расположенных в городе Когалыме</t>
  </si>
  <si>
    <t>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</t>
  </si>
  <si>
    <t>Организация проведения заседаний Межведомственной комиссии по охране труда в городе Когалыме</t>
  </si>
  <si>
    <t>Бюджет Ханты-Мансийского автономного округа - Югры (далее - бюджет автономного округа)</t>
  </si>
  <si>
    <t>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в городе Когалыме</t>
  </si>
  <si>
    <t>2.2.</t>
  </si>
  <si>
    <t>тыс.руб.</t>
  </si>
  <si>
    <t>План на отчетную дату</t>
  </si>
  <si>
    <t>Профинансировано на отчетную дату</t>
  </si>
  <si>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</si>
  <si>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</si>
  <si>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</si>
  <si>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</si>
  <si>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</si>
  <si>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</si>
  <si>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</si>
  <si>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</si>
  <si>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</si>
  <si>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</si>
  <si>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</si>
  <si>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</si>
  <si>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</si>
  <si>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</si>
  <si>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</si>
  <si>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</si>
  <si>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</si>
  <si>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кассовый расход</t>
  </si>
  <si>
    <t xml:space="preserve">Подпрограмма 1. "Содействие трудоустройству граждан" </t>
  </si>
  <si>
    <t>бюджет автономного округа</t>
  </si>
  <si>
    <t>бюджет города Когалыма</t>
  </si>
  <si>
    <t>Итого по программе, в том числе</t>
  </si>
  <si>
    <t>(подпись)</t>
  </si>
  <si>
    <t>(расшифровка подписи)</t>
  </si>
  <si>
    <t xml:space="preserve">Ответственный за составление сетевого графика </t>
  </si>
  <si>
    <t>Мартынова Снежана Владимировна 93-785</t>
  </si>
  <si>
    <t>1.1.1.  "Организация временного трудоустройства несовершеннолетних граждан в возрасте от 14 до 18 лет в свободное от учёбы время"</t>
  </si>
  <si>
    <t>1.1.2. "Организация временного трудоустройства несовершеннолетних граждан в возрасте от 14 до 18 лет в течение учебного года"</t>
  </si>
  <si>
    <t xml:space="preserve">Подпрограмма 2. "Улучшение условий и охраны труда в городе Когалыме" </t>
  </si>
  <si>
    <t>Перечень основных мероприятий, подмероприятий муниципальной программы</t>
  </si>
  <si>
    <t>1.1.1.</t>
  </si>
  <si>
    <t xml:space="preserve">бюджет автономного округа </t>
  </si>
  <si>
    <t>1.1.2.</t>
  </si>
  <si>
    <t>1.1.3.</t>
  </si>
  <si>
    <t>1.1.4.</t>
  </si>
  <si>
    <t>1.1.5.</t>
  </si>
  <si>
    <t>Подпрограмма 2. «Улучшение условий и охраны труда в городе Когалыме»</t>
  </si>
  <si>
    <t>2.2.1.</t>
  </si>
  <si>
    <t>2.2.2.</t>
  </si>
  <si>
    <t>Всего по муниципальной программе</t>
  </si>
  <si>
    <t>Привлечение прочих специалистов для организации работ трудовых бригад несовершеннолетних граждан</t>
  </si>
  <si>
    <t>2.2.1. "Организация проведения заседаний Межведомственной комиссии по охране труда в городе Когалыме"</t>
  </si>
  <si>
    <t>2.2.2. "Проведение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Реализация предупредительных и профилактических мер по снижению уровня производственного травматизма и профессиональной заболеваемости "</t>
  </si>
  <si>
    <t>Таблица 2</t>
  </si>
  <si>
    <t xml:space="preserve">Номер основного
мероприятия
</t>
  </si>
  <si>
    <t>Основные мероприятия муниципальной программы (их связь с целевыми показателями муниципальной программы</t>
  </si>
  <si>
    <t>Ответственный исполнитель/   соисполнитель, учреждение, организация</t>
  </si>
  <si>
    <t xml:space="preserve"> 2019 г.</t>
  </si>
  <si>
    <t xml:space="preserve"> 2020 г.</t>
  </si>
  <si>
    <t xml:space="preserve"> 2021 г.</t>
  </si>
  <si>
    <t>в том числе по проектам, портфелям проектов автономного округа (в том числе направленные на реализацию национальных и федеральных проектов Российской Федерации)</t>
  </si>
  <si>
    <t>Осуществление отдельных государственных полномочий в сфере трудовых отношений и  государственного управления охраной труда в городе Когалыме (показатель 5)</t>
  </si>
  <si>
    <t>Предупредительные меры, направленные на снижение производственного травматизма и профессиональной заболеваемости работающего населения (показатель 6)</t>
  </si>
  <si>
    <t>Подпрограмма 3. «Сопровождение инвалидов, в том числе молодого возраста, при трудоустройстве»</t>
  </si>
  <si>
    <t>Содействие трудоустройству граждан с инвалидностью и их адаптация на рынке труда (показатель 7)</t>
  </si>
  <si>
    <t>3.1.1.</t>
  </si>
  <si>
    <t xml:space="preserve">инвестиции и объекты муниципальной собственности  </t>
  </si>
  <si>
    <t>В том числе:</t>
  </si>
  <si>
    <t xml:space="preserve">Проекты, портфели проектов муниципального образования: </t>
  </si>
  <si>
    <t xml:space="preserve">в том числе инвестиции в объекты муниципальной собственности
</t>
  </si>
  <si>
    <t xml:space="preserve">Инвестиции в объекты муниципальной собственности (за исключением инвестиций в объекты муниципальной собственности по проектам, портфелям проектов муниципального образования)   </t>
  </si>
  <si>
    <t xml:space="preserve">Прочие расходы </t>
  </si>
  <si>
    <t>План на 2019 год</t>
  </si>
  <si>
    <t>1.1.3. "Привлечение прочих специалистов для организации работ трудовых бригад несовершеннолетних граждан"</t>
  </si>
  <si>
    <t>1.1.4. "Оказание консультационных услуг по вопросам о занятости несовершеннолетних граждан"</t>
  </si>
  <si>
    <t>1.1 "Содействие улучшению положения на рынке труда не занятых трудовой деятельностью и безработных граждан"  (1,2,3,4)</t>
  </si>
  <si>
    <t>2.1 "Осуществление отдельных государственных полномочий в сфере трудовых отношений и  государственного управления охраной труда в городе Когалыме" (5)</t>
  </si>
  <si>
    <t>2.2. "Предупредительные меры, направленные на снижение производственного травматизма и профессиональной заболеваемости работающего населения" (6)</t>
  </si>
  <si>
    <t xml:space="preserve">3.1 "Содействие трудоустройству незанятых инвалидов, в том числе инвалидов молодого возраста, на оборудованные (оснащенные) рабочие места" (7) </t>
  </si>
  <si>
    <t>план</t>
  </si>
  <si>
    <t>Расходы на заработную плату и налоги</t>
  </si>
  <si>
    <t>итого:</t>
  </si>
  <si>
    <t>Расхода на обеспечение мероприятий по соблюдению охраны труда несовершеннолетних граждан согласно трудовому законодательству РФ</t>
  </si>
  <si>
    <t>Расходы на приобретение канцелярских товаров</t>
  </si>
  <si>
    <t>ИТОГО КСАТ:</t>
  </si>
  <si>
    <t>Всего по мероприятию:</t>
  </si>
  <si>
    <t>МКУ "УОДОМС"</t>
  </si>
  <si>
    <t xml:space="preserve">1.1.5. "Организация проведения оплачиваемых общественных работ для не занятых трудовой деятельностью и безработных граждан" </t>
  </si>
  <si>
    <t>МБУ "КСАТ"</t>
  </si>
  <si>
    <t>ИТОГО (МАУ "МКЦ" ФЕНИКС")</t>
  </si>
  <si>
    <t>ИТОГО УОДОМС:</t>
  </si>
  <si>
    <t xml:space="preserve">1.1.6. "Содействие трудоустройству незанятых одиноких родителей, родителей, воспитывающих детей-инвалидов, многодетных родителей через создание дополнительных (в том числе надомных) постоянных рабочих мест " </t>
  </si>
  <si>
    <t>Расходы на обеспечение мероприятий по соблюдению охраны труда прочих специалистов согласно трудовому законодательству РФ</t>
  </si>
  <si>
    <t>Муниципальные учреждения города Когалыма не заявили в КУ "Когалымский центр занятости населения" свою потребность для участия в данном мероприятии муниципальной программы.</t>
  </si>
  <si>
    <t>Принято и проверено 163 отчета по ОТ от работодателей г.Когалыма за 2018 год.</t>
  </si>
  <si>
    <t>утвержденной постановлением Администрации города Когалыма от 11.10.2013 №2901</t>
  </si>
  <si>
    <t>Задача 1 "Сдерживание роста безработицы и снижение напряжённости на рынке труда"</t>
  </si>
  <si>
    <t>Задача 2 "Совершенствование управления охраной труда в городе Когалыме в рамках переданных полномочий"</t>
  </si>
  <si>
    <t>Задача 3 "Расширение возможностей трудоустройства и обеспечение востребованности незанятых инвалидов на рынке труда"</t>
  </si>
  <si>
    <t xml:space="preserve">1.2.1. «Содействие трудоустройству незанятых одиноких родителей, родителей, воспитывающих детей-инвалидов, многодетных родителей, женщин, осуществляющих уход за ребенком в возрасте до 3 лет» </t>
  </si>
  <si>
    <t>1.2 "Региональный проект «Содействие занятости женщин - создание условий дошкольного образования для детей в возрасте до трех лет" (8)</t>
  </si>
  <si>
    <t>МАДОУ "Золушка"</t>
  </si>
  <si>
    <t>ИТОГО Золушка:</t>
  </si>
  <si>
    <t>МАДОУ "Березка"</t>
  </si>
  <si>
    <t>ИТОГО Березка:</t>
  </si>
  <si>
    <t>МАДОУ "Чебурашка"</t>
  </si>
  <si>
    <t>ИТОГО Чебурашка:</t>
  </si>
  <si>
    <t>МАДОУ "Колокольчик"</t>
  </si>
  <si>
    <t>ИТОГО Колокольчик:</t>
  </si>
  <si>
    <t>ВСЕГО МАДОУ:</t>
  </si>
  <si>
    <t xml:space="preserve">Экономия: 
-местный бюджет: 249,84 т.р., в том числе:
68,93т.р.- приобретение бейсболок;
91,70т.р.- приобретение жилетов сигнальных; 
64,87т.р.- приобретение плащей- дождевиков;
7,80т.р.- приобретение аптечек;
16,54т.р.- приобретение трудовых книжек.
Договора на приобретение товара были заключены на меньшую сумму, чем планировалось.
</t>
  </si>
  <si>
    <t>КУ "Когалымский центр занятости населения" ведется активная работа по определению работодателя из числа дошкольных муниципальных учреждений г. Когалыма для заключения договора о совместной деятельности по данному мероприятию. Согласно сетевого графика освоение средств запланировано в октябре 2019 года.</t>
  </si>
  <si>
    <t>КУ "Когалымский центр занятости населения" ведется активная работа по определению работодателя из числа дошкольных муниципальных учреждений г. Когалыма для заключения договора о совместной деятельности по данному мероприятию.Согласно сетевого графика освоение средств запланировано в октябре 2019 года.</t>
  </si>
  <si>
    <t>Отчет о ходе реализации муниципальной программы "Содействие занятости населения города Когалыма"по состоянию на 01.06.2019 года</t>
  </si>
  <si>
    <r>
      <t xml:space="preserve">Содействие улучшению положения на рынке труда не занятых трудовой деятельностью и безработных граждан (показатели </t>
    </r>
    <r>
      <rPr>
        <sz val="13"/>
        <rFont val="Times New Roman"/>
        <family val="1"/>
        <charset val="204"/>
      </rPr>
      <t>1,2,3,4)</t>
    </r>
  </si>
  <si>
    <t xml:space="preserve">Управление экономики Администрации города Когалыма/УКСиМП Администрации города Когалыма/МАУ«МКЦ «Феникс»/МКУ «УОДОМС»/МБУ «КСАТ»/Управление образования/МАДОУ «Золушка»/МАДОУ «Берёзка»/МАДОУ «Чебурашка»/МАДОУ «Колокольчик»       </t>
  </si>
  <si>
    <t>федеральный бюджет</t>
  </si>
  <si>
    <t>иные внебюджетные источники</t>
  </si>
  <si>
    <t xml:space="preserve">Организация временного трудоустройства несовершеннолетних граждан в возрасте от 14 до 18 лет в свободное от учёбы время </t>
  </si>
  <si>
    <t>Управление экономики Администрации города Когалыма/УКСиМП Администрации города Когалыма/МАУ«МКЦ «Феникс»</t>
  </si>
  <si>
    <t xml:space="preserve">Организация временного трудоустройства несовершеннолетних граждан в возрасте от 14 до 18 лет в течение учебного года </t>
  </si>
  <si>
    <t xml:space="preserve">Оказание консультационных услуг по вопросам о занятости несовершеннолетних граждан </t>
  </si>
  <si>
    <t xml:space="preserve">Организация проведения оплачиваемых общественных работ для не занятых трудовой деятельностью и безработных граждан </t>
  </si>
  <si>
    <t xml:space="preserve">Управление экономики Администрации города Когалыма/МБУ «КСАТ»/МКУ «УОДОМС»/Управление образования/МАДОУ «Золушка»/МАДОУ «Берёзка»/МАДОУ «Чебурашка»/МАДОУ «Колокольчик»       </t>
  </si>
  <si>
    <t>Управление экономики Администрации города Когалыма/МБУ «КСАТ»</t>
  </si>
  <si>
    <t xml:space="preserve">Управление экономики Администрации города Когалыма/МКУ «УОДОМС» </t>
  </si>
  <si>
    <t xml:space="preserve">Управление экономики Администрации города Когалыма/Управление образования/МАДОУ «Золушка» </t>
  </si>
  <si>
    <t xml:space="preserve">Управление экономики Администрации города Когалыма/Управление образования/МАДОУ «Берёзка» </t>
  </si>
  <si>
    <t xml:space="preserve">Управление экономики Администрации города Когалыма/Управление образования/МАДОУ «Чебурашка» </t>
  </si>
  <si>
    <t xml:space="preserve">Управление экономики Администрации города Когалыма/Управление образования/МАДОУ «Колокольчик» </t>
  </si>
  <si>
    <t>Региональный проект «Содействие занятости женщин - создание условий дошкольного образования для детей в возрасте до трех лет» (8)</t>
  </si>
  <si>
    <t>Управление экономики Администрации города Когалыма/Управление образования</t>
  </si>
  <si>
    <t>1.2.1.</t>
  </si>
  <si>
    <t xml:space="preserve">Содействие трудоустройству незанятых одиноких родителей, родителей, воспитывающих детей-инвалидов, многодетных родителей, женщин, осуществляющих уход за ребенком в возрасте до 3 лет </t>
  </si>
  <si>
    <t xml:space="preserve">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Реализация предупредительных и профилактических мер по снижению уровня производственного травматизма и профессиональной заболеваемости </t>
  </si>
  <si>
    <t>Подпрограмма 3. «Сопровождение инвалидов, включая инвалидов молодого возраста, при трудоустройстве»</t>
  </si>
  <si>
    <t xml:space="preserve">Управление экономики Администрации города Когалыма/Управление образования/УКСиМП Администрации города Когалыма </t>
  </si>
  <si>
    <t xml:space="preserve">Содействие трудоустройству незанятых инвалидов, в том числе инвалидов молодого возраста, на оборудованные (оснащенные) рабочие места </t>
  </si>
  <si>
    <t xml:space="preserve">Управление экономики Администрации города Когалыма/УКСиМП Администрации города Когалыма </t>
  </si>
  <si>
    <t>Ответственный исполнитель (Управление экономики Администрации города Когалыма)</t>
  </si>
  <si>
    <t>Соисполнитель 1 (УКСиМП Администрации города Когалыма/МАУ«МКЦ «Феникс»)</t>
  </si>
  <si>
    <t>Соисполнитель 2 (Управление образования)</t>
  </si>
  <si>
    <t>Соисполнитель 3 (МКУ «УОДОМС»)</t>
  </si>
  <si>
    <t>Соисполнитель 4 (МБУ «КСАТ»)</t>
  </si>
  <si>
    <t>Соисполнитель 5 (Управление образования/МАДОУ «Золушка»)</t>
  </si>
  <si>
    <t>Соисполнитель 6 (Управление образования/МАДОУ«Берёзка»)</t>
  </si>
  <si>
    <t>Соисполнитель 7 (Управление образования/МАДОУ «Чебурашка»)</t>
  </si>
  <si>
    <t>Соисполнитель 8 (Управление образования/МАДОУ «Колокольчик»)</t>
  </si>
  <si>
    <t>УКСиМП Администрации города Когалыма - Управление культуры, спорта и молодёжной политики Администрации города Когалыма</t>
  </si>
  <si>
    <t>Управление образования - Управление образования  Администрации города Когалыма</t>
  </si>
  <si>
    <t>МАУ«МКЦ «Феникс» - Муниципальное автономное учреждение  «Молодёжный комплексный центр«Феникс»</t>
  </si>
  <si>
    <t>МКУ «УОДОМС»  - муниципальное казённое учреждение «Управление обеспечения деятельности органов местного самоуправления»</t>
  </si>
  <si>
    <t xml:space="preserve">МБУ «КСАТ» - муниципальное бюджетное учреждение «Коммунспецавтотехника» </t>
  </si>
  <si>
    <t>МАДОУ «Золушка» - муниципальное автономное учреждение дошкольного образовательного учреждения «Золушка»</t>
  </si>
  <si>
    <t>МАДОУ «Берёзка» - муниципальное автономное учреждение дошкольного образовательного учреждения «Берёзка»</t>
  </si>
  <si>
    <t>МАДОУ «Чебурашка» - муниципальное автономное учреждение дошкольного образовательного учреждения «Чебурашка»</t>
  </si>
  <si>
    <t>МАДОУ «Колокольчик» - муниципальное автономное учреждение дошкольного образовательного учреждения «Колокольчик»</t>
  </si>
  <si>
    <t>И.о.начальника управления экономики Администрации города Когалыма</t>
  </si>
  <si>
    <t xml:space="preserve">Остаток средств по выплате заработной плате и налогам 4,84т.р., из них: 
-0,26т.р.- денежные средства из окружного бюджета не поступили;
- 4,58 т.р.- остаток средств из местного бюджета (заработная плата).         
Денежные средства были выплачены несовершеннолетним гражданам по факту отработанного времени.    </t>
  </si>
  <si>
    <t xml:space="preserve">Экономия: 
-местный бюджет: 23,66 т.р., в том числе:
7,23т.р.- приобретение бейсболок;
9,62т.р.- приобретение жилетов сигнальных; 
6,81т.р.- приобретение плащей- дождевиков.
Договора на приобретение мягкого инвентаря были заключены на меньшую сумму, чем планировалось.
</t>
  </si>
  <si>
    <t>По факту обращения несовершеннолетних граждан специалистами МАУ "МКЦ"Феникс" оказано 813 консультаций.</t>
  </si>
  <si>
    <r>
      <t xml:space="preserve">Остаток плановых ассигнований на 01.06.2019 г. cоставляет 149,82 тыс.руб, из них:
1) </t>
    </r>
    <r>
      <rPr>
        <b/>
        <sz val="10"/>
        <rFont val="Times New Roman"/>
        <family val="1"/>
        <charset val="204"/>
      </rPr>
      <t>по местному бюджету</t>
    </r>
    <r>
      <rPr>
        <sz val="10"/>
        <rFont val="Times New Roman"/>
        <family val="1"/>
        <charset val="204"/>
      </rPr>
      <t xml:space="preserve"> - 120,81 тыс. руб. (по фактическому количеству людей, отработавших в данный период), в т.ч.:
106,94 тыс. руб.- оплата труда гражданского персонала и налогов;
13,87 тыс. руб.- расходы на охрану труда (медицинский осмотр и трудовые книжки);
2) </t>
    </r>
    <r>
      <rPr>
        <b/>
        <sz val="10"/>
        <rFont val="Times New Roman"/>
        <family val="1"/>
        <charset val="204"/>
      </rPr>
      <t>по бюджету автономного округ</t>
    </r>
    <r>
      <rPr>
        <sz val="10"/>
        <rFont val="Times New Roman"/>
        <family val="1"/>
        <charset val="204"/>
      </rPr>
      <t>а - 29,01 тыс. руб. - оплата труда гражданского персонала и налогов (по фактическому количеству людей, отработавших в данный период) .</t>
    </r>
  </si>
  <si>
    <t>Остаток плановых ассигнований в сумме 74,27 тыс.рублей, из них: средства бюджета г.Когалыма - 57,41 тыс.руб.  (по статье заработная плата, налоги и расходы на охрану труда); средства бюджета автономного округа.- 16,86 тыс.руб. (по статье заработная плата и налоги. Не освоение средств сложилось в связи с тем, что договор о совместной деятельности с КУ "Когалымский центр занятости населения" был заключен в конце апреля 2019 года, так же в связи с периодом подбора (отбора) граждан для трудоустройства в дошкольные учреждения (запросом справки об отсутствии судимости и прохождением гражданином мед.осмотра). В конце мая 2019 г. заключен срочный трудовой договор с 1 гражданином, согласно сроков выплаты заработной платы в учреждении, средства будут выплачены в июне м-це.</t>
  </si>
  <si>
    <r>
      <t xml:space="preserve">Остаток плановых ассигнований в сумме 145,43 тыс.рублей, из них: </t>
    </r>
    <r>
      <rPr>
        <b/>
        <sz val="10"/>
        <rFont val="Times New Roman"/>
        <family val="1"/>
        <charset val="204"/>
      </rPr>
      <t>средства бюджета г.Когалыма</t>
    </r>
    <r>
      <rPr>
        <sz val="10"/>
        <rFont val="Times New Roman"/>
        <family val="1"/>
        <charset val="204"/>
      </rPr>
      <t xml:space="preserve"> - 112,51 тыс.руб.  (по статье заработная плата, налоги и расходы на охрану труда); </t>
    </r>
    <r>
      <rPr>
        <b/>
        <sz val="10"/>
        <rFont val="Times New Roman"/>
        <family val="1"/>
        <charset val="204"/>
      </rPr>
      <t>средства бюджета автономного округа</t>
    </r>
    <r>
      <rPr>
        <sz val="10"/>
        <rFont val="Times New Roman"/>
        <family val="1"/>
        <charset val="204"/>
      </rPr>
      <t xml:space="preserve">.- 32,92 тыс.руб. (по статье заработная плата и налоги. Не освоение средств сложилось в связи с тем, что договор о совместной деятельности с КУ "Когалымский центр занятости населения" был заключен в конце апреля 2019 года, так же в связи с периодом подбора (отбора) граждан для трудоустройства в дошкольные учреждения (запросом справки об отсутствии судимости и прохождением гражданином мед.осмотра). В мае 2019 г. заключен срочный трудовой договор с 1 гражданином, согласно сроков выплаты заработной платы в учреждении, з/плата за вторую половину месяца будет выплачена в июне м-це. </t>
    </r>
  </si>
  <si>
    <t>Остаток плановых ассигнований в сумме 78,70 тыс.рублей, из них: средства бюджета г.Когалыма - 61,84 тыс.руб.  (по статье заработная плата, налоги и расходы на охрану труда); средства бюджета автономного округа.- 16,86 тыс.руб. (по статье заработная плата и налоги. Не освоение средств сложилось в связи с тем, что договор о совместной деятельности с КУ "Когалымский центр занятости населения" был заключен в конце апреля 2019 года, так же в связи с периодом подбора (отбора) граждан для трудоустройства в дошкольные учреждения, запросом справок об отсутствии судимости и прохождением гражданами мед.осмотра. В конце мая 2019 г. заключен срочный трудовой договор с 1 гражданином, согласно сроков выплаты заработной платы в учреждении, средства будут выплачены в июне м-це.</t>
  </si>
  <si>
    <t>Остаток плановых ассигнований в сумме 177,43 тыс.рублей, из них: средства бюджета г.Когалыма - 132,47 тыс.руб.  (по статье заработная плата, налоги и расходы на охрану труда); средства бюджета автономного округа.- 44,96 тыс.руб. (по статье заработная плата и налоги. Не освоение средств сложилось в связи с тем, что договор о совместной деятельности с КУ "Когалымский центр занятости населения" был заключен в конце апреля 2019 года, так же в связи с периодом подбора (отбора) граждан для трудоустройства в дошкольные учреждения, запросом справок об отсутствии судимости и прохождением гражданами мед.осмотра. В мае 2019 г. с 2 гражданами заключены срочные трудовые договора, согласно сроков выплаты заработной платы в учреждении, средства будут выплачены в июне м-це.</t>
  </si>
  <si>
    <t>По состоянию на 01.06.2019 года остаток профинансированных средств автономного округа составил 103,70 тыс. рублей, в связив связи с тем, что кассовые расходы на связь, т/о и ремонту компьютерной и копировальной техники и комунальные услуги производились по фактически выставлеными поставщиками счетами. Специалистами отдела по труду и занятости: рассмотрено 15 устных  и 3 письменных обращения, поступивших от организаций и работников касающихся оплаты труда, занятости, нарушений ТК РФ; подготовлены отчёты и направлены в установленные сроки в Департамен по труду и занятости населения ХМАО-Югры.</t>
  </si>
  <si>
    <t>Заседание Межведомственной комиссии планируется провести в ноябре 2019 года.</t>
  </si>
  <si>
    <t>О.П.Бондарева</t>
  </si>
  <si>
    <t>Не исполнение субсидии составляет 376,69 тыс.рублей, из них: средства бюджета г.Когалыма - 314,19 тыс.руб. (статья - заработная плата в сумме 163,13 тыс.руб. по фактически отработанному времени; статья- начисления на оплату труда 67,71 тыс. руб., в связи с оплатой страховых взносов за май 2019 в июне 2019 г.; статье  расходов "оплата медицинского осмотра" -  25,21  тыс.руб. оплата производится по факту предоставленной документации, подтверждающей оплату и прохождение медицинского осмотра.; 58,14 тыс.руб. приобретение спец.одежды); средства автономного округа - 62,50 тыс. руб. по фактически отработанному времени (статья заработная плата и налоги).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</si>
</sst>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"/>
    <numFmt numFmtId="167" formatCode="#,##0.0_ ;\-#,##0.0\ "/>
    <numFmt numFmtId="168" formatCode="#,##0.00_ ;\-#,##0.00\ "/>
    <numFmt numFmtId="169" formatCode="0.0"/>
  </numFmts>
  <fonts count="39" x14ac:knownFonts="1">
    <font>
      <sz val="11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8000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8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20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3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ED9D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/>
  </cellStyleXfs>
  <cellXfs count="316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right"/>
    </xf>
    <xf numFmtId="4" fontId="3" fillId="0" borderId="1" xfId="0" applyNumberFormat="1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/>
    <xf numFmtId="0" fontId="6" fillId="0" borderId="0" xfId="0" applyFont="1" applyAlignment="1">
      <alignment horizontal="right"/>
    </xf>
    <xf numFmtId="4" fontId="3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/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 wrapText="1"/>
    </xf>
    <xf numFmtId="164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justify" vertical="center" wrapText="1"/>
    </xf>
    <xf numFmtId="0" fontId="13" fillId="0" borderId="8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right" wrapText="1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vertical="center" wrapText="1"/>
    </xf>
    <xf numFmtId="165" fontId="11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9" fillId="3" borderId="1" xfId="0" applyFont="1" applyFill="1" applyBorder="1" applyAlignment="1" applyProtection="1">
      <alignment wrapText="1"/>
    </xf>
    <xf numFmtId="0" fontId="18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2" fontId="16" fillId="4" borderId="1" xfId="0" applyNumberFormat="1" applyFont="1" applyFill="1" applyBorder="1" applyAlignment="1" applyProtection="1">
      <alignment horizontal="right" vertical="center" wrapText="1"/>
    </xf>
    <xf numFmtId="0" fontId="19" fillId="3" borderId="1" xfId="0" applyFont="1" applyFill="1" applyBorder="1" applyAlignment="1" applyProtection="1">
      <alignment horizontal="left" vertical="top" wrapText="1"/>
    </xf>
    <xf numFmtId="2" fontId="16" fillId="4" borderId="1" xfId="0" applyNumberFormat="1" applyFont="1" applyFill="1" applyBorder="1" applyAlignment="1">
      <alignment horizontal="right" vertical="center" wrapText="1"/>
    </xf>
    <xf numFmtId="0" fontId="18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horizontal="justify" wrapText="1"/>
    </xf>
    <xf numFmtId="164" fontId="10" fillId="0" borderId="0" xfId="0" applyNumberFormat="1" applyFont="1" applyFill="1" applyBorder="1" applyAlignment="1" applyProtection="1">
      <alignment vertical="center" wrapText="1"/>
    </xf>
    <xf numFmtId="164" fontId="16" fillId="0" borderId="0" xfId="0" applyNumberFormat="1" applyFont="1" applyFill="1" applyBorder="1" applyAlignment="1" applyProtection="1">
      <alignment vertical="center" wrapText="1"/>
    </xf>
    <xf numFmtId="164" fontId="10" fillId="0" borderId="0" xfId="0" applyNumberFormat="1" applyFont="1" applyFill="1" applyBorder="1" applyAlignment="1">
      <alignment horizontal="justify" wrapText="1"/>
    </xf>
    <xf numFmtId="0" fontId="16" fillId="0" borderId="0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left"/>
    </xf>
    <xf numFmtId="0" fontId="20" fillId="0" borderId="0" xfId="0" applyFont="1"/>
    <xf numFmtId="0" fontId="20" fillId="0" borderId="0" xfId="0" applyFont="1" applyBorder="1"/>
    <xf numFmtId="0" fontId="20" fillId="0" borderId="0" xfId="0" applyFont="1" applyFill="1" applyBorder="1"/>
    <xf numFmtId="0" fontId="20" fillId="0" borderId="0" xfId="0" applyFont="1" applyFill="1"/>
    <xf numFmtId="164" fontId="4" fillId="0" borderId="8" xfId="0" applyNumberFormat="1" applyFont="1" applyFill="1" applyBorder="1" applyAlignment="1">
      <alignment vertical="center" wrapText="1"/>
    </xf>
    <xf numFmtId="164" fontId="11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Border="1" applyAlignment="1">
      <alignment vertical="center" wrapText="1"/>
    </xf>
    <xf numFmtId="0" fontId="22" fillId="0" borderId="0" xfId="0" applyFont="1" applyBorder="1"/>
    <xf numFmtId="0" fontId="19" fillId="7" borderId="1" xfId="0" applyFont="1" applyFill="1" applyBorder="1" applyAlignment="1">
      <alignment horizontal="justify" vertical="center" wrapText="1"/>
    </xf>
    <xf numFmtId="0" fontId="18" fillId="7" borderId="0" xfId="0" applyFont="1" applyFill="1" applyBorder="1" applyAlignment="1">
      <alignment vertical="center" wrapText="1"/>
    </xf>
    <xf numFmtId="0" fontId="19" fillId="7" borderId="7" xfId="0" applyFont="1" applyFill="1" applyBorder="1" applyAlignment="1">
      <alignment vertical="top" wrapText="1"/>
    </xf>
    <xf numFmtId="14" fontId="4" fillId="0" borderId="0" xfId="0" applyNumberFormat="1" applyFont="1" applyFill="1" applyAlignment="1">
      <alignment horizontal="justify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justify" vertical="top" wrapText="1"/>
    </xf>
    <xf numFmtId="0" fontId="23" fillId="4" borderId="1" xfId="0" applyFont="1" applyFill="1" applyBorder="1" applyAlignment="1">
      <alignment horizontal="justify" wrapText="1"/>
    </xf>
    <xf numFmtId="9" fontId="23" fillId="4" borderId="1" xfId="2" applyFont="1" applyFill="1" applyBorder="1" applyAlignment="1">
      <alignment horizontal="right" vertical="center" wrapText="1"/>
    </xf>
    <xf numFmtId="43" fontId="23" fillId="4" borderId="1" xfId="1" applyFont="1" applyFill="1" applyBorder="1" applyAlignment="1" applyProtection="1">
      <alignment horizontal="right" vertical="center" wrapText="1"/>
    </xf>
    <xf numFmtId="0" fontId="5" fillId="6" borderId="1" xfId="0" applyFont="1" applyFill="1" applyBorder="1" applyAlignment="1">
      <alignment horizontal="justify" wrapText="1"/>
    </xf>
    <xf numFmtId="43" fontId="5" fillId="6" borderId="1" xfId="1" applyFont="1" applyFill="1" applyBorder="1" applyAlignment="1">
      <alignment horizontal="right" vertical="center" wrapText="1"/>
    </xf>
    <xf numFmtId="43" fontId="5" fillId="6" borderId="1" xfId="1" applyFont="1" applyFill="1" applyBorder="1" applyAlignment="1" applyProtection="1">
      <alignment horizontal="right" vertical="center" wrapText="1"/>
    </xf>
    <xf numFmtId="9" fontId="5" fillId="6" borderId="1" xfId="2" applyFont="1" applyFill="1" applyBorder="1" applyAlignment="1" applyProtection="1">
      <alignment horizontal="right" vertical="center" wrapText="1"/>
    </xf>
    <xf numFmtId="0" fontId="5" fillId="5" borderId="1" xfId="0" applyFont="1" applyFill="1" applyBorder="1" applyAlignment="1">
      <alignment horizontal="justify" wrapText="1"/>
    </xf>
    <xf numFmtId="43" fontId="5" fillId="5" borderId="1" xfId="1" applyFont="1" applyFill="1" applyBorder="1" applyAlignment="1">
      <alignment horizontal="right" vertical="center" wrapText="1"/>
    </xf>
    <xf numFmtId="43" fontId="5" fillId="5" borderId="1" xfId="1" applyFont="1" applyFill="1" applyBorder="1" applyAlignment="1" applyProtection="1">
      <alignment horizontal="right" vertical="center" wrapText="1"/>
    </xf>
    <xf numFmtId="9" fontId="5" fillId="5" borderId="1" xfId="2" applyFont="1" applyFill="1" applyBorder="1" applyAlignment="1" applyProtection="1">
      <alignment horizontal="right" vertical="center" wrapText="1"/>
    </xf>
    <xf numFmtId="9" fontId="23" fillId="0" borderId="1" xfId="2" applyFont="1" applyFill="1" applyBorder="1" applyAlignment="1" applyProtection="1">
      <alignment horizontal="right" vertical="center" wrapText="1"/>
    </xf>
    <xf numFmtId="9" fontId="5" fillId="0" borderId="1" xfId="2" applyFont="1" applyFill="1" applyBorder="1" applyAlignment="1" applyProtection="1">
      <alignment horizontal="right" vertical="center" wrapText="1"/>
    </xf>
    <xf numFmtId="43" fontId="23" fillId="5" borderId="1" xfId="1" applyFont="1" applyFill="1" applyBorder="1" applyAlignment="1" applyProtection="1">
      <alignment horizontal="right" vertical="center" wrapText="1"/>
    </xf>
    <xf numFmtId="0" fontId="23" fillId="7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justify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 applyProtection="1">
      <alignment vertical="center" wrapText="1"/>
    </xf>
    <xf numFmtId="0" fontId="5" fillId="6" borderId="1" xfId="0" applyFont="1" applyFill="1" applyBorder="1" applyAlignment="1">
      <alignment horizontal="justify" vertical="center" wrapText="1"/>
    </xf>
    <xf numFmtId="165" fontId="10" fillId="0" borderId="4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justify" wrapText="1"/>
    </xf>
    <xf numFmtId="9" fontId="5" fillId="4" borderId="1" xfId="2" applyFont="1" applyFill="1" applyBorder="1" applyAlignment="1">
      <alignment horizontal="right" vertical="center" wrapText="1"/>
    </xf>
    <xf numFmtId="43" fontId="5" fillId="4" borderId="1" xfId="1" applyFont="1" applyFill="1" applyBorder="1" applyAlignment="1" applyProtection="1">
      <alignment horizontal="right" vertical="center" wrapText="1"/>
    </xf>
    <xf numFmtId="0" fontId="27" fillId="0" borderId="0" xfId="0" applyFont="1"/>
    <xf numFmtId="166" fontId="27" fillId="0" borderId="1" xfId="0" applyNumberFormat="1" applyFont="1" applyFill="1" applyBorder="1" applyAlignment="1">
      <alignment horizontal="center" vertical="center" wrapText="1"/>
    </xf>
    <xf numFmtId="0" fontId="23" fillId="9" borderId="1" xfId="0" applyFont="1" applyFill="1" applyBorder="1" applyAlignment="1" applyProtection="1">
      <alignment vertical="top" wrapText="1"/>
    </xf>
    <xf numFmtId="0" fontId="23" fillId="9" borderId="1" xfId="0" applyFont="1" applyFill="1" applyBorder="1" applyAlignment="1" applyProtection="1">
      <alignment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4" fontId="23" fillId="10" borderId="1" xfId="0" applyNumberFormat="1" applyFont="1" applyFill="1" applyBorder="1" applyAlignment="1">
      <alignment horizontal="right" vertical="center" wrapText="1"/>
    </xf>
    <xf numFmtId="9" fontId="23" fillId="10" borderId="1" xfId="2" applyFont="1" applyFill="1" applyBorder="1" applyAlignment="1">
      <alignment horizontal="right" vertical="center" wrapText="1"/>
    </xf>
    <xf numFmtId="10" fontId="36" fillId="10" borderId="1" xfId="2" applyNumberFormat="1" applyFont="1" applyFill="1" applyBorder="1" applyAlignment="1">
      <alignment horizontal="right" vertical="center" wrapText="1"/>
    </xf>
    <xf numFmtId="0" fontId="37" fillId="0" borderId="7" xfId="0" applyFont="1" applyFill="1" applyBorder="1" applyAlignment="1">
      <alignment horizontal="justify" vertical="center" wrapText="1"/>
    </xf>
    <xf numFmtId="9" fontId="23" fillId="0" borderId="7" xfId="2" applyFont="1" applyFill="1" applyBorder="1" applyAlignment="1" applyProtection="1">
      <alignment horizontal="right" vertical="center" wrapText="1"/>
    </xf>
    <xf numFmtId="0" fontId="24" fillId="1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9" fontId="23" fillId="0" borderId="1" xfId="2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justify" wrapText="1"/>
    </xf>
    <xf numFmtId="0" fontId="5" fillId="0" borderId="1" xfId="0" applyFont="1" applyFill="1" applyBorder="1" applyAlignment="1">
      <alignment horizontal="right" wrapText="1"/>
    </xf>
    <xf numFmtId="43" fontId="17" fillId="0" borderId="0" xfId="0" applyNumberFormat="1" applyFont="1" applyFill="1" applyBorder="1" applyAlignment="1">
      <alignment vertical="center" wrapText="1"/>
    </xf>
    <xf numFmtId="0" fontId="37" fillId="0" borderId="1" xfId="0" applyFont="1" applyFill="1" applyBorder="1" applyAlignment="1">
      <alignment horizontal="justify" vertical="center" wrapText="1"/>
    </xf>
    <xf numFmtId="43" fontId="5" fillId="6" borderId="1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wrapText="1"/>
    </xf>
    <xf numFmtId="43" fontId="23" fillId="0" borderId="1" xfId="1" applyNumberFormat="1" applyFont="1" applyFill="1" applyBorder="1" applyAlignment="1">
      <alignment horizontal="right" wrapText="1"/>
    </xf>
    <xf numFmtId="43" fontId="23" fillId="0" borderId="1" xfId="1" applyNumberFormat="1" applyFont="1" applyFill="1" applyBorder="1" applyAlignment="1" applyProtection="1">
      <alignment horizontal="right" wrapText="1"/>
    </xf>
    <xf numFmtId="0" fontId="5" fillId="11" borderId="1" xfId="0" applyFont="1" applyFill="1" applyBorder="1" applyAlignment="1">
      <alignment horizontal="left" wrapText="1"/>
    </xf>
    <xf numFmtId="43" fontId="23" fillId="10" borderId="1" xfId="0" applyNumberFormat="1" applyFont="1" applyFill="1" applyBorder="1" applyAlignment="1">
      <alignment horizontal="right" wrapText="1"/>
    </xf>
    <xf numFmtId="43" fontId="5" fillId="0" borderId="1" xfId="1" applyNumberFormat="1" applyFont="1" applyFill="1" applyBorder="1" applyAlignment="1">
      <alignment horizontal="right" wrapText="1"/>
    </xf>
    <xf numFmtId="43" fontId="5" fillId="0" borderId="1" xfId="1" applyNumberFormat="1" applyFont="1" applyFill="1" applyBorder="1" applyAlignment="1" applyProtection="1">
      <alignment horizontal="right" wrapText="1"/>
    </xf>
    <xf numFmtId="43" fontId="5" fillId="0" borderId="1" xfId="0" applyNumberFormat="1" applyFont="1" applyFill="1" applyBorder="1" applyAlignment="1">
      <alignment horizontal="right" wrapText="1"/>
    </xf>
    <xf numFmtId="0" fontId="25" fillId="12" borderId="1" xfId="0" applyFont="1" applyFill="1" applyBorder="1" applyAlignment="1">
      <alignment horizontal="justify" vertical="top" wrapText="1"/>
    </xf>
    <xf numFmtId="2" fontId="23" fillId="12" borderId="1" xfId="0" applyNumberFormat="1" applyFont="1" applyFill="1" applyBorder="1" applyAlignment="1" applyProtection="1">
      <alignment horizontal="right" vertical="center" wrapText="1"/>
    </xf>
    <xf numFmtId="2" fontId="16" fillId="12" borderId="4" xfId="0" applyNumberFormat="1" applyFont="1" applyFill="1" applyBorder="1" applyAlignment="1" applyProtection="1">
      <alignment horizontal="right" vertical="center" wrapText="1"/>
    </xf>
    <xf numFmtId="9" fontId="5" fillId="0" borderId="1" xfId="2" applyNumberFormat="1" applyFont="1" applyFill="1" applyBorder="1" applyAlignment="1" applyProtection="1">
      <alignment horizontal="right" wrapText="1"/>
    </xf>
    <xf numFmtId="9" fontId="23" fillId="10" borderId="1" xfId="0" applyNumberFormat="1" applyFont="1" applyFill="1" applyBorder="1" applyAlignment="1">
      <alignment horizontal="right" wrapText="1"/>
    </xf>
    <xf numFmtId="10" fontId="5" fillId="10" borderId="1" xfId="1" applyNumberFormat="1" applyFont="1" applyFill="1" applyBorder="1" applyAlignment="1">
      <alignment horizontal="right" wrapText="1"/>
    </xf>
    <xf numFmtId="0" fontId="24" fillId="1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justify" wrapText="1"/>
    </xf>
    <xf numFmtId="9" fontId="23" fillId="9" borderId="1" xfId="2" applyFont="1" applyFill="1" applyBorder="1" applyAlignment="1" applyProtection="1">
      <alignment vertical="center" wrapText="1"/>
    </xf>
    <xf numFmtId="9" fontId="23" fillId="7" borderId="1" xfId="2" applyFont="1" applyFill="1" applyBorder="1" applyAlignment="1">
      <alignment horizontal="right" vertical="center" wrapText="1"/>
    </xf>
    <xf numFmtId="9" fontId="5" fillId="11" borderId="1" xfId="2" applyNumberFormat="1" applyFont="1" applyFill="1" applyBorder="1" applyAlignment="1" applyProtection="1">
      <alignment horizontal="right" wrapText="1"/>
    </xf>
    <xf numFmtId="9" fontId="5" fillId="6" borderId="1" xfId="1" applyNumberFormat="1" applyFont="1" applyFill="1" applyBorder="1" applyAlignment="1">
      <alignment horizontal="right" vertical="center" wrapText="1"/>
    </xf>
    <xf numFmtId="9" fontId="5" fillId="5" borderId="1" xfId="2" applyFont="1" applyFill="1" applyBorder="1" applyAlignment="1">
      <alignment horizontal="right" vertical="center" wrapText="1"/>
    </xf>
    <xf numFmtId="9" fontId="5" fillId="6" borderId="1" xfId="0" applyNumberFormat="1" applyFont="1" applyFill="1" applyBorder="1" applyAlignment="1">
      <alignment horizontal="right" vertical="center" wrapText="1"/>
    </xf>
    <xf numFmtId="9" fontId="23" fillId="9" borderId="1" xfId="2" applyFont="1" applyFill="1" applyBorder="1" applyAlignment="1" applyProtection="1">
      <alignment horizontal="right" vertical="center" wrapText="1"/>
    </xf>
    <xf numFmtId="9" fontId="5" fillId="6" borderId="1" xfId="2" applyFont="1" applyFill="1" applyBorder="1" applyAlignment="1">
      <alignment horizontal="right" vertical="center" wrapText="1"/>
    </xf>
    <xf numFmtId="9" fontId="23" fillId="4" borderId="1" xfId="1" applyNumberFormat="1" applyFont="1" applyFill="1" applyBorder="1" applyAlignment="1">
      <alignment horizontal="right" vertical="center" wrapText="1"/>
    </xf>
    <xf numFmtId="9" fontId="23" fillId="3" borderId="1" xfId="2" applyFont="1" applyFill="1" applyBorder="1" applyAlignment="1" applyProtection="1">
      <alignment horizontal="right" vertical="center" wrapText="1"/>
    </xf>
    <xf numFmtId="0" fontId="23" fillId="13" borderId="1" xfId="0" applyFont="1" applyFill="1" applyBorder="1" applyAlignment="1">
      <alignment horizontal="justify" wrapText="1"/>
    </xf>
    <xf numFmtId="43" fontId="23" fillId="13" borderId="1" xfId="1" applyFont="1" applyFill="1" applyBorder="1" applyAlignment="1">
      <alignment horizontal="right" vertical="center" wrapText="1"/>
    </xf>
    <xf numFmtId="9" fontId="23" fillId="13" borderId="1" xfId="2" applyFont="1" applyFill="1" applyBorder="1" applyAlignment="1">
      <alignment horizontal="right" vertical="center" wrapText="1"/>
    </xf>
    <xf numFmtId="0" fontId="25" fillId="0" borderId="1" xfId="0" applyFont="1" applyFill="1" applyBorder="1" applyAlignment="1">
      <alignment horizontal="justify" vertical="center" wrapText="1"/>
    </xf>
    <xf numFmtId="43" fontId="23" fillId="9" borderId="1" xfId="0" applyNumberFormat="1" applyFont="1" applyFill="1" applyBorder="1" applyAlignment="1" applyProtection="1">
      <alignment vertical="center" wrapText="1"/>
    </xf>
    <xf numFmtId="43" fontId="23" fillId="7" borderId="1" xfId="0" applyNumberFormat="1" applyFont="1" applyFill="1" applyBorder="1" applyAlignment="1">
      <alignment horizontal="right" vertical="center" wrapText="1"/>
    </xf>
    <xf numFmtId="43" fontId="5" fillId="4" borderId="1" xfId="1" applyNumberFormat="1" applyFont="1" applyFill="1" applyBorder="1" applyAlignment="1">
      <alignment horizontal="right" vertical="center" wrapText="1"/>
    </xf>
    <xf numFmtId="43" fontId="5" fillId="6" borderId="1" xfId="1" applyNumberFormat="1" applyFont="1" applyFill="1" applyBorder="1" applyAlignment="1">
      <alignment horizontal="right" vertical="center" wrapText="1"/>
    </xf>
    <xf numFmtId="43" fontId="5" fillId="6" borderId="1" xfId="1" applyNumberFormat="1" applyFont="1" applyFill="1" applyBorder="1" applyAlignment="1" applyProtection="1">
      <alignment horizontal="right" vertical="center" wrapText="1"/>
    </xf>
    <xf numFmtId="43" fontId="5" fillId="5" borderId="1" xfId="1" applyNumberFormat="1" applyFont="1" applyFill="1" applyBorder="1" applyAlignment="1">
      <alignment horizontal="right" vertical="center" wrapText="1"/>
    </xf>
    <xf numFmtId="43" fontId="5" fillId="5" borderId="1" xfId="1" applyNumberFormat="1" applyFont="1" applyFill="1" applyBorder="1" applyAlignment="1" applyProtection="1">
      <alignment horizontal="right" vertical="center" wrapText="1"/>
    </xf>
    <xf numFmtId="43" fontId="5" fillId="12" borderId="1" xfId="0" applyNumberFormat="1" applyFont="1" applyFill="1" applyBorder="1" applyAlignment="1">
      <alignment horizontal="right" vertical="center" wrapText="1"/>
    </xf>
    <xf numFmtId="43" fontId="5" fillId="12" borderId="1" xfId="0" applyNumberFormat="1" applyFont="1" applyFill="1" applyBorder="1" applyAlignment="1" applyProtection="1">
      <alignment horizontal="right" vertical="center" wrapText="1"/>
    </xf>
    <xf numFmtId="43" fontId="23" fillId="12" borderId="1" xfId="0" applyNumberFormat="1" applyFont="1" applyFill="1" applyBorder="1" applyAlignment="1" applyProtection="1">
      <alignment horizontal="right" vertical="center" wrapText="1"/>
    </xf>
    <xf numFmtId="43" fontId="23" fillId="4" borderId="1" xfId="1" applyNumberFormat="1" applyFont="1" applyFill="1" applyBorder="1" applyAlignment="1">
      <alignment horizontal="right" vertical="center" wrapText="1"/>
    </xf>
    <xf numFmtId="43" fontId="23" fillId="10" borderId="1" xfId="0" applyNumberFormat="1" applyFont="1" applyFill="1" applyBorder="1" applyAlignment="1">
      <alignment horizontal="right" vertical="center" wrapText="1"/>
    </xf>
    <xf numFmtId="43" fontId="36" fillId="10" borderId="1" xfId="0" applyNumberFormat="1" applyFont="1" applyFill="1" applyBorder="1" applyAlignment="1">
      <alignment horizontal="right" vertical="center" wrapText="1"/>
    </xf>
    <xf numFmtId="43" fontId="5" fillId="10" borderId="1" xfId="1" applyNumberFormat="1" applyFont="1" applyFill="1" applyBorder="1" applyAlignment="1">
      <alignment horizontal="right" wrapText="1"/>
    </xf>
    <xf numFmtId="43" fontId="5" fillId="11" borderId="1" xfId="1" applyNumberFormat="1" applyFont="1" applyFill="1" applyBorder="1" applyAlignment="1">
      <alignment horizontal="right" wrapText="1"/>
    </xf>
    <xf numFmtId="43" fontId="5" fillId="11" borderId="1" xfId="1" applyNumberFormat="1" applyFont="1" applyFill="1" applyBorder="1" applyAlignment="1" applyProtection="1">
      <alignment horizontal="right" wrapText="1"/>
    </xf>
    <xf numFmtId="43" fontId="23" fillId="13" borderId="1" xfId="1" applyNumberFormat="1" applyFont="1" applyFill="1" applyBorder="1" applyAlignment="1">
      <alignment horizontal="right" vertical="center" wrapText="1"/>
    </xf>
    <xf numFmtId="43" fontId="5" fillId="0" borderId="7" xfId="1" applyNumberFormat="1" applyFont="1" applyFill="1" applyBorder="1" applyAlignment="1">
      <alignment horizontal="right" vertical="center" wrapText="1"/>
    </xf>
    <xf numFmtId="43" fontId="23" fillId="0" borderId="7" xfId="1" applyNumberFormat="1" applyFont="1" applyFill="1" applyBorder="1" applyAlignment="1" applyProtection="1">
      <alignment horizontal="right" vertical="center" wrapText="1"/>
    </xf>
    <xf numFmtId="43" fontId="23" fillId="0" borderId="1" xfId="1" applyNumberFormat="1" applyFont="1" applyFill="1" applyBorder="1" applyAlignment="1">
      <alignment horizontal="right" vertical="center" wrapText="1"/>
    </xf>
    <xf numFmtId="43" fontId="5" fillId="0" borderId="1" xfId="1" applyNumberFormat="1" applyFont="1" applyFill="1" applyBorder="1" applyAlignment="1">
      <alignment horizontal="right" vertical="center" wrapText="1"/>
    </xf>
    <xf numFmtId="43" fontId="5" fillId="0" borderId="1" xfId="1" applyNumberFormat="1" applyFont="1" applyFill="1" applyBorder="1" applyAlignment="1" applyProtection="1">
      <alignment horizontal="right" vertical="center" wrapText="1"/>
    </xf>
    <xf numFmtId="43" fontId="5" fillId="0" borderId="1" xfId="0" applyNumberFormat="1" applyFont="1" applyFill="1" applyBorder="1" applyAlignment="1">
      <alignment horizontal="right" vertical="center" wrapText="1"/>
    </xf>
    <xf numFmtId="43" fontId="5" fillId="0" borderId="1" xfId="0" applyNumberFormat="1" applyFont="1" applyFill="1" applyBorder="1" applyAlignment="1">
      <alignment horizontal="justify" wrapText="1"/>
    </xf>
    <xf numFmtId="43" fontId="23" fillId="9" borderId="1" xfId="1" applyNumberFormat="1" applyFont="1" applyFill="1" applyBorder="1" applyAlignment="1" applyProtection="1">
      <alignment horizontal="right" vertical="center" wrapText="1"/>
    </xf>
    <xf numFmtId="43" fontId="23" fillId="7" borderId="1" xfId="1" applyNumberFormat="1" applyFont="1" applyFill="1" applyBorder="1" applyAlignment="1">
      <alignment horizontal="right" vertical="center" wrapText="1"/>
    </xf>
    <xf numFmtId="43" fontId="23" fillId="0" borderId="1" xfId="1" applyNumberFormat="1" applyFont="1" applyFill="1" applyBorder="1" applyAlignment="1" applyProtection="1">
      <alignment horizontal="right" vertical="center" wrapText="1"/>
    </xf>
    <xf numFmtId="43" fontId="23" fillId="3" borderId="1" xfId="1" applyNumberFormat="1" applyFont="1" applyFill="1" applyBorder="1" applyAlignment="1" applyProtection="1">
      <alignment horizontal="right" vertical="center" wrapText="1"/>
    </xf>
    <xf numFmtId="43" fontId="16" fillId="7" borderId="4" xfId="0" applyNumberFormat="1" applyFont="1" applyFill="1" applyBorder="1" applyAlignment="1" applyProtection="1">
      <alignment horizontal="right" vertical="center" wrapText="1"/>
    </xf>
    <xf numFmtId="43" fontId="23" fillId="12" borderId="7" xfId="0" applyNumberFormat="1" applyFont="1" applyFill="1" applyBorder="1" applyAlignment="1" applyProtection="1">
      <alignment horizontal="right" vertical="center" wrapText="1"/>
    </xf>
    <xf numFmtId="43" fontId="16" fillId="12" borderId="4" xfId="0" applyNumberFormat="1" applyFont="1" applyFill="1" applyBorder="1" applyAlignment="1" applyProtection="1">
      <alignment horizontal="right" vertical="center" wrapText="1"/>
    </xf>
    <xf numFmtId="43" fontId="23" fillId="4" borderId="1" xfId="1" applyNumberFormat="1" applyFont="1" applyFill="1" applyBorder="1" applyAlignment="1" applyProtection="1">
      <alignment horizontal="right" vertical="center" wrapText="1"/>
    </xf>
    <xf numFmtId="43" fontId="31" fillId="6" borderId="1" xfId="1" applyNumberFormat="1" applyFont="1" applyFill="1" applyBorder="1" applyAlignment="1" applyProtection="1">
      <alignment horizontal="right" vertical="center" wrapText="1"/>
    </xf>
    <xf numFmtId="43" fontId="31" fillId="5" borderId="1" xfId="1" applyNumberFormat="1" applyFont="1" applyFill="1" applyBorder="1" applyAlignment="1" applyProtection="1">
      <alignment horizontal="right" vertical="center" wrapText="1"/>
    </xf>
    <xf numFmtId="43" fontId="16" fillId="4" borderId="4" xfId="1" applyNumberFormat="1" applyFont="1" applyFill="1" applyBorder="1" applyAlignment="1">
      <alignment horizontal="right" vertical="center" wrapText="1"/>
    </xf>
    <xf numFmtId="43" fontId="23" fillId="5" borderId="1" xfId="1" applyNumberFormat="1" applyFont="1" applyFill="1" applyBorder="1" applyAlignment="1" applyProtection="1">
      <alignment horizontal="right" vertical="center" wrapText="1"/>
    </xf>
    <xf numFmtId="43" fontId="23" fillId="10" borderId="1" xfId="1" applyNumberFormat="1" applyFont="1" applyFill="1" applyBorder="1" applyAlignment="1" applyProtection="1">
      <alignment horizontal="right" wrapText="1"/>
    </xf>
    <xf numFmtId="43" fontId="5" fillId="10" borderId="1" xfId="1" applyNumberFormat="1" applyFont="1" applyFill="1" applyBorder="1" applyAlignment="1" applyProtection="1">
      <alignment horizontal="right" wrapText="1"/>
    </xf>
    <xf numFmtId="43" fontId="5" fillId="10" borderId="1" xfId="1" applyNumberFormat="1" applyFont="1" applyFill="1" applyBorder="1" applyAlignment="1" applyProtection="1">
      <alignment horizontal="right" vertical="center" wrapText="1"/>
    </xf>
    <xf numFmtId="43" fontId="23" fillId="11" borderId="1" xfId="1" applyNumberFormat="1" applyFont="1" applyFill="1" applyBorder="1" applyAlignment="1" applyProtection="1">
      <alignment horizontal="right" wrapText="1"/>
    </xf>
    <xf numFmtId="43" fontId="5" fillId="11" borderId="1" xfId="1" applyNumberFormat="1" applyFont="1" applyFill="1" applyBorder="1" applyAlignment="1" applyProtection="1">
      <alignment horizontal="center" vertical="center" wrapText="1"/>
    </xf>
    <xf numFmtId="43" fontId="23" fillId="11" borderId="4" xfId="1" applyNumberFormat="1" applyFont="1" applyFill="1" applyBorder="1" applyAlignment="1" applyProtection="1">
      <alignment horizontal="right" vertical="center" wrapText="1"/>
    </xf>
    <xf numFmtId="43" fontId="23" fillId="10" borderId="4" xfId="1" applyNumberFormat="1" applyFont="1" applyFill="1" applyBorder="1" applyAlignment="1" applyProtection="1">
      <alignment horizontal="right" vertical="center" wrapText="1"/>
    </xf>
    <xf numFmtId="43" fontId="16" fillId="4" borderId="4" xfId="1" applyNumberFormat="1" applyFont="1" applyFill="1" applyBorder="1" applyAlignment="1" applyProtection="1">
      <alignment horizontal="right" vertical="center" wrapText="1"/>
    </xf>
    <xf numFmtId="43" fontId="16" fillId="0" borderId="7" xfId="1" applyNumberFormat="1" applyFont="1" applyFill="1" applyBorder="1" applyAlignment="1" applyProtection="1">
      <alignment horizontal="right" vertical="center" wrapText="1"/>
    </xf>
    <xf numFmtId="43" fontId="10" fillId="0" borderId="4" xfId="1" applyNumberFormat="1" applyFont="1" applyFill="1" applyBorder="1" applyAlignment="1" applyProtection="1">
      <alignment horizontal="right" vertical="center" wrapText="1"/>
    </xf>
    <xf numFmtId="43" fontId="16" fillId="3" borderId="4" xfId="1" applyNumberFormat="1" applyFont="1" applyFill="1" applyBorder="1" applyAlignment="1" applyProtection="1">
      <alignment horizontal="right" vertical="center" wrapText="1"/>
    </xf>
    <xf numFmtId="43" fontId="10" fillId="7" borderId="4" xfId="1" applyNumberFormat="1" applyFont="1" applyFill="1" applyBorder="1" applyAlignment="1" applyProtection="1">
      <alignment horizontal="right" vertical="center" wrapText="1"/>
    </xf>
    <xf numFmtId="43" fontId="16" fillId="7" borderId="4" xfId="1" applyNumberFormat="1" applyFont="1" applyFill="1" applyBorder="1" applyAlignment="1" applyProtection="1">
      <alignment horizontal="right" vertical="center" wrapText="1"/>
    </xf>
    <xf numFmtId="43" fontId="16" fillId="0" borderId="4" xfId="1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>
      <alignment horizontal="left" vertical="top" wrapText="1"/>
    </xf>
    <xf numFmtId="43" fontId="23" fillId="0" borderId="1" xfId="1" applyNumberFormat="1" applyFont="1" applyFill="1" applyBorder="1" applyAlignment="1" applyProtection="1">
      <alignment horizontal="right" vertical="top" wrapText="1"/>
    </xf>
    <xf numFmtId="2" fontId="3" fillId="0" borderId="4" xfId="0" applyNumberFormat="1" applyFont="1" applyFill="1" applyBorder="1" applyAlignment="1" applyProtection="1">
      <alignment horizontal="justify" vertical="top" wrapText="1"/>
    </xf>
    <xf numFmtId="0" fontId="23" fillId="7" borderId="1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vertical="top" wrapText="1"/>
    </xf>
    <xf numFmtId="0" fontId="23" fillId="0" borderId="1" xfId="0" applyFont="1" applyFill="1" applyBorder="1" applyAlignment="1" applyProtection="1">
      <alignment vertical="top" wrapText="1"/>
    </xf>
    <xf numFmtId="43" fontId="23" fillId="0" borderId="1" xfId="0" applyNumberFormat="1" applyFont="1" applyFill="1" applyBorder="1" applyAlignment="1" applyProtection="1">
      <alignment vertical="center" wrapText="1"/>
    </xf>
    <xf numFmtId="9" fontId="23" fillId="0" borderId="1" xfId="2" applyFont="1" applyFill="1" applyBorder="1" applyAlignment="1" applyProtection="1">
      <alignment vertical="center" wrapText="1"/>
    </xf>
    <xf numFmtId="43" fontId="16" fillId="0" borderId="4" xfId="0" applyNumberFormat="1" applyFont="1" applyFill="1" applyBorder="1" applyAlignment="1" applyProtection="1">
      <alignment horizontal="right" vertical="center" wrapText="1"/>
    </xf>
    <xf numFmtId="0" fontId="19" fillId="0" borderId="1" xfId="0" applyFont="1" applyFill="1" applyBorder="1" applyAlignment="1" applyProtection="1">
      <alignment wrapText="1"/>
    </xf>
    <xf numFmtId="0" fontId="3" fillId="0" borderId="5" xfId="0" applyFont="1" applyFill="1" applyBorder="1" applyAlignment="1">
      <alignment horizontal="left" vertical="top" wrapText="1"/>
    </xf>
    <xf numFmtId="43" fontId="5" fillId="7" borderId="1" xfId="1" applyNumberFormat="1" applyFont="1" applyFill="1" applyBorder="1" applyAlignment="1">
      <alignment horizontal="right" vertical="center" wrapText="1"/>
    </xf>
    <xf numFmtId="43" fontId="5" fillId="7" borderId="1" xfId="1" applyNumberFormat="1" applyFont="1" applyFill="1" applyBorder="1" applyAlignment="1" applyProtection="1">
      <alignment horizontal="right" vertical="center" wrapText="1"/>
    </xf>
    <xf numFmtId="9" fontId="5" fillId="7" borderId="1" xfId="2" applyFont="1" applyFill="1" applyBorder="1" applyAlignment="1" applyProtection="1">
      <alignment horizontal="right" vertical="center" wrapText="1"/>
    </xf>
    <xf numFmtId="43" fontId="5" fillId="7" borderId="1" xfId="1" applyFont="1" applyFill="1" applyBorder="1" applyAlignment="1" applyProtection="1">
      <alignment horizontal="right" vertical="center" wrapText="1"/>
    </xf>
    <xf numFmtId="0" fontId="16" fillId="0" borderId="8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justify" vertical="top" wrapText="1"/>
    </xf>
    <xf numFmtId="43" fontId="5" fillId="0" borderId="1" xfId="0" applyNumberFormat="1" applyFont="1" applyFill="1" applyBorder="1" applyAlignment="1" applyProtection="1">
      <alignment horizontal="right" vertical="center" wrapText="1"/>
    </xf>
    <xf numFmtId="43" fontId="23" fillId="0" borderId="1" xfId="0" applyNumberFormat="1" applyFont="1" applyFill="1" applyBorder="1" applyAlignment="1" applyProtection="1">
      <alignment horizontal="right" vertical="center" wrapText="1"/>
    </xf>
    <xf numFmtId="2" fontId="23" fillId="0" borderId="1" xfId="0" applyNumberFormat="1" applyFont="1" applyFill="1" applyBorder="1" applyAlignment="1" applyProtection="1">
      <alignment horizontal="right" vertical="center" wrapText="1"/>
    </xf>
    <xf numFmtId="43" fontId="23" fillId="0" borderId="7" xfId="0" applyNumberFormat="1" applyFont="1" applyFill="1" applyBorder="1" applyAlignment="1" applyProtection="1">
      <alignment horizontal="right" vertical="center" wrapText="1"/>
    </xf>
    <xf numFmtId="9" fontId="5" fillId="0" borderId="1" xfId="2" applyNumberFormat="1" applyFont="1" applyFill="1" applyBorder="1" applyAlignment="1" applyProtection="1">
      <alignment horizontal="right" vertical="center" wrapText="1"/>
    </xf>
    <xf numFmtId="0" fontId="38" fillId="7" borderId="1" xfId="0" applyFont="1" applyFill="1" applyBorder="1" applyAlignment="1">
      <alignment horizontal="justify" wrapTex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7" fillId="0" borderId="0" xfId="0" applyFont="1" applyFill="1"/>
    <xf numFmtId="0" fontId="27" fillId="0" borderId="0" xfId="0" applyFont="1" applyFill="1" applyAlignment="1">
      <alignment horizontal="right" wrapText="1"/>
    </xf>
    <xf numFmtId="0" fontId="28" fillId="0" borderId="0" xfId="0" applyFont="1" applyFill="1" applyAlignment="1">
      <alignment horizontal="center"/>
    </xf>
    <xf numFmtId="0" fontId="27" fillId="0" borderId="1" xfId="0" applyFont="1" applyFill="1" applyBorder="1" applyAlignment="1">
      <alignment horizontal="center"/>
    </xf>
    <xf numFmtId="167" fontId="27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31" fillId="0" borderId="0" xfId="0" applyFont="1" applyBorder="1"/>
    <xf numFmtId="0" fontId="27" fillId="0" borderId="0" xfId="0" applyFont="1" applyBorder="1"/>
    <xf numFmtId="167" fontId="27" fillId="0" borderId="2" xfId="0" applyNumberFormat="1" applyFont="1" applyFill="1" applyBorder="1" applyAlignment="1">
      <alignment horizontal="center" vertical="center" wrapText="1"/>
    </xf>
    <xf numFmtId="168" fontId="38" fillId="0" borderId="0" xfId="1" applyNumberFormat="1" applyFont="1" applyBorder="1"/>
    <xf numFmtId="0" fontId="30" fillId="0" borderId="0" xfId="0" applyFont="1" applyBorder="1"/>
    <xf numFmtId="43" fontId="27" fillId="0" borderId="0" xfId="0" applyNumberFormat="1" applyFont="1"/>
    <xf numFmtId="43" fontId="31" fillId="0" borderId="0" xfId="1" applyFont="1"/>
    <xf numFmtId="166" fontId="27" fillId="0" borderId="0" xfId="0" applyNumberFormat="1" applyFont="1" applyFill="1"/>
    <xf numFmtId="166" fontId="27" fillId="0" borderId="0" xfId="0" applyNumberFormat="1" applyFont="1" applyFill="1" applyBorder="1"/>
    <xf numFmtId="0" fontId="27" fillId="0" borderId="0" xfId="0" applyFont="1" applyFill="1" applyBorder="1"/>
    <xf numFmtId="169" fontId="27" fillId="0" borderId="1" xfId="0" applyNumberFormat="1" applyFont="1" applyFill="1" applyBorder="1" applyAlignment="1">
      <alignment horizontal="center" vertical="center" wrapText="1"/>
    </xf>
    <xf numFmtId="0" fontId="27" fillId="7" borderId="0" xfId="0" applyFont="1" applyFill="1"/>
    <xf numFmtId="166" fontId="27" fillId="0" borderId="0" xfId="0" applyNumberFormat="1" applyFont="1"/>
    <xf numFmtId="2" fontId="27" fillId="0" borderId="1" xfId="0" applyNumberFormat="1" applyFont="1" applyFill="1" applyBorder="1" applyAlignment="1">
      <alignment horizontal="center" vertical="center" wrapText="1"/>
    </xf>
    <xf numFmtId="9" fontId="5" fillId="0" borderId="1" xfId="2" applyFont="1" applyFill="1" applyBorder="1" applyAlignment="1">
      <alignment horizontal="right" wrapText="1"/>
    </xf>
    <xf numFmtId="9" fontId="5" fillId="0" borderId="1" xfId="2" applyNumberFormat="1" applyFont="1" applyFill="1" applyBorder="1" applyAlignment="1">
      <alignment horizontal="right" wrapText="1"/>
    </xf>
    <xf numFmtId="43" fontId="18" fillId="0" borderId="0" xfId="0" applyNumberFormat="1" applyFont="1" applyFill="1" applyBorder="1" applyAlignment="1">
      <alignment vertical="center" wrapText="1"/>
    </xf>
    <xf numFmtId="0" fontId="3" fillId="0" borderId="1" xfId="1" applyNumberFormat="1" applyFont="1" applyFill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" fontId="3" fillId="0" borderId="5" xfId="0" applyNumberFormat="1" applyFont="1" applyBorder="1" applyAlignment="1">
      <alignment horizontal="center" vertical="center" wrapText="1"/>
    </xf>
    <xf numFmtId="16" fontId="3" fillId="0" borderId="6" xfId="0" applyNumberFormat="1" applyFont="1" applyBorder="1" applyAlignment="1">
      <alignment horizontal="center" vertical="center" wrapText="1"/>
    </xf>
    <xf numFmtId="16" fontId="3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5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5" fillId="0" borderId="8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horizontal="left" vertical="top" wrapText="1"/>
    </xf>
    <xf numFmtId="0" fontId="19" fillId="0" borderId="7" xfId="0" applyFont="1" applyFill="1" applyBorder="1" applyAlignment="1">
      <alignment horizontal="left" vertical="top" wrapText="1"/>
    </xf>
    <xf numFmtId="0" fontId="3" fillId="8" borderId="5" xfId="0" applyFont="1" applyFill="1" applyBorder="1" applyAlignment="1">
      <alignment horizontal="left" vertical="top" wrapText="1"/>
    </xf>
    <xf numFmtId="0" fontId="3" fillId="8" borderId="6" xfId="0" applyFont="1" applyFill="1" applyBorder="1" applyAlignment="1">
      <alignment horizontal="left" vertical="top" wrapText="1"/>
    </xf>
    <xf numFmtId="0" fontId="3" fillId="8" borderId="7" xfId="0" applyFont="1" applyFill="1" applyBorder="1" applyAlignment="1">
      <alignment horizontal="left" vertical="top" wrapText="1"/>
    </xf>
    <xf numFmtId="164" fontId="3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10" fillId="0" borderId="8" xfId="0" applyFont="1" applyFill="1" applyBorder="1" applyAlignment="1">
      <alignment horizontal="left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164" fontId="16" fillId="0" borderId="5" xfId="0" applyNumberFormat="1" applyFont="1" applyFill="1" applyBorder="1" applyAlignment="1">
      <alignment horizontal="center" vertical="center" wrapText="1"/>
    </xf>
    <xf numFmtId="164" fontId="16" fillId="0" borderId="7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21" fillId="0" borderId="0" xfId="0" applyNumberFormat="1" applyFont="1" applyFill="1" applyAlignment="1">
      <alignment horizontal="right" wrapText="1"/>
    </xf>
    <xf numFmtId="164" fontId="4" fillId="0" borderId="0" xfId="0" applyNumberFormat="1" applyFont="1" applyFill="1" applyAlignment="1">
      <alignment horizontal="left" vertical="center" wrapText="1"/>
    </xf>
    <xf numFmtId="0" fontId="22" fillId="0" borderId="0" xfId="0" applyFont="1" applyFill="1" applyBorder="1" applyAlignment="1">
      <alignment horizontal="center"/>
    </xf>
    <xf numFmtId="0" fontId="35" fillId="0" borderId="0" xfId="0" applyFont="1" applyFill="1" applyAlignment="1">
      <alignment horizontal="left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164" fontId="16" fillId="0" borderId="4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top"/>
    </xf>
    <xf numFmtId="0" fontId="27" fillId="0" borderId="9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right" wrapText="1"/>
    </xf>
    <xf numFmtId="0" fontId="28" fillId="0" borderId="0" xfId="0" applyFont="1" applyFill="1" applyAlignment="1">
      <alignment horizontal="center"/>
    </xf>
    <xf numFmtId="0" fontId="29" fillId="0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CCFF99"/>
      <color rgb="FF99FFCC"/>
      <color rgb="FF99FF99"/>
      <color rgb="FFB6DFE4"/>
      <color rgb="FFA0EFFA"/>
      <color rgb="FFE5BAB5"/>
      <color rgb="FF8FCE4A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67"/>
  <sheetViews>
    <sheetView workbookViewId="0">
      <selection sqref="A1:XFD1048576"/>
    </sheetView>
  </sheetViews>
  <sheetFormatPr defaultRowHeight="12.75" x14ac:dyDescent="0.2"/>
  <cols>
    <col min="1" max="1" width="0.42578125" style="1" customWidth="1"/>
    <col min="2" max="2" width="3.7109375" style="1" customWidth="1"/>
    <col min="3" max="3" width="73.28515625" style="1" customWidth="1"/>
    <col min="4" max="4" width="28.42578125" style="1" customWidth="1"/>
    <col min="5" max="5" width="10.42578125" style="1" customWidth="1"/>
    <col min="6" max="6" width="10.28515625" style="1" customWidth="1"/>
    <col min="7" max="9" width="10.7109375" style="1" customWidth="1"/>
    <col min="10" max="10" width="23.42578125" style="1" customWidth="1"/>
    <col min="11" max="16384" width="9.140625" style="1"/>
  </cols>
  <sheetData>
    <row r="1" spans="2:13" s="4" customFormat="1" ht="15" x14ac:dyDescent="0.25">
      <c r="J1" s="9" t="s">
        <v>73</v>
      </c>
    </row>
    <row r="2" spans="2:13" s="4" customFormat="1" ht="15" x14ac:dyDescent="0.25">
      <c r="J2" s="9" t="s">
        <v>68</v>
      </c>
    </row>
    <row r="3" spans="2:13" s="4" customFormat="1" ht="15" x14ac:dyDescent="0.25">
      <c r="J3" s="9" t="s">
        <v>69</v>
      </c>
    </row>
    <row r="4" spans="2:13" s="4" customFormat="1" ht="15.75" x14ac:dyDescent="0.25">
      <c r="J4" s="5"/>
    </row>
    <row r="5" spans="2:13" s="4" customFormat="1" ht="15.75" x14ac:dyDescent="0.25">
      <c r="J5" s="5"/>
    </row>
    <row r="6" spans="2:13" s="4" customFormat="1" ht="16.5" x14ac:dyDescent="0.25">
      <c r="B6" s="237" t="s">
        <v>60</v>
      </c>
      <c r="C6" s="237"/>
      <c r="D6" s="237"/>
      <c r="E6" s="237"/>
      <c r="F6" s="237"/>
      <c r="G6" s="237"/>
      <c r="H6" s="237"/>
      <c r="I6" s="237"/>
      <c r="J6" s="237"/>
    </row>
    <row r="7" spans="2:13" s="4" customFormat="1" x14ac:dyDescent="0.2"/>
    <row r="8" spans="2:13" s="4" customFormat="1" x14ac:dyDescent="0.2">
      <c r="B8" s="238" t="s">
        <v>29</v>
      </c>
      <c r="C8" s="238" t="s">
        <v>0</v>
      </c>
      <c r="D8" s="238" t="s">
        <v>72</v>
      </c>
      <c r="E8" s="238" t="s">
        <v>1</v>
      </c>
      <c r="F8" s="238" t="s">
        <v>30</v>
      </c>
      <c r="G8" s="238"/>
      <c r="H8" s="238"/>
      <c r="I8" s="238"/>
      <c r="J8" s="238" t="s">
        <v>2</v>
      </c>
    </row>
    <row r="9" spans="2:13" s="4" customFormat="1" x14ac:dyDescent="0.2">
      <c r="B9" s="238"/>
      <c r="C9" s="238"/>
      <c r="D9" s="238"/>
      <c r="E9" s="238"/>
      <c r="F9" s="238" t="s">
        <v>3</v>
      </c>
      <c r="G9" s="238" t="s">
        <v>4</v>
      </c>
      <c r="H9" s="238"/>
      <c r="I9" s="238"/>
      <c r="J9" s="238"/>
    </row>
    <row r="10" spans="2:13" s="4" customFormat="1" x14ac:dyDescent="0.2">
      <c r="B10" s="238"/>
      <c r="C10" s="238"/>
      <c r="D10" s="238"/>
      <c r="E10" s="238"/>
      <c r="F10" s="238"/>
      <c r="G10" s="14" t="s">
        <v>5</v>
      </c>
      <c r="H10" s="14" t="s">
        <v>6</v>
      </c>
      <c r="I10" s="14" t="s">
        <v>7</v>
      </c>
      <c r="J10" s="238"/>
    </row>
    <row r="11" spans="2:13" s="4" customFormat="1" x14ac:dyDescent="0.2">
      <c r="B11" s="14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4">
        <v>7</v>
      </c>
      <c r="I11" s="14">
        <v>8</v>
      </c>
      <c r="J11" s="14">
        <v>9</v>
      </c>
    </row>
    <row r="12" spans="2:13" s="4" customFormat="1" x14ac:dyDescent="0.2">
      <c r="B12" s="245" t="s">
        <v>63</v>
      </c>
      <c r="C12" s="245"/>
      <c r="D12" s="245"/>
      <c r="E12" s="245"/>
      <c r="F12" s="245"/>
      <c r="G12" s="245"/>
      <c r="H12" s="245"/>
      <c r="I12" s="245"/>
      <c r="J12" s="245"/>
    </row>
    <row r="13" spans="2:13" s="4" customFormat="1" x14ac:dyDescent="0.2">
      <c r="B13" s="245" t="s">
        <v>58</v>
      </c>
      <c r="C13" s="245"/>
      <c r="D13" s="245"/>
      <c r="E13" s="245"/>
      <c r="F13" s="245"/>
      <c r="G13" s="245"/>
      <c r="H13" s="245"/>
      <c r="I13" s="245"/>
      <c r="J13" s="245"/>
    </row>
    <row r="14" spans="2:13" s="4" customFormat="1" x14ac:dyDescent="0.2">
      <c r="B14" s="246" t="s">
        <v>8</v>
      </c>
      <c r="C14" s="247"/>
      <c r="D14" s="247"/>
      <c r="E14" s="247"/>
      <c r="F14" s="247"/>
      <c r="G14" s="247"/>
      <c r="H14" s="247"/>
      <c r="I14" s="247"/>
      <c r="J14" s="248"/>
    </row>
    <row r="15" spans="2:13" s="4" customFormat="1" x14ac:dyDescent="0.2">
      <c r="B15" s="249" t="s">
        <v>31</v>
      </c>
      <c r="C15" s="242" t="s">
        <v>9</v>
      </c>
      <c r="D15" s="239" t="s">
        <v>43</v>
      </c>
      <c r="E15" s="239" t="s">
        <v>10</v>
      </c>
      <c r="F15" s="6">
        <f>F16+F17</f>
        <v>23731.8</v>
      </c>
      <c r="G15" s="6">
        <f>G16+G17</f>
        <v>7910.6</v>
      </c>
      <c r="H15" s="6">
        <f t="shared" ref="H15" si="0">H16+H17</f>
        <v>7910.6</v>
      </c>
      <c r="I15" s="6">
        <f>I16+I17</f>
        <v>7910.6</v>
      </c>
      <c r="J15" s="14" t="s">
        <v>25</v>
      </c>
      <c r="M15" s="8"/>
    </row>
    <row r="16" spans="2:13" s="4" customFormat="1" ht="38.25" x14ac:dyDescent="0.2">
      <c r="B16" s="250"/>
      <c r="C16" s="243"/>
      <c r="D16" s="240"/>
      <c r="E16" s="240"/>
      <c r="F16" s="6">
        <f>G16+H16+I16</f>
        <v>23002.7</v>
      </c>
      <c r="G16" s="6">
        <f>7910.6-729.1</f>
        <v>7181.5</v>
      </c>
      <c r="H16" s="6">
        <v>7910.6</v>
      </c>
      <c r="I16" s="6">
        <v>7910.6</v>
      </c>
      <c r="J16" s="14" t="s">
        <v>70</v>
      </c>
      <c r="M16" s="8"/>
    </row>
    <row r="17" spans="2:13" s="4" customFormat="1" ht="25.5" x14ac:dyDescent="0.2">
      <c r="B17" s="251"/>
      <c r="C17" s="244"/>
      <c r="D17" s="241"/>
      <c r="E17" s="241"/>
      <c r="F17" s="6">
        <f>G17+H17+I17</f>
        <v>729.1</v>
      </c>
      <c r="G17" s="6">
        <v>729.1</v>
      </c>
      <c r="H17" s="6">
        <v>0</v>
      </c>
      <c r="I17" s="6">
        <v>0</v>
      </c>
      <c r="J17" s="14" t="s">
        <v>42</v>
      </c>
      <c r="M17" s="8"/>
    </row>
    <row r="18" spans="2:13" s="4" customFormat="1" ht="51" x14ac:dyDescent="0.2">
      <c r="B18" s="7" t="s">
        <v>32</v>
      </c>
      <c r="C18" s="12" t="s">
        <v>11</v>
      </c>
      <c r="D18" s="14" t="s">
        <v>43</v>
      </c>
      <c r="E18" s="14" t="s">
        <v>10</v>
      </c>
      <c r="F18" s="6">
        <f t="shared" ref="F18:F24" si="1">G18+H18+I18</f>
        <v>769.80000000000007</v>
      </c>
      <c r="G18" s="6">
        <v>256.60000000000002</v>
      </c>
      <c r="H18" s="6">
        <v>256.60000000000002</v>
      </c>
      <c r="I18" s="6">
        <v>256.60000000000002</v>
      </c>
      <c r="J18" s="14" t="s">
        <v>70</v>
      </c>
      <c r="M18" s="8"/>
    </row>
    <row r="19" spans="2:13" s="4" customFormat="1" x14ac:dyDescent="0.2">
      <c r="B19" s="249" t="s">
        <v>33</v>
      </c>
      <c r="C19" s="242" t="s">
        <v>12</v>
      </c>
      <c r="D19" s="239" t="s">
        <v>43</v>
      </c>
      <c r="E19" s="239" t="s">
        <v>10</v>
      </c>
      <c r="F19" s="6">
        <f>G19+H19+I19</f>
        <v>2191.1999999999998</v>
      </c>
      <c r="G19" s="6">
        <f>G20+G21</f>
        <v>792</v>
      </c>
      <c r="H19" s="6">
        <f>H20+H21</f>
        <v>699.6</v>
      </c>
      <c r="I19" s="6">
        <f>I20+I21</f>
        <v>699.6</v>
      </c>
      <c r="J19" s="14" t="s">
        <v>25</v>
      </c>
      <c r="M19" s="8"/>
    </row>
    <row r="20" spans="2:13" s="4" customFormat="1" ht="38.25" x14ac:dyDescent="0.2">
      <c r="B20" s="250"/>
      <c r="C20" s="243"/>
      <c r="D20" s="240"/>
      <c r="E20" s="240"/>
      <c r="F20" s="6">
        <f>G20+H20+I20</f>
        <v>1565</v>
      </c>
      <c r="G20" s="6">
        <f>699.6-G21+92.4</f>
        <v>165.79999999999998</v>
      </c>
      <c r="H20" s="6">
        <v>699.6</v>
      </c>
      <c r="I20" s="6">
        <v>699.6</v>
      </c>
      <c r="J20" s="14" t="s">
        <v>70</v>
      </c>
      <c r="K20" s="8"/>
      <c r="M20" s="8"/>
    </row>
    <row r="21" spans="2:13" s="4" customFormat="1" ht="63.75" x14ac:dyDescent="0.2">
      <c r="B21" s="251"/>
      <c r="C21" s="244"/>
      <c r="D21" s="241"/>
      <c r="E21" s="241"/>
      <c r="F21" s="6">
        <f>G21+H21+I21</f>
        <v>626.20000000000005</v>
      </c>
      <c r="G21" s="6">
        <v>626.20000000000005</v>
      </c>
      <c r="H21" s="6">
        <v>0</v>
      </c>
      <c r="I21" s="6">
        <v>0</v>
      </c>
      <c r="J21" s="14" t="s">
        <v>78</v>
      </c>
      <c r="M21" s="8"/>
    </row>
    <row r="22" spans="2:13" s="4" customFormat="1" ht="51" x14ac:dyDescent="0.2">
      <c r="B22" s="7" t="s">
        <v>34</v>
      </c>
      <c r="C22" s="12" t="s">
        <v>74</v>
      </c>
      <c r="D22" s="14" t="s">
        <v>43</v>
      </c>
      <c r="E22" s="14" t="s">
        <v>10</v>
      </c>
      <c r="F22" s="6">
        <f t="shared" si="1"/>
        <v>948.9</v>
      </c>
      <c r="G22" s="6">
        <v>505.1</v>
      </c>
      <c r="H22" s="6">
        <v>221.9</v>
      </c>
      <c r="I22" s="6">
        <v>221.9</v>
      </c>
      <c r="J22" s="14" t="s">
        <v>70</v>
      </c>
      <c r="M22" s="8"/>
    </row>
    <row r="23" spans="2:13" s="4" customFormat="1" ht="51" x14ac:dyDescent="0.2">
      <c r="B23" s="7" t="s">
        <v>35</v>
      </c>
      <c r="C23" s="12" t="s">
        <v>13</v>
      </c>
      <c r="D23" s="14" t="s">
        <v>43</v>
      </c>
      <c r="E23" s="14" t="s">
        <v>10</v>
      </c>
      <c r="F23" s="6">
        <f t="shared" si="1"/>
        <v>3162.2999999999997</v>
      </c>
      <c r="G23" s="6">
        <v>1054.0999999999999</v>
      </c>
      <c r="H23" s="6">
        <v>1054.0999999999999</v>
      </c>
      <c r="I23" s="6">
        <v>1054.0999999999999</v>
      </c>
      <c r="J23" s="14" t="s">
        <v>70</v>
      </c>
      <c r="M23" s="8"/>
    </row>
    <row r="24" spans="2:13" s="4" customFormat="1" ht="51" x14ac:dyDescent="0.2">
      <c r="B24" s="7" t="s">
        <v>36</v>
      </c>
      <c r="C24" s="12" t="s">
        <v>14</v>
      </c>
      <c r="D24" s="14" t="s">
        <v>43</v>
      </c>
      <c r="E24" s="14" t="s">
        <v>10</v>
      </c>
      <c r="F24" s="6">
        <f t="shared" si="1"/>
        <v>105</v>
      </c>
      <c r="G24" s="6">
        <v>35</v>
      </c>
      <c r="H24" s="6">
        <v>35</v>
      </c>
      <c r="I24" s="6">
        <v>35</v>
      </c>
      <c r="J24" s="14" t="s">
        <v>70</v>
      </c>
      <c r="M24" s="8"/>
    </row>
    <row r="25" spans="2:13" s="4" customFormat="1" ht="51" x14ac:dyDescent="0.2">
      <c r="B25" s="7" t="s">
        <v>37</v>
      </c>
      <c r="C25" s="12" t="s">
        <v>15</v>
      </c>
      <c r="D25" s="14" t="s">
        <v>43</v>
      </c>
      <c r="E25" s="14" t="s">
        <v>10</v>
      </c>
      <c r="F25" s="238" t="s">
        <v>16</v>
      </c>
      <c r="G25" s="238"/>
      <c r="H25" s="238"/>
      <c r="I25" s="238"/>
      <c r="J25" s="238"/>
      <c r="M25" s="8"/>
    </row>
    <row r="26" spans="2:13" s="4" customFormat="1" x14ac:dyDescent="0.2">
      <c r="B26" s="239"/>
      <c r="C26" s="242" t="s">
        <v>17</v>
      </c>
      <c r="D26" s="239" t="s">
        <v>43</v>
      </c>
      <c r="E26" s="239" t="s">
        <v>10</v>
      </c>
      <c r="F26" s="6">
        <f>G26+H26+I26</f>
        <v>30909.000000000007</v>
      </c>
      <c r="G26" s="6">
        <f>G27+G28</f>
        <v>10553.400000000001</v>
      </c>
      <c r="H26" s="6">
        <f>H27+H28</f>
        <v>10177.800000000001</v>
      </c>
      <c r="I26" s="6">
        <f>I27+I28</f>
        <v>10177.800000000001</v>
      </c>
      <c r="J26" s="14" t="s">
        <v>25</v>
      </c>
      <c r="L26" s="10"/>
      <c r="M26" s="8"/>
    </row>
    <row r="27" spans="2:13" s="4" customFormat="1" ht="38.25" x14ac:dyDescent="0.2">
      <c r="B27" s="240"/>
      <c r="C27" s="243"/>
      <c r="D27" s="240"/>
      <c r="E27" s="240"/>
      <c r="F27" s="6">
        <f>G27+H27+I27</f>
        <v>29553.700000000004</v>
      </c>
      <c r="G27" s="6">
        <f>G16+G18+G20+G22+G23+G24</f>
        <v>9198.1</v>
      </c>
      <c r="H27" s="6">
        <f t="shared" ref="H27" si="2">H16+H18+H20+H22+H23+H24</f>
        <v>10177.800000000001</v>
      </c>
      <c r="I27" s="6">
        <f>I16+I18+I20+I22+I23+I24</f>
        <v>10177.800000000001</v>
      </c>
      <c r="J27" s="14" t="s">
        <v>70</v>
      </c>
      <c r="L27" s="10"/>
      <c r="M27" s="8"/>
    </row>
    <row r="28" spans="2:13" s="4" customFormat="1" ht="25.5" x14ac:dyDescent="0.2">
      <c r="B28" s="241"/>
      <c r="C28" s="244"/>
      <c r="D28" s="241"/>
      <c r="E28" s="241"/>
      <c r="F28" s="6">
        <f>G28+H28+I28</f>
        <v>1355.3000000000002</v>
      </c>
      <c r="G28" s="6">
        <f>G17+G21</f>
        <v>1355.3000000000002</v>
      </c>
      <c r="H28" s="6">
        <f t="shared" ref="H28:I28" si="3">H17+H21</f>
        <v>0</v>
      </c>
      <c r="I28" s="6">
        <f t="shared" si="3"/>
        <v>0</v>
      </c>
      <c r="J28" s="14" t="s">
        <v>42</v>
      </c>
      <c r="L28" s="10"/>
      <c r="M28" s="8"/>
    </row>
    <row r="29" spans="2:13" x14ac:dyDescent="0.2">
      <c r="B29" s="245" t="s">
        <v>18</v>
      </c>
      <c r="C29" s="245"/>
      <c r="D29" s="245"/>
      <c r="E29" s="245"/>
      <c r="F29" s="245"/>
      <c r="G29" s="245"/>
      <c r="H29" s="245"/>
      <c r="I29" s="245"/>
      <c r="J29" s="245"/>
      <c r="M29" s="8"/>
    </row>
    <row r="30" spans="2:13" ht="51" x14ac:dyDescent="0.2">
      <c r="B30" s="7" t="s">
        <v>38</v>
      </c>
      <c r="C30" s="12" t="s">
        <v>19</v>
      </c>
      <c r="D30" s="14" t="s">
        <v>65</v>
      </c>
      <c r="E30" s="14" t="s">
        <v>10</v>
      </c>
      <c r="F30" s="6">
        <f>G30+H30+I30</f>
        <v>25572.899999999998</v>
      </c>
      <c r="G30" s="6">
        <v>8524.2999999999993</v>
      </c>
      <c r="H30" s="6">
        <v>8524.2999999999993</v>
      </c>
      <c r="I30" s="6">
        <v>8524.2999999999993</v>
      </c>
      <c r="J30" s="14" t="s">
        <v>70</v>
      </c>
      <c r="M30" s="8"/>
    </row>
    <row r="31" spans="2:13" ht="51" x14ac:dyDescent="0.2">
      <c r="B31" s="14"/>
      <c r="C31" s="12" t="s">
        <v>20</v>
      </c>
      <c r="D31" s="14" t="s">
        <v>65</v>
      </c>
      <c r="E31" s="14"/>
      <c r="F31" s="6">
        <f>G31+H31+I31</f>
        <v>25572.899999999998</v>
      </c>
      <c r="G31" s="6">
        <f>G30</f>
        <v>8524.2999999999993</v>
      </c>
      <c r="H31" s="6">
        <f t="shared" ref="H31:I31" si="4">H30</f>
        <v>8524.2999999999993</v>
      </c>
      <c r="I31" s="6">
        <f t="shared" si="4"/>
        <v>8524.2999999999993</v>
      </c>
      <c r="J31" s="14" t="s">
        <v>70</v>
      </c>
      <c r="M31" s="8"/>
    </row>
    <row r="32" spans="2:13" x14ac:dyDescent="0.2">
      <c r="B32" s="252"/>
      <c r="C32" s="242" t="s">
        <v>21</v>
      </c>
      <c r="D32" s="255"/>
      <c r="E32" s="239" t="s">
        <v>10</v>
      </c>
      <c r="F32" s="6">
        <f>G32+H32+I32</f>
        <v>56481.9</v>
      </c>
      <c r="G32" s="6">
        <f>G33+G34</f>
        <v>19077.7</v>
      </c>
      <c r="H32" s="6">
        <f t="shared" ref="H32" si="5">H33+H34</f>
        <v>18702.099999999999</v>
      </c>
      <c r="I32" s="6">
        <f>I33+I34</f>
        <v>18702.099999999999</v>
      </c>
      <c r="J32" s="14" t="s">
        <v>25</v>
      </c>
      <c r="L32" s="2"/>
      <c r="M32" s="8"/>
    </row>
    <row r="33" spans="2:13" ht="38.25" x14ac:dyDescent="0.2">
      <c r="B33" s="253"/>
      <c r="C33" s="243"/>
      <c r="D33" s="256"/>
      <c r="E33" s="240"/>
      <c r="F33" s="6">
        <f>G33+H33+I33</f>
        <v>55126.6</v>
      </c>
      <c r="G33" s="6">
        <f>G31+G27</f>
        <v>17722.400000000001</v>
      </c>
      <c r="H33" s="6">
        <f>H31+H27</f>
        <v>18702.099999999999</v>
      </c>
      <c r="I33" s="6">
        <f>I31+I27</f>
        <v>18702.099999999999</v>
      </c>
      <c r="J33" s="14" t="s">
        <v>70</v>
      </c>
      <c r="L33" s="2"/>
      <c r="M33" s="8"/>
    </row>
    <row r="34" spans="2:13" ht="25.5" x14ac:dyDescent="0.2">
      <c r="B34" s="254"/>
      <c r="C34" s="244"/>
      <c r="D34" s="257"/>
      <c r="E34" s="241"/>
      <c r="F34" s="6">
        <f>G34+H34+I34</f>
        <v>1355.3000000000002</v>
      </c>
      <c r="G34" s="6">
        <f>G28</f>
        <v>1355.3000000000002</v>
      </c>
      <c r="H34" s="6">
        <f t="shared" ref="H34" si="6">H28</f>
        <v>0</v>
      </c>
      <c r="I34" s="6">
        <f>I28</f>
        <v>0</v>
      </c>
      <c r="J34" s="14" t="s">
        <v>42</v>
      </c>
      <c r="L34" s="2"/>
      <c r="M34" s="8"/>
    </row>
    <row r="35" spans="2:13" x14ac:dyDescent="0.2">
      <c r="B35" s="246" t="s">
        <v>59</v>
      </c>
      <c r="C35" s="247"/>
      <c r="D35" s="247"/>
      <c r="E35" s="247"/>
      <c r="F35" s="247"/>
      <c r="G35" s="247"/>
      <c r="H35" s="247"/>
      <c r="I35" s="247"/>
      <c r="J35" s="248"/>
      <c r="M35" s="8"/>
    </row>
    <row r="36" spans="2:13" x14ac:dyDescent="0.2">
      <c r="B36" s="246" t="s">
        <v>56</v>
      </c>
      <c r="C36" s="247"/>
      <c r="D36" s="247"/>
      <c r="E36" s="247"/>
      <c r="F36" s="247"/>
      <c r="G36" s="247"/>
      <c r="H36" s="247"/>
      <c r="I36" s="247"/>
      <c r="J36" s="248"/>
      <c r="M36" s="8"/>
    </row>
    <row r="37" spans="2:13" ht="38.25" x14ac:dyDescent="0.2">
      <c r="B37" s="14" t="s">
        <v>39</v>
      </c>
      <c r="C37" s="12" t="s">
        <v>57</v>
      </c>
      <c r="D37" s="14" t="s">
        <v>53</v>
      </c>
      <c r="E37" s="14" t="s">
        <v>10</v>
      </c>
      <c r="F37" s="6">
        <f>G37+H37+I37</f>
        <v>50</v>
      </c>
      <c r="G37" s="6">
        <v>50</v>
      </c>
      <c r="H37" s="6">
        <v>0</v>
      </c>
      <c r="I37" s="6">
        <v>0</v>
      </c>
      <c r="J37" s="14" t="s">
        <v>42</v>
      </c>
      <c r="M37" s="8"/>
    </row>
    <row r="38" spans="2:13" ht="38.25" x14ac:dyDescent="0.2">
      <c r="B38" s="13"/>
      <c r="C38" s="12" t="s">
        <v>24</v>
      </c>
      <c r="D38" s="14" t="s">
        <v>53</v>
      </c>
      <c r="E38" s="14" t="s">
        <v>10</v>
      </c>
      <c r="F38" s="6">
        <f>F37</f>
        <v>50</v>
      </c>
      <c r="G38" s="6">
        <f>G37</f>
        <v>50</v>
      </c>
      <c r="H38" s="6">
        <f t="shared" ref="H38:I39" si="7">H37</f>
        <v>0</v>
      </c>
      <c r="I38" s="6">
        <f t="shared" si="7"/>
        <v>0</v>
      </c>
      <c r="J38" s="14" t="s">
        <v>42</v>
      </c>
      <c r="M38" s="8"/>
    </row>
    <row r="39" spans="2:13" ht="38.25" x14ac:dyDescent="0.2">
      <c r="B39" s="13"/>
      <c r="C39" s="12" t="s">
        <v>27</v>
      </c>
      <c r="D39" s="14" t="s">
        <v>53</v>
      </c>
      <c r="E39" s="14" t="s">
        <v>10</v>
      </c>
      <c r="F39" s="6">
        <f>F38</f>
        <v>50</v>
      </c>
      <c r="G39" s="6">
        <f>G38</f>
        <v>50</v>
      </c>
      <c r="H39" s="6">
        <f t="shared" si="7"/>
        <v>0</v>
      </c>
      <c r="I39" s="6">
        <f t="shared" si="7"/>
        <v>0</v>
      </c>
      <c r="J39" s="14" t="s">
        <v>42</v>
      </c>
      <c r="M39" s="8"/>
    </row>
    <row r="40" spans="2:13" x14ac:dyDescent="0.2">
      <c r="B40" s="246" t="s">
        <v>64</v>
      </c>
      <c r="C40" s="247"/>
      <c r="D40" s="247"/>
      <c r="E40" s="247"/>
      <c r="F40" s="247"/>
      <c r="G40" s="247"/>
      <c r="H40" s="247"/>
      <c r="I40" s="247"/>
      <c r="J40" s="248"/>
      <c r="M40" s="8"/>
    </row>
    <row r="41" spans="2:13" x14ac:dyDescent="0.2">
      <c r="B41" s="246" t="s">
        <v>44</v>
      </c>
      <c r="C41" s="247"/>
      <c r="D41" s="247"/>
      <c r="E41" s="247"/>
      <c r="F41" s="247"/>
      <c r="G41" s="247"/>
      <c r="H41" s="247"/>
      <c r="I41" s="247"/>
      <c r="J41" s="248"/>
      <c r="M41" s="8"/>
    </row>
    <row r="42" spans="2:13" x14ac:dyDescent="0.2">
      <c r="B42" s="245" t="s">
        <v>45</v>
      </c>
      <c r="C42" s="245"/>
      <c r="D42" s="245"/>
      <c r="E42" s="245"/>
      <c r="F42" s="245"/>
      <c r="G42" s="245"/>
      <c r="H42" s="245"/>
      <c r="I42" s="245"/>
      <c r="J42" s="245"/>
      <c r="M42" s="8"/>
    </row>
    <row r="43" spans="2:13" ht="38.25" x14ac:dyDescent="0.2">
      <c r="B43" s="7" t="s">
        <v>40</v>
      </c>
      <c r="C43" s="12" t="s">
        <v>75</v>
      </c>
      <c r="D43" s="14" t="s">
        <v>22</v>
      </c>
      <c r="E43" s="14" t="s">
        <v>10</v>
      </c>
      <c r="F43" s="238" t="s">
        <v>16</v>
      </c>
      <c r="G43" s="238"/>
      <c r="H43" s="238"/>
      <c r="I43" s="238"/>
      <c r="J43" s="238"/>
      <c r="M43" s="8"/>
    </row>
    <row r="44" spans="2:13" ht="38.25" x14ac:dyDescent="0.2">
      <c r="B44" s="7" t="s">
        <v>41</v>
      </c>
      <c r="C44" s="12" t="s">
        <v>79</v>
      </c>
      <c r="D44" s="14" t="s">
        <v>22</v>
      </c>
      <c r="E44" s="14" t="s">
        <v>10</v>
      </c>
      <c r="F44" s="6">
        <f>G44+H44+I44</f>
        <v>20</v>
      </c>
      <c r="G44" s="6">
        <v>10</v>
      </c>
      <c r="H44" s="6">
        <v>0</v>
      </c>
      <c r="I44" s="6">
        <v>10</v>
      </c>
      <c r="J44" s="14" t="s">
        <v>70</v>
      </c>
      <c r="M44" s="8"/>
    </row>
    <row r="45" spans="2:13" ht="38.25" x14ac:dyDescent="0.2">
      <c r="B45" s="7" t="s">
        <v>46</v>
      </c>
      <c r="C45" s="12" t="s">
        <v>23</v>
      </c>
      <c r="D45" s="14" t="s">
        <v>22</v>
      </c>
      <c r="E45" s="14" t="s">
        <v>10</v>
      </c>
      <c r="F45" s="6">
        <f t="shared" ref="F45:F46" si="8">G45+H45+I45</f>
        <v>40</v>
      </c>
      <c r="G45" s="6">
        <v>0</v>
      </c>
      <c r="H45" s="6">
        <v>40</v>
      </c>
      <c r="I45" s="6">
        <v>0</v>
      </c>
      <c r="J45" s="14" t="s">
        <v>71</v>
      </c>
      <c r="M45" s="8"/>
    </row>
    <row r="46" spans="2:13" ht="51" x14ac:dyDescent="0.2">
      <c r="B46" s="7" t="s">
        <v>47</v>
      </c>
      <c r="C46" s="12" t="s">
        <v>76</v>
      </c>
      <c r="D46" s="14" t="s">
        <v>22</v>
      </c>
      <c r="E46" s="14" t="s">
        <v>10</v>
      </c>
      <c r="F46" s="6">
        <f t="shared" si="8"/>
        <v>8908.5</v>
      </c>
      <c r="G46" s="6">
        <v>2969.5</v>
      </c>
      <c r="H46" s="6">
        <v>2969.5</v>
      </c>
      <c r="I46" s="6">
        <v>2969.5</v>
      </c>
      <c r="J46" s="14" t="s">
        <v>54</v>
      </c>
      <c r="M46" s="8"/>
    </row>
    <row r="47" spans="2:13" x14ac:dyDescent="0.2">
      <c r="B47" s="238"/>
      <c r="C47" s="242" t="s">
        <v>48</v>
      </c>
      <c r="D47" s="238" t="s">
        <v>22</v>
      </c>
      <c r="E47" s="238" t="s">
        <v>10</v>
      </c>
      <c r="F47" s="6">
        <f>F46+F45+F44</f>
        <v>8968.5</v>
      </c>
      <c r="G47" s="6">
        <f t="shared" ref="G47:I47" si="9">G46+G45+G44</f>
        <v>2979.5</v>
      </c>
      <c r="H47" s="6">
        <f t="shared" si="9"/>
        <v>3009.5</v>
      </c>
      <c r="I47" s="6">
        <f t="shared" si="9"/>
        <v>2979.5</v>
      </c>
      <c r="J47" s="14" t="s">
        <v>25</v>
      </c>
      <c r="L47" s="2"/>
      <c r="M47" s="8"/>
    </row>
    <row r="48" spans="2:13" ht="38.25" x14ac:dyDescent="0.2">
      <c r="B48" s="238"/>
      <c r="C48" s="243"/>
      <c r="D48" s="238"/>
      <c r="E48" s="238"/>
      <c r="F48" s="6">
        <f>F44+F45</f>
        <v>60</v>
      </c>
      <c r="G48" s="6">
        <f t="shared" ref="G48:I48" si="10">G44+G45</f>
        <v>10</v>
      </c>
      <c r="H48" s="6">
        <f t="shared" si="10"/>
        <v>40</v>
      </c>
      <c r="I48" s="6">
        <f t="shared" si="10"/>
        <v>10</v>
      </c>
      <c r="J48" s="14" t="s">
        <v>70</v>
      </c>
      <c r="L48" s="2"/>
      <c r="M48" s="8"/>
    </row>
    <row r="49" spans="2:22" ht="25.5" x14ac:dyDescent="0.2">
      <c r="B49" s="238"/>
      <c r="C49" s="244"/>
      <c r="D49" s="238"/>
      <c r="E49" s="238"/>
      <c r="F49" s="6">
        <f>F46</f>
        <v>8908.5</v>
      </c>
      <c r="G49" s="6">
        <f t="shared" ref="G49:I49" si="11">G46</f>
        <v>2969.5</v>
      </c>
      <c r="H49" s="6">
        <f t="shared" si="11"/>
        <v>2969.5</v>
      </c>
      <c r="I49" s="6">
        <f t="shared" si="11"/>
        <v>2969.5</v>
      </c>
      <c r="J49" s="14" t="s">
        <v>54</v>
      </c>
      <c r="L49" s="2"/>
      <c r="M49" s="8"/>
    </row>
    <row r="50" spans="2:22" ht="28.5" customHeight="1" x14ac:dyDescent="0.2">
      <c r="B50" s="245" t="s">
        <v>49</v>
      </c>
      <c r="C50" s="245"/>
      <c r="D50" s="245"/>
      <c r="E50" s="245"/>
      <c r="F50" s="245"/>
      <c r="G50" s="245"/>
      <c r="H50" s="245"/>
      <c r="I50" s="245"/>
      <c r="J50" s="245"/>
      <c r="M50" s="8"/>
    </row>
    <row r="51" spans="2:22" ht="31.5" customHeight="1" x14ac:dyDescent="0.2">
      <c r="B51" s="7" t="s">
        <v>50</v>
      </c>
      <c r="C51" s="12" t="s">
        <v>77</v>
      </c>
      <c r="D51" s="14" t="s">
        <v>22</v>
      </c>
      <c r="E51" s="14" t="s">
        <v>10</v>
      </c>
      <c r="F51" s="238" t="s">
        <v>16</v>
      </c>
      <c r="G51" s="238"/>
      <c r="H51" s="238"/>
      <c r="I51" s="238"/>
      <c r="J51" s="238"/>
      <c r="M51" s="8"/>
    </row>
    <row r="52" spans="2:22" ht="51" x14ac:dyDescent="0.2">
      <c r="B52" s="7" t="s">
        <v>51</v>
      </c>
      <c r="C52" s="12" t="s">
        <v>26</v>
      </c>
      <c r="D52" s="14" t="s">
        <v>22</v>
      </c>
      <c r="E52" s="14" t="s">
        <v>10</v>
      </c>
      <c r="F52" s="238" t="s">
        <v>16</v>
      </c>
      <c r="G52" s="238"/>
      <c r="H52" s="238"/>
      <c r="I52" s="238"/>
      <c r="J52" s="238"/>
      <c r="M52" s="8"/>
    </row>
    <row r="53" spans="2:22" ht="15.75" customHeight="1" x14ac:dyDescent="0.2">
      <c r="B53" s="258"/>
      <c r="C53" s="245" t="s">
        <v>52</v>
      </c>
      <c r="D53" s="238" t="s">
        <v>22</v>
      </c>
      <c r="E53" s="238" t="s">
        <v>10</v>
      </c>
      <c r="F53" s="6">
        <f>F47</f>
        <v>8968.5</v>
      </c>
      <c r="G53" s="6">
        <f t="shared" ref="G53:I53" si="12">G47</f>
        <v>2979.5</v>
      </c>
      <c r="H53" s="6">
        <f t="shared" si="12"/>
        <v>3009.5</v>
      </c>
      <c r="I53" s="6">
        <f t="shared" si="12"/>
        <v>2979.5</v>
      </c>
      <c r="J53" s="14" t="s">
        <v>25</v>
      </c>
      <c r="M53" s="8"/>
    </row>
    <row r="54" spans="2:22" ht="42" customHeight="1" x14ac:dyDescent="0.2">
      <c r="B54" s="258"/>
      <c r="C54" s="245"/>
      <c r="D54" s="238"/>
      <c r="E54" s="238"/>
      <c r="F54" s="6">
        <f t="shared" ref="F54:I55" si="13">F48</f>
        <v>60</v>
      </c>
      <c r="G54" s="6">
        <f t="shared" si="13"/>
        <v>10</v>
      </c>
      <c r="H54" s="6">
        <f t="shared" si="13"/>
        <v>40</v>
      </c>
      <c r="I54" s="6">
        <f t="shared" si="13"/>
        <v>10</v>
      </c>
      <c r="J54" s="14" t="s">
        <v>70</v>
      </c>
      <c r="M54" s="8"/>
    </row>
    <row r="55" spans="2:22" ht="25.5" x14ac:dyDescent="0.2">
      <c r="B55" s="258"/>
      <c r="C55" s="245"/>
      <c r="D55" s="238"/>
      <c r="E55" s="238"/>
      <c r="F55" s="6">
        <f t="shared" si="13"/>
        <v>8908.5</v>
      </c>
      <c r="G55" s="6">
        <f t="shared" si="13"/>
        <v>2969.5</v>
      </c>
      <c r="H55" s="6">
        <f t="shared" si="13"/>
        <v>2969.5</v>
      </c>
      <c r="I55" s="6">
        <f t="shared" si="13"/>
        <v>2969.5</v>
      </c>
      <c r="J55" s="14" t="s">
        <v>54</v>
      </c>
      <c r="M55" s="8"/>
    </row>
    <row r="56" spans="2:22" ht="34.5" customHeight="1" x14ac:dyDescent="0.2">
      <c r="B56" s="259"/>
      <c r="C56" s="245" t="s">
        <v>55</v>
      </c>
      <c r="D56" s="258"/>
      <c r="E56" s="238" t="s">
        <v>10</v>
      </c>
      <c r="F56" s="6">
        <f>F32+F39+F53</f>
        <v>65500.4</v>
      </c>
      <c r="G56" s="6">
        <f>G32+G39+G53</f>
        <v>22107.200000000001</v>
      </c>
      <c r="H56" s="6">
        <f>H32+H39+H53</f>
        <v>21711.599999999999</v>
      </c>
      <c r="I56" s="6">
        <f>I32+I39+I53</f>
        <v>21681.599999999999</v>
      </c>
      <c r="J56" s="14" t="s">
        <v>25</v>
      </c>
      <c r="S56" s="11"/>
      <c r="T56" s="11"/>
      <c r="U56" s="11"/>
      <c r="V56" s="11"/>
    </row>
    <row r="57" spans="2:22" ht="44.25" customHeight="1" x14ac:dyDescent="0.2">
      <c r="B57" s="259"/>
      <c r="C57" s="245"/>
      <c r="D57" s="258"/>
      <c r="E57" s="238"/>
      <c r="F57" s="6">
        <f>F33+F54</f>
        <v>55186.6</v>
      </c>
      <c r="G57" s="6">
        <f>G33+G54</f>
        <v>17732.400000000001</v>
      </c>
      <c r="H57" s="6">
        <f>H33+H54</f>
        <v>18742.099999999999</v>
      </c>
      <c r="I57" s="6">
        <f>I33+I54</f>
        <v>18712.099999999999</v>
      </c>
      <c r="J57" s="14" t="s">
        <v>70</v>
      </c>
      <c r="S57" s="11"/>
      <c r="T57" s="11"/>
      <c r="U57" s="11"/>
      <c r="V57" s="11"/>
    </row>
    <row r="58" spans="2:22" ht="31.5" customHeight="1" x14ac:dyDescent="0.2">
      <c r="B58" s="259"/>
      <c r="C58" s="245"/>
      <c r="D58" s="258"/>
      <c r="E58" s="238"/>
      <c r="F58" s="6">
        <f>F34+F39+F55</f>
        <v>10313.799999999999</v>
      </c>
      <c r="G58" s="6">
        <f>G34+G39+G55</f>
        <v>4374.8</v>
      </c>
      <c r="H58" s="6">
        <f>H34+H39+H55</f>
        <v>2969.5</v>
      </c>
      <c r="I58" s="6">
        <f>I34+I39+I55</f>
        <v>2969.5</v>
      </c>
      <c r="J58" s="14" t="s">
        <v>54</v>
      </c>
      <c r="S58" s="11"/>
      <c r="T58" s="11"/>
      <c r="U58" s="11"/>
      <c r="V58" s="11"/>
    </row>
    <row r="59" spans="2:22" ht="13.5" customHeight="1" x14ac:dyDescent="0.2">
      <c r="B59" s="15"/>
      <c r="C59" s="12" t="s">
        <v>67</v>
      </c>
      <c r="D59" s="15"/>
      <c r="E59" s="15"/>
      <c r="F59" s="3"/>
      <c r="G59" s="3"/>
      <c r="H59" s="3"/>
      <c r="I59" s="3"/>
      <c r="J59" s="15"/>
      <c r="M59" s="8"/>
    </row>
    <row r="60" spans="2:22" x14ac:dyDescent="0.2">
      <c r="B60" s="258"/>
      <c r="C60" s="245" t="s">
        <v>28</v>
      </c>
      <c r="D60" s="258"/>
      <c r="E60" s="238" t="s">
        <v>10</v>
      </c>
      <c r="F60" s="6">
        <f>F47</f>
        <v>8968.5</v>
      </c>
      <c r="G60" s="6">
        <f t="shared" ref="G60:H60" si="14">G47</f>
        <v>2979.5</v>
      </c>
      <c r="H60" s="6">
        <f t="shared" si="14"/>
        <v>3009.5</v>
      </c>
      <c r="I60" s="6">
        <f>I47</f>
        <v>2979.5</v>
      </c>
      <c r="J60" s="14" t="s">
        <v>25</v>
      </c>
      <c r="M60" s="8"/>
    </row>
    <row r="61" spans="2:22" ht="38.25" x14ac:dyDescent="0.2">
      <c r="B61" s="258"/>
      <c r="C61" s="245"/>
      <c r="D61" s="258"/>
      <c r="E61" s="238"/>
      <c r="F61" s="6">
        <f t="shared" ref="F61:I62" si="15">F48</f>
        <v>60</v>
      </c>
      <c r="G61" s="6">
        <f t="shared" si="15"/>
        <v>10</v>
      </c>
      <c r="H61" s="6">
        <f t="shared" si="15"/>
        <v>40</v>
      </c>
      <c r="I61" s="6">
        <f t="shared" si="15"/>
        <v>10</v>
      </c>
      <c r="J61" s="14" t="s">
        <v>70</v>
      </c>
      <c r="M61" s="8"/>
    </row>
    <row r="62" spans="2:22" ht="25.5" x14ac:dyDescent="0.2">
      <c r="B62" s="258"/>
      <c r="C62" s="245"/>
      <c r="D62" s="258"/>
      <c r="E62" s="238"/>
      <c r="F62" s="6">
        <f t="shared" si="15"/>
        <v>8908.5</v>
      </c>
      <c r="G62" s="6">
        <f t="shared" si="15"/>
        <v>2969.5</v>
      </c>
      <c r="H62" s="6">
        <f t="shared" si="15"/>
        <v>2969.5</v>
      </c>
      <c r="I62" s="6">
        <f>I49</f>
        <v>2969.5</v>
      </c>
      <c r="J62" s="14" t="s">
        <v>54</v>
      </c>
      <c r="M62" s="8"/>
    </row>
    <row r="63" spans="2:22" x14ac:dyDescent="0.2">
      <c r="B63" s="255"/>
      <c r="C63" s="242" t="s">
        <v>61</v>
      </c>
      <c r="D63" s="255"/>
      <c r="E63" s="239" t="s">
        <v>10</v>
      </c>
      <c r="F63" s="6">
        <f>F26</f>
        <v>30909.000000000007</v>
      </c>
      <c r="G63" s="6">
        <f t="shared" ref="G63:I63" si="16">G26</f>
        <v>10553.400000000001</v>
      </c>
      <c r="H63" s="6">
        <f t="shared" si="16"/>
        <v>10177.800000000001</v>
      </c>
      <c r="I63" s="6">
        <f t="shared" si="16"/>
        <v>10177.800000000001</v>
      </c>
      <c r="J63" s="14" t="s">
        <v>25</v>
      </c>
      <c r="M63" s="8"/>
    </row>
    <row r="64" spans="2:22" ht="38.25" x14ac:dyDescent="0.2">
      <c r="B64" s="256"/>
      <c r="C64" s="243"/>
      <c r="D64" s="256"/>
      <c r="E64" s="240"/>
      <c r="F64" s="6">
        <f t="shared" ref="F64:I65" si="17">F27</f>
        <v>29553.700000000004</v>
      </c>
      <c r="G64" s="6">
        <f t="shared" si="17"/>
        <v>9198.1</v>
      </c>
      <c r="H64" s="6">
        <f t="shared" si="17"/>
        <v>10177.800000000001</v>
      </c>
      <c r="I64" s="6">
        <f t="shared" si="17"/>
        <v>10177.800000000001</v>
      </c>
      <c r="J64" s="14" t="s">
        <v>70</v>
      </c>
      <c r="M64" s="8"/>
    </row>
    <row r="65" spans="2:13" ht="25.5" x14ac:dyDescent="0.2">
      <c r="B65" s="257"/>
      <c r="C65" s="244"/>
      <c r="D65" s="257"/>
      <c r="E65" s="241"/>
      <c r="F65" s="6">
        <f t="shared" si="17"/>
        <v>1355.3000000000002</v>
      </c>
      <c r="G65" s="6">
        <f t="shared" si="17"/>
        <v>1355.3000000000002</v>
      </c>
      <c r="H65" s="6">
        <f t="shared" si="17"/>
        <v>0</v>
      </c>
      <c r="I65" s="6">
        <f t="shared" si="17"/>
        <v>0</v>
      </c>
      <c r="J65" s="14" t="s">
        <v>54</v>
      </c>
      <c r="M65" s="8"/>
    </row>
    <row r="66" spans="2:13" ht="38.25" x14ac:dyDescent="0.2">
      <c r="B66" s="13"/>
      <c r="C66" s="12" t="s">
        <v>66</v>
      </c>
      <c r="D66" s="13"/>
      <c r="E66" s="14" t="s">
        <v>10</v>
      </c>
      <c r="F66" s="6">
        <f>F30</f>
        <v>25572.899999999998</v>
      </c>
      <c r="G66" s="6">
        <f t="shared" ref="G66:I66" si="18">G30</f>
        <v>8524.2999999999993</v>
      </c>
      <c r="H66" s="6">
        <f t="shared" si="18"/>
        <v>8524.2999999999993</v>
      </c>
      <c r="I66" s="6">
        <f t="shared" si="18"/>
        <v>8524.2999999999993</v>
      </c>
      <c r="J66" s="14" t="s">
        <v>70</v>
      </c>
      <c r="M66" s="8"/>
    </row>
    <row r="67" spans="2:13" ht="25.5" x14ac:dyDescent="0.2">
      <c r="B67" s="13"/>
      <c r="C67" s="12" t="s">
        <v>62</v>
      </c>
      <c r="D67" s="13"/>
      <c r="E67" s="14" t="s">
        <v>10</v>
      </c>
      <c r="F67" s="6">
        <f t="shared" ref="F67:H67" si="19">F39</f>
        <v>50</v>
      </c>
      <c r="G67" s="6">
        <f t="shared" si="19"/>
        <v>50</v>
      </c>
      <c r="H67" s="6">
        <f t="shared" si="19"/>
        <v>0</v>
      </c>
      <c r="I67" s="6">
        <f>I39</f>
        <v>0</v>
      </c>
      <c r="J67" s="14" t="s">
        <v>54</v>
      </c>
      <c r="M67" s="8"/>
    </row>
  </sheetData>
  <mergeCells count="59">
    <mergeCell ref="B63:B65"/>
    <mergeCell ref="C63:C65"/>
    <mergeCell ref="D63:D65"/>
    <mergeCell ref="E63:E65"/>
    <mergeCell ref="B56:B58"/>
    <mergeCell ref="C56:C58"/>
    <mergeCell ref="D56:D58"/>
    <mergeCell ref="E56:E58"/>
    <mergeCell ref="B60:B62"/>
    <mergeCell ref="C60:C62"/>
    <mergeCell ref="D60:D62"/>
    <mergeCell ref="E60:E62"/>
    <mergeCell ref="B50:J50"/>
    <mergeCell ref="F51:J51"/>
    <mergeCell ref="F52:J52"/>
    <mergeCell ref="B53:B55"/>
    <mergeCell ref="C53:C55"/>
    <mergeCell ref="D53:D55"/>
    <mergeCell ref="E53:E55"/>
    <mergeCell ref="B47:B49"/>
    <mergeCell ref="C47:C49"/>
    <mergeCell ref="D47:D49"/>
    <mergeCell ref="E47:E49"/>
    <mergeCell ref="B29:J29"/>
    <mergeCell ref="B32:B34"/>
    <mergeCell ref="C32:C34"/>
    <mergeCell ref="D32:D34"/>
    <mergeCell ref="E32:E34"/>
    <mergeCell ref="B35:J35"/>
    <mergeCell ref="B36:J36"/>
    <mergeCell ref="B40:J40"/>
    <mergeCell ref="B41:J41"/>
    <mergeCell ref="B42:J42"/>
    <mergeCell ref="F43:J43"/>
    <mergeCell ref="B26:B28"/>
    <mergeCell ref="C26:C28"/>
    <mergeCell ref="D26:D28"/>
    <mergeCell ref="E26:E28"/>
    <mergeCell ref="B12:J12"/>
    <mergeCell ref="B13:J13"/>
    <mergeCell ref="B14:J14"/>
    <mergeCell ref="B15:B17"/>
    <mergeCell ref="C15:C17"/>
    <mergeCell ref="D15:D17"/>
    <mergeCell ref="E15:E17"/>
    <mergeCell ref="B19:B21"/>
    <mergeCell ref="C19:C21"/>
    <mergeCell ref="D19:D21"/>
    <mergeCell ref="E19:E21"/>
    <mergeCell ref="F25:J25"/>
    <mergeCell ref="B6:J6"/>
    <mergeCell ref="B8:B10"/>
    <mergeCell ref="C8:C10"/>
    <mergeCell ref="D8:D10"/>
    <mergeCell ref="E8:E10"/>
    <mergeCell ref="F8:I8"/>
    <mergeCell ref="J8:J10"/>
    <mergeCell ref="F9:F10"/>
    <mergeCell ref="G9:I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2"/>
  <sheetViews>
    <sheetView topLeftCell="A56" workbookViewId="0">
      <selection activeCell="N75" sqref="N75"/>
    </sheetView>
  </sheetViews>
  <sheetFormatPr defaultRowHeight="12.75" x14ac:dyDescent="0.2"/>
  <cols>
    <col min="1" max="1" width="0.42578125" style="1" customWidth="1"/>
    <col min="2" max="2" width="3.7109375" style="1" customWidth="1"/>
    <col min="3" max="3" width="73.28515625" style="1" customWidth="1"/>
    <col min="4" max="4" width="28.42578125" style="1" customWidth="1"/>
    <col min="5" max="5" width="10.42578125" style="1" customWidth="1"/>
    <col min="6" max="6" width="10.28515625" style="1" customWidth="1"/>
    <col min="7" max="9" width="10.7109375" style="1" customWidth="1"/>
    <col min="10" max="10" width="23.42578125" style="1" customWidth="1"/>
    <col min="11" max="11" width="9.140625" style="1"/>
    <col min="12" max="12" width="4.5703125" style="1" customWidth="1"/>
    <col min="13" max="16384" width="9.140625" style="1"/>
  </cols>
  <sheetData>
    <row r="1" spans="2:18" s="4" customFormat="1" ht="15" x14ac:dyDescent="0.25">
      <c r="J1" s="9" t="s">
        <v>73</v>
      </c>
    </row>
    <row r="2" spans="2:18" s="4" customFormat="1" ht="15" x14ac:dyDescent="0.25">
      <c r="J2" s="9" t="s">
        <v>68</v>
      </c>
    </row>
    <row r="3" spans="2:18" s="4" customFormat="1" ht="15" x14ac:dyDescent="0.25">
      <c r="J3" s="9" t="s">
        <v>69</v>
      </c>
    </row>
    <row r="4" spans="2:18" s="4" customFormat="1" ht="15.75" x14ac:dyDescent="0.25">
      <c r="J4" s="5"/>
    </row>
    <row r="5" spans="2:18" s="4" customFormat="1" ht="15.75" x14ac:dyDescent="0.25">
      <c r="J5" s="5"/>
    </row>
    <row r="6" spans="2:18" s="4" customFormat="1" ht="16.5" x14ac:dyDescent="0.25">
      <c r="B6" s="237" t="s">
        <v>60</v>
      </c>
      <c r="C6" s="237"/>
      <c r="D6" s="237"/>
      <c r="E6" s="237"/>
      <c r="F6" s="237"/>
      <c r="G6" s="237"/>
      <c r="H6" s="237"/>
      <c r="I6" s="237"/>
      <c r="J6" s="237"/>
    </row>
    <row r="7" spans="2:18" s="4" customFormat="1" x14ac:dyDescent="0.2"/>
    <row r="8" spans="2:18" s="4" customFormat="1" x14ac:dyDescent="0.2">
      <c r="B8" s="238" t="s">
        <v>29</v>
      </c>
      <c r="C8" s="238" t="s">
        <v>0</v>
      </c>
      <c r="D8" s="238" t="s">
        <v>72</v>
      </c>
      <c r="E8" s="238" t="s">
        <v>1</v>
      </c>
      <c r="F8" s="238" t="s">
        <v>30</v>
      </c>
      <c r="G8" s="238"/>
      <c r="H8" s="238"/>
      <c r="I8" s="238"/>
      <c r="J8" s="238" t="s">
        <v>2</v>
      </c>
    </row>
    <row r="9" spans="2:18" s="4" customFormat="1" x14ac:dyDescent="0.2">
      <c r="B9" s="238"/>
      <c r="C9" s="238"/>
      <c r="D9" s="238"/>
      <c r="E9" s="238"/>
      <c r="F9" s="238" t="s">
        <v>3</v>
      </c>
      <c r="G9" s="238" t="s">
        <v>4</v>
      </c>
      <c r="H9" s="238"/>
      <c r="I9" s="238"/>
      <c r="J9" s="238"/>
    </row>
    <row r="10" spans="2:18" s="4" customFormat="1" ht="15.75" customHeight="1" x14ac:dyDescent="0.2">
      <c r="B10" s="238"/>
      <c r="C10" s="238"/>
      <c r="D10" s="238"/>
      <c r="E10" s="238"/>
      <c r="F10" s="238"/>
      <c r="G10" s="14" t="s">
        <v>5</v>
      </c>
      <c r="H10" s="14" t="s">
        <v>6</v>
      </c>
      <c r="I10" s="14" t="s">
        <v>7</v>
      </c>
      <c r="J10" s="238"/>
    </row>
    <row r="11" spans="2:18" s="4" customFormat="1" x14ac:dyDescent="0.2">
      <c r="B11" s="14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4">
        <v>7</v>
      </c>
      <c r="I11" s="14">
        <v>8</v>
      </c>
      <c r="J11" s="14">
        <v>9</v>
      </c>
    </row>
    <row r="12" spans="2:18" s="4" customFormat="1" ht="21.75" customHeight="1" x14ac:dyDescent="0.2">
      <c r="B12" s="245" t="s">
        <v>63</v>
      </c>
      <c r="C12" s="245"/>
      <c r="D12" s="245"/>
      <c r="E12" s="245"/>
      <c r="F12" s="245"/>
      <c r="G12" s="245"/>
      <c r="H12" s="245"/>
      <c r="I12" s="245"/>
      <c r="J12" s="245"/>
    </row>
    <row r="13" spans="2:18" s="4" customFormat="1" ht="24.75" customHeight="1" x14ac:dyDescent="0.2">
      <c r="B13" s="245" t="s">
        <v>58</v>
      </c>
      <c r="C13" s="245"/>
      <c r="D13" s="245"/>
      <c r="E13" s="245"/>
      <c r="F13" s="245"/>
      <c r="G13" s="245"/>
      <c r="H13" s="245"/>
      <c r="I13" s="245"/>
      <c r="J13" s="245"/>
    </row>
    <row r="14" spans="2:18" s="4" customFormat="1" ht="25.5" customHeight="1" x14ac:dyDescent="0.2">
      <c r="B14" s="246" t="s">
        <v>8</v>
      </c>
      <c r="C14" s="247"/>
      <c r="D14" s="247"/>
      <c r="E14" s="247"/>
      <c r="F14" s="247"/>
      <c r="G14" s="247"/>
      <c r="H14" s="247"/>
      <c r="I14" s="247"/>
      <c r="J14" s="248"/>
    </row>
    <row r="15" spans="2:18" s="4" customFormat="1" ht="12.75" customHeight="1" x14ac:dyDescent="0.2">
      <c r="B15" s="249" t="s">
        <v>31</v>
      </c>
      <c r="C15" s="242" t="s">
        <v>9</v>
      </c>
      <c r="D15" s="239" t="s">
        <v>43</v>
      </c>
      <c r="E15" s="239" t="s">
        <v>10</v>
      </c>
      <c r="F15" s="6">
        <f>F16+F17</f>
        <v>25251.299999999996</v>
      </c>
      <c r="G15" s="16">
        <f>G16+G17</f>
        <v>9430.1</v>
      </c>
      <c r="H15" s="6">
        <f t="shared" ref="H15" si="0">H16+H17</f>
        <v>7910.6</v>
      </c>
      <c r="I15" s="6">
        <f>I16+I17</f>
        <v>7910.6</v>
      </c>
      <c r="J15" s="14" t="s">
        <v>25</v>
      </c>
      <c r="L15" s="249" t="s">
        <v>31</v>
      </c>
      <c r="M15" s="6">
        <f>M16+M17</f>
        <v>23731.8</v>
      </c>
      <c r="N15" s="17">
        <f>N16+N17</f>
        <v>7910.6</v>
      </c>
      <c r="O15" s="6">
        <f t="shared" ref="O15" si="1">O16+O17</f>
        <v>7910.6</v>
      </c>
      <c r="P15" s="6">
        <f>P16+P17</f>
        <v>7910.6</v>
      </c>
      <c r="Q15" s="8">
        <f t="shared" ref="Q15:Q24" si="2">F15-M15</f>
        <v>1519.4999999999964</v>
      </c>
      <c r="R15" s="8">
        <f t="shared" ref="R15:R24" si="3">G15-N15</f>
        <v>1519.5</v>
      </c>
    </row>
    <row r="16" spans="2:18" s="4" customFormat="1" ht="38.25" x14ac:dyDescent="0.2">
      <c r="B16" s="250"/>
      <c r="C16" s="243"/>
      <c r="D16" s="240"/>
      <c r="E16" s="240"/>
      <c r="F16" s="6">
        <f>G16+H16+I16</f>
        <v>24528.699999999997</v>
      </c>
      <c r="G16" s="16">
        <v>8707.5</v>
      </c>
      <c r="H16" s="6">
        <v>7910.6</v>
      </c>
      <c r="I16" s="6">
        <v>7910.6</v>
      </c>
      <c r="J16" s="14" t="s">
        <v>70</v>
      </c>
      <c r="L16" s="250"/>
      <c r="M16" s="6">
        <f>N16+O16+P16</f>
        <v>23002.7</v>
      </c>
      <c r="N16" s="17">
        <f>7910.6-729.1</f>
        <v>7181.5</v>
      </c>
      <c r="O16" s="6">
        <v>7910.6</v>
      </c>
      <c r="P16" s="6">
        <v>7910.6</v>
      </c>
      <c r="Q16" s="8">
        <f t="shared" si="2"/>
        <v>1525.9999999999964</v>
      </c>
      <c r="R16" s="8">
        <f t="shared" si="3"/>
        <v>1526</v>
      </c>
    </row>
    <row r="17" spans="2:18" s="4" customFormat="1" ht="25.5" x14ac:dyDescent="0.2">
      <c r="B17" s="251"/>
      <c r="C17" s="244"/>
      <c r="D17" s="241"/>
      <c r="E17" s="241"/>
      <c r="F17" s="6">
        <f>G17+H17+I17</f>
        <v>722.6</v>
      </c>
      <c r="G17" s="16">
        <v>722.6</v>
      </c>
      <c r="H17" s="6">
        <v>0</v>
      </c>
      <c r="I17" s="6">
        <v>0</v>
      </c>
      <c r="J17" s="14" t="s">
        <v>42</v>
      </c>
      <c r="L17" s="251"/>
      <c r="M17" s="6">
        <f>N17+O17+P17</f>
        <v>729.1</v>
      </c>
      <c r="N17" s="17">
        <v>729.1</v>
      </c>
      <c r="O17" s="6">
        <v>0</v>
      </c>
      <c r="P17" s="6">
        <v>0</v>
      </c>
      <c r="Q17" s="8">
        <f t="shared" si="2"/>
        <v>-6.5</v>
      </c>
      <c r="R17" s="8">
        <f t="shared" si="3"/>
        <v>-6.5</v>
      </c>
    </row>
    <row r="18" spans="2:18" s="4" customFormat="1" ht="42.95" customHeight="1" x14ac:dyDescent="0.2">
      <c r="B18" s="7" t="s">
        <v>32</v>
      </c>
      <c r="C18" s="12" t="s">
        <v>11</v>
      </c>
      <c r="D18" s="14" t="s">
        <v>43</v>
      </c>
      <c r="E18" s="14" t="s">
        <v>10</v>
      </c>
      <c r="F18" s="6">
        <f t="shared" ref="F18:F24" si="4">G18+H18+I18</f>
        <v>819.00000000000011</v>
      </c>
      <c r="G18" s="16">
        <v>305.8</v>
      </c>
      <c r="H18" s="6">
        <v>256.60000000000002</v>
      </c>
      <c r="I18" s="6">
        <v>256.60000000000002</v>
      </c>
      <c r="J18" s="14" t="s">
        <v>70</v>
      </c>
      <c r="L18" s="7" t="s">
        <v>32</v>
      </c>
      <c r="M18" s="6">
        <f t="shared" ref="M18" si="5">N18+O18+P18</f>
        <v>769.80000000000007</v>
      </c>
      <c r="N18" s="17">
        <v>256.60000000000002</v>
      </c>
      <c r="O18" s="6">
        <v>256.60000000000002</v>
      </c>
      <c r="P18" s="6">
        <v>256.60000000000002</v>
      </c>
      <c r="Q18" s="8">
        <f t="shared" si="2"/>
        <v>49.200000000000045</v>
      </c>
      <c r="R18" s="8">
        <f t="shared" si="3"/>
        <v>49.199999999999989</v>
      </c>
    </row>
    <row r="19" spans="2:18" s="4" customFormat="1" ht="12.75" customHeight="1" x14ac:dyDescent="0.2">
      <c r="B19" s="249" t="s">
        <v>33</v>
      </c>
      <c r="C19" s="242" t="s">
        <v>12</v>
      </c>
      <c r="D19" s="239" t="s">
        <v>43</v>
      </c>
      <c r="E19" s="239" t="s">
        <v>10</v>
      </c>
      <c r="F19" s="6">
        <f>G19+H19+I19</f>
        <v>2098.8000000000002</v>
      </c>
      <c r="G19" s="16">
        <f>G20+G21</f>
        <v>699.6</v>
      </c>
      <c r="H19" s="6">
        <f>H20+H21</f>
        <v>699.6</v>
      </c>
      <c r="I19" s="6">
        <f>I20+I21</f>
        <v>699.6</v>
      </c>
      <c r="J19" s="14" t="s">
        <v>25</v>
      </c>
      <c r="L19" s="249" t="s">
        <v>33</v>
      </c>
      <c r="M19" s="6">
        <f>N19+O19+P19</f>
        <v>2191.1999999999998</v>
      </c>
      <c r="N19" s="17">
        <f>N20+N21</f>
        <v>792</v>
      </c>
      <c r="O19" s="6">
        <f>O20+O21</f>
        <v>699.6</v>
      </c>
      <c r="P19" s="6">
        <f>P20+P21</f>
        <v>699.6</v>
      </c>
      <c r="Q19" s="8">
        <f t="shared" si="2"/>
        <v>-92.399999999999636</v>
      </c>
      <c r="R19" s="8">
        <f t="shared" si="3"/>
        <v>-92.399999999999977</v>
      </c>
    </row>
    <row r="20" spans="2:18" s="4" customFormat="1" ht="38.25" x14ac:dyDescent="0.2">
      <c r="B20" s="250"/>
      <c r="C20" s="243"/>
      <c r="D20" s="240"/>
      <c r="E20" s="240"/>
      <c r="F20" s="6">
        <f>G20+H20+I20</f>
        <v>1466.1</v>
      </c>
      <c r="G20" s="16">
        <v>66.900000000000006</v>
      </c>
      <c r="H20" s="6">
        <v>699.6</v>
      </c>
      <c r="I20" s="6">
        <v>699.6</v>
      </c>
      <c r="J20" s="14" t="s">
        <v>70</v>
      </c>
      <c r="K20" s="8"/>
      <c r="L20" s="250"/>
      <c r="M20" s="6">
        <f>N20+O20+P20</f>
        <v>1565</v>
      </c>
      <c r="N20" s="17">
        <f>699.6-N21+92.4</f>
        <v>165.79999999999998</v>
      </c>
      <c r="O20" s="6">
        <v>699.6</v>
      </c>
      <c r="P20" s="6">
        <v>699.6</v>
      </c>
      <c r="Q20" s="8">
        <f t="shared" si="2"/>
        <v>-98.900000000000091</v>
      </c>
      <c r="R20" s="8">
        <f t="shared" si="3"/>
        <v>-98.899999999999977</v>
      </c>
    </row>
    <row r="21" spans="2:18" s="4" customFormat="1" ht="63.75" x14ac:dyDescent="0.2">
      <c r="B21" s="251"/>
      <c r="C21" s="244"/>
      <c r="D21" s="241"/>
      <c r="E21" s="241"/>
      <c r="F21" s="6">
        <f>G21+H21+I21</f>
        <v>632.70000000000005</v>
      </c>
      <c r="G21" s="16">
        <v>632.70000000000005</v>
      </c>
      <c r="H21" s="6">
        <v>0</v>
      </c>
      <c r="I21" s="6">
        <v>0</v>
      </c>
      <c r="J21" s="14" t="s">
        <v>78</v>
      </c>
      <c r="L21" s="251"/>
      <c r="M21" s="6">
        <f>N21+O21+P21</f>
        <v>626.20000000000005</v>
      </c>
      <c r="N21" s="17">
        <v>626.20000000000005</v>
      </c>
      <c r="O21" s="6">
        <v>0</v>
      </c>
      <c r="P21" s="6">
        <v>0</v>
      </c>
      <c r="Q21" s="8">
        <f t="shared" si="2"/>
        <v>6.5</v>
      </c>
      <c r="R21" s="8">
        <f t="shared" si="3"/>
        <v>6.5</v>
      </c>
    </row>
    <row r="22" spans="2:18" s="4" customFormat="1" ht="42.95" customHeight="1" x14ac:dyDescent="0.2">
      <c r="B22" s="7" t="s">
        <v>34</v>
      </c>
      <c r="C22" s="12" t="s">
        <v>74</v>
      </c>
      <c r="D22" s="14" t="s">
        <v>43</v>
      </c>
      <c r="E22" s="14" t="s">
        <v>10</v>
      </c>
      <c r="F22" s="6">
        <f t="shared" si="4"/>
        <v>948.9</v>
      </c>
      <c r="G22" s="6">
        <v>505.1</v>
      </c>
      <c r="H22" s="6">
        <v>221.9</v>
      </c>
      <c r="I22" s="6">
        <v>221.9</v>
      </c>
      <c r="J22" s="14" t="s">
        <v>70</v>
      </c>
      <c r="L22" s="7" t="s">
        <v>34</v>
      </c>
      <c r="M22" s="6">
        <f t="shared" ref="M22:M24" si="6">N22+O22+P22</f>
        <v>948.9</v>
      </c>
      <c r="N22" s="6">
        <v>505.1</v>
      </c>
      <c r="O22" s="6">
        <v>221.9</v>
      </c>
      <c r="P22" s="6">
        <v>221.9</v>
      </c>
      <c r="Q22" s="8">
        <f t="shared" si="2"/>
        <v>0</v>
      </c>
      <c r="R22" s="8">
        <f t="shared" si="3"/>
        <v>0</v>
      </c>
    </row>
    <row r="23" spans="2:18" s="4" customFormat="1" ht="42.95" customHeight="1" x14ac:dyDescent="0.2">
      <c r="B23" s="7" t="s">
        <v>35</v>
      </c>
      <c r="C23" s="12" t="s">
        <v>13</v>
      </c>
      <c r="D23" s="14" t="s">
        <v>43</v>
      </c>
      <c r="E23" s="14" t="s">
        <v>10</v>
      </c>
      <c r="F23" s="6">
        <f t="shared" si="4"/>
        <v>3162.2999999999997</v>
      </c>
      <c r="G23" s="6">
        <v>1054.0999999999999</v>
      </c>
      <c r="H23" s="6">
        <v>1054.0999999999999</v>
      </c>
      <c r="I23" s="6">
        <v>1054.0999999999999</v>
      </c>
      <c r="J23" s="14" t="s">
        <v>70</v>
      </c>
      <c r="L23" s="7" t="s">
        <v>35</v>
      </c>
      <c r="M23" s="6">
        <f t="shared" si="6"/>
        <v>3162.2999999999997</v>
      </c>
      <c r="N23" s="6">
        <v>1054.0999999999999</v>
      </c>
      <c r="O23" s="6">
        <v>1054.0999999999999</v>
      </c>
      <c r="P23" s="6">
        <v>1054.0999999999999</v>
      </c>
      <c r="Q23" s="8">
        <f t="shared" si="2"/>
        <v>0</v>
      </c>
      <c r="R23" s="8">
        <f t="shared" si="3"/>
        <v>0</v>
      </c>
    </row>
    <row r="24" spans="2:18" s="4" customFormat="1" ht="42.95" customHeight="1" x14ac:dyDescent="0.2">
      <c r="B24" s="7" t="s">
        <v>36</v>
      </c>
      <c r="C24" s="12" t="s">
        <v>14</v>
      </c>
      <c r="D24" s="14" t="s">
        <v>43</v>
      </c>
      <c r="E24" s="14" t="s">
        <v>10</v>
      </c>
      <c r="F24" s="6">
        <f t="shared" si="4"/>
        <v>105</v>
      </c>
      <c r="G24" s="6">
        <v>35</v>
      </c>
      <c r="H24" s="6">
        <v>35</v>
      </c>
      <c r="I24" s="6">
        <v>35</v>
      </c>
      <c r="J24" s="14" t="s">
        <v>70</v>
      </c>
      <c r="L24" s="7" t="s">
        <v>36</v>
      </c>
      <c r="M24" s="6">
        <f t="shared" si="6"/>
        <v>105</v>
      </c>
      <c r="N24" s="6">
        <v>35</v>
      </c>
      <c r="O24" s="6">
        <v>35</v>
      </c>
      <c r="P24" s="6">
        <v>35</v>
      </c>
      <c r="Q24" s="8">
        <f t="shared" si="2"/>
        <v>0</v>
      </c>
      <c r="R24" s="8">
        <f t="shared" si="3"/>
        <v>0</v>
      </c>
    </row>
    <row r="25" spans="2:18" s="4" customFormat="1" ht="42.95" customHeight="1" x14ac:dyDescent="0.2">
      <c r="B25" s="7" t="s">
        <v>37</v>
      </c>
      <c r="C25" s="12" t="s">
        <v>15</v>
      </c>
      <c r="D25" s="14" t="s">
        <v>43</v>
      </c>
      <c r="E25" s="14" t="s">
        <v>10</v>
      </c>
      <c r="F25" s="238" t="s">
        <v>16</v>
      </c>
      <c r="G25" s="238"/>
      <c r="H25" s="238"/>
      <c r="I25" s="238"/>
      <c r="J25" s="238"/>
      <c r="L25" s="7" t="s">
        <v>37</v>
      </c>
      <c r="M25" s="238" t="s">
        <v>16</v>
      </c>
      <c r="N25" s="238"/>
      <c r="O25" s="238"/>
      <c r="P25" s="238"/>
      <c r="Q25" s="8"/>
      <c r="R25" s="8"/>
    </row>
    <row r="26" spans="2:18" s="4" customFormat="1" ht="18.75" customHeight="1" x14ac:dyDescent="0.2">
      <c r="B26" s="239"/>
      <c r="C26" s="242" t="s">
        <v>17</v>
      </c>
      <c r="D26" s="239" t="s">
        <v>43</v>
      </c>
      <c r="E26" s="239" t="s">
        <v>10</v>
      </c>
      <c r="F26" s="6">
        <f>G26+H26+I26</f>
        <v>32385.300000000003</v>
      </c>
      <c r="G26" s="6">
        <f>G27+G28</f>
        <v>12029.7</v>
      </c>
      <c r="H26" s="6">
        <f>H27+H28</f>
        <v>10177.800000000001</v>
      </c>
      <c r="I26" s="6">
        <f>I27+I28</f>
        <v>10177.800000000001</v>
      </c>
      <c r="J26" s="14" t="s">
        <v>25</v>
      </c>
      <c r="L26" s="239"/>
      <c r="M26" s="6">
        <f>N26+O26+P26</f>
        <v>30909.000000000007</v>
      </c>
      <c r="N26" s="6">
        <f>N27+N28</f>
        <v>10553.400000000001</v>
      </c>
      <c r="O26" s="6">
        <f>O27+O28</f>
        <v>10177.800000000001</v>
      </c>
      <c r="P26" s="6">
        <f>P27+P28</f>
        <v>10177.800000000001</v>
      </c>
      <c r="Q26" s="8">
        <f t="shared" ref="Q26:R28" si="7">F26-M26</f>
        <v>1476.2999999999956</v>
      </c>
      <c r="R26" s="8">
        <f t="shared" si="7"/>
        <v>1476.2999999999993</v>
      </c>
    </row>
    <row r="27" spans="2:18" s="4" customFormat="1" ht="42" customHeight="1" x14ac:dyDescent="0.2">
      <c r="B27" s="240"/>
      <c r="C27" s="243"/>
      <c r="D27" s="240"/>
      <c r="E27" s="240"/>
      <c r="F27" s="6">
        <f>G27+H27+I27</f>
        <v>31030</v>
      </c>
      <c r="G27" s="6">
        <f>G16+G18+G20+G22+G23+G24</f>
        <v>10674.4</v>
      </c>
      <c r="H27" s="6">
        <f t="shared" ref="H27" si="8">H16+H18+H20+H22+H23+H24</f>
        <v>10177.800000000001</v>
      </c>
      <c r="I27" s="6">
        <f>I16+I18+I20+I22+I23+I24</f>
        <v>10177.800000000001</v>
      </c>
      <c r="J27" s="14" t="s">
        <v>70</v>
      </c>
      <c r="L27" s="240"/>
      <c r="M27" s="6">
        <f>N27+O27+P27</f>
        <v>29553.700000000004</v>
      </c>
      <c r="N27" s="6">
        <f>N16+N18+N20+N22+N23+N24</f>
        <v>9198.1</v>
      </c>
      <c r="O27" s="6">
        <f t="shared" ref="O27" si="9">O16+O18+O20+O22+O23+O24</f>
        <v>10177.800000000001</v>
      </c>
      <c r="P27" s="6">
        <f>P16+P18+P20+P22+P23+P24</f>
        <v>10177.800000000001</v>
      </c>
      <c r="Q27" s="8">
        <f t="shared" si="7"/>
        <v>1476.2999999999956</v>
      </c>
      <c r="R27" s="8">
        <f t="shared" si="7"/>
        <v>1476.2999999999993</v>
      </c>
    </row>
    <row r="28" spans="2:18" s="4" customFormat="1" ht="25.5" x14ac:dyDescent="0.2">
      <c r="B28" s="241"/>
      <c r="C28" s="244"/>
      <c r="D28" s="241"/>
      <c r="E28" s="241"/>
      <c r="F28" s="6">
        <f>G28+H28+I28</f>
        <v>1355.3000000000002</v>
      </c>
      <c r="G28" s="6">
        <f>G17+G21</f>
        <v>1355.3000000000002</v>
      </c>
      <c r="H28" s="6">
        <f t="shared" ref="H28:I28" si="10">H17+H21</f>
        <v>0</v>
      </c>
      <c r="I28" s="6">
        <f t="shared" si="10"/>
        <v>0</v>
      </c>
      <c r="J28" s="14" t="s">
        <v>42</v>
      </c>
      <c r="L28" s="241"/>
      <c r="M28" s="6">
        <f>N28+O28+P28</f>
        <v>1355.3000000000002</v>
      </c>
      <c r="N28" s="6">
        <f>N17+N21</f>
        <v>1355.3000000000002</v>
      </c>
      <c r="O28" s="6">
        <f t="shared" ref="O28:P28" si="11">O17+O21</f>
        <v>0</v>
      </c>
      <c r="P28" s="6">
        <f t="shared" si="11"/>
        <v>0</v>
      </c>
      <c r="Q28" s="8">
        <f t="shared" si="7"/>
        <v>0</v>
      </c>
      <c r="R28" s="8">
        <f t="shared" si="7"/>
        <v>0</v>
      </c>
    </row>
    <row r="29" spans="2:18" ht="26.25" customHeight="1" x14ac:dyDescent="0.2">
      <c r="B29" s="245" t="s">
        <v>18</v>
      </c>
      <c r="C29" s="245"/>
      <c r="D29" s="245"/>
      <c r="E29" s="245"/>
      <c r="F29" s="245"/>
      <c r="G29" s="245"/>
      <c r="H29" s="245"/>
      <c r="I29" s="245"/>
      <c r="J29" s="245"/>
      <c r="L29" s="245" t="s">
        <v>18</v>
      </c>
      <c r="M29" s="245"/>
      <c r="N29" s="245"/>
      <c r="O29" s="245"/>
      <c r="P29" s="245"/>
      <c r="Q29" s="8"/>
      <c r="R29" s="8"/>
    </row>
    <row r="30" spans="2:18" ht="49.5" customHeight="1" x14ac:dyDescent="0.2">
      <c r="B30" s="7" t="s">
        <v>38</v>
      </c>
      <c r="C30" s="12" t="s">
        <v>19</v>
      </c>
      <c r="D30" s="14" t="s">
        <v>65</v>
      </c>
      <c r="E30" s="14" t="s">
        <v>10</v>
      </c>
      <c r="F30" s="6">
        <f>G30+H30+I30</f>
        <v>25572.899999999998</v>
      </c>
      <c r="G30" s="6">
        <v>8524.2999999999993</v>
      </c>
      <c r="H30" s="6">
        <v>8524.2999999999993</v>
      </c>
      <c r="I30" s="6">
        <v>8524.2999999999993</v>
      </c>
      <c r="J30" s="14" t="s">
        <v>70</v>
      </c>
      <c r="L30" s="7" t="s">
        <v>38</v>
      </c>
      <c r="M30" s="6">
        <f>N30+O30+P30</f>
        <v>25572.899999999998</v>
      </c>
      <c r="N30" s="6">
        <v>8524.2999999999993</v>
      </c>
      <c r="O30" s="6">
        <v>8524.2999999999993</v>
      </c>
      <c r="P30" s="6">
        <v>8524.2999999999993</v>
      </c>
      <c r="Q30" s="8">
        <f t="shared" ref="Q30:R34" si="12">F30-M30</f>
        <v>0</v>
      </c>
      <c r="R30" s="8">
        <f t="shared" si="12"/>
        <v>0</v>
      </c>
    </row>
    <row r="31" spans="2:18" ht="49.5" customHeight="1" x14ac:dyDescent="0.2">
      <c r="B31" s="14"/>
      <c r="C31" s="12" t="s">
        <v>20</v>
      </c>
      <c r="D31" s="14" t="s">
        <v>65</v>
      </c>
      <c r="E31" s="14"/>
      <c r="F31" s="6">
        <f>G31+H31+I31</f>
        <v>25572.899999999998</v>
      </c>
      <c r="G31" s="6">
        <f>G30</f>
        <v>8524.2999999999993</v>
      </c>
      <c r="H31" s="6">
        <f t="shared" ref="H31:I31" si="13">H30</f>
        <v>8524.2999999999993</v>
      </c>
      <c r="I31" s="6">
        <f t="shared" si="13"/>
        <v>8524.2999999999993</v>
      </c>
      <c r="J31" s="14" t="s">
        <v>70</v>
      </c>
      <c r="L31" s="14"/>
      <c r="M31" s="6">
        <f>N31+O31+P31</f>
        <v>25572.899999999998</v>
      </c>
      <c r="N31" s="6">
        <f>N30</f>
        <v>8524.2999999999993</v>
      </c>
      <c r="O31" s="6">
        <f t="shared" ref="O31:P31" si="14">O30</f>
        <v>8524.2999999999993</v>
      </c>
      <c r="P31" s="6">
        <f t="shared" si="14"/>
        <v>8524.2999999999993</v>
      </c>
      <c r="Q31" s="8">
        <f t="shared" si="12"/>
        <v>0</v>
      </c>
      <c r="R31" s="8">
        <f t="shared" si="12"/>
        <v>0</v>
      </c>
    </row>
    <row r="32" spans="2:18" ht="12.75" customHeight="1" x14ac:dyDescent="0.2">
      <c r="B32" s="252"/>
      <c r="C32" s="242" t="s">
        <v>21</v>
      </c>
      <c r="D32" s="255"/>
      <c r="E32" s="239" t="s">
        <v>10</v>
      </c>
      <c r="F32" s="6">
        <f>G32+H32+I32</f>
        <v>57958.19999999999</v>
      </c>
      <c r="G32" s="6">
        <f>G33+G34</f>
        <v>20553.999999999996</v>
      </c>
      <c r="H32" s="6">
        <f t="shared" ref="H32" si="15">H33+H34</f>
        <v>18702.099999999999</v>
      </c>
      <c r="I32" s="6">
        <f>I33+I34</f>
        <v>18702.099999999999</v>
      </c>
      <c r="J32" s="14" t="s">
        <v>25</v>
      </c>
      <c r="L32" s="252"/>
      <c r="M32" s="6">
        <f>N32+O32+P32</f>
        <v>56481.9</v>
      </c>
      <c r="N32" s="6">
        <f>N33+N34</f>
        <v>19077.7</v>
      </c>
      <c r="O32" s="6">
        <f t="shared" ref="O32" si="16">O33+O34</f>
        <v>18702.099999999999</v>
      </c>
      <c r="P32" s="6">
        <f>P33+P34</f>
        <v>18702.099999999999</v>
      </c>
      <c r="Q32" s="8">
        <f t="shared" si="12"/>
        <v>1476.2999999999884</v>
      </c>
      <c r="R32" s="8">
        <f t="shared" si="12"/>
        <v>1476.2999999999956</v>
      </c>
    </row>
    <row r="33" spans="2:18" ht="38.25" customHeight="1" x14ac:dyDescent="0.2">
      <c r="B33" s="253"/>
      <c r="C33" s="243"/>
      <c r="D33" s="256"/>
      <c r="E33" s="240"/>
      <c r="F33" s="6">
        <f>G33+H33+I33</f>
        <v>56602.899999999994</v>
      </c>
      <c r="G33" s="6">
        <f>G31+G27</f>
        <v>19198.699999999997</v>
      </c>
      <c r="H33" s="6">
        <f>H31+H27</f>
        <v>18702.099999999999</v>
      </c>
      <c r="I33" s="6">
        <f>I31+I27</f>
        <v>18702.099999999999</v>
      </c>
      <c r="J33" s="14" t="s">
        <v>70</v>
      </c>
      <c r="L33" s="253"/>
      <c r="M33" s="6">
        <f>N33+O33+P33</f>
        <v>55126.6</v>
      </c>
      <c r="N33" s="6">
        <f>N31+N27</f>
        <v>17722.400000000001</v>
      </c>
      <c r="O33" s="6">
        <f>O31+O27</f>
        <v>18702.099999999999</v>
      </c>
      <c r="P33" s="6">
        <f>P31+P27</f>
        <v>18702.099999999999</v>
      </c>
      <c r="Q33" s="8">
        <f t="shared" si="12"/>
        <v>1476.2999999999956</v>
      </c>
      <c r="R33" s="8">
        <f t="shared" si="12"/>
        <v>1476.2999999999956</v>
      </c>
    </row>
    <row r="34" spans="2:18" ht="26.25" customHeight="1" x14ac:dyDescent="0.2">
      <c r="B34" s="254"/>
      <c r="C34" s="244"/>
      <c r="D34" s="257"/>
      <c r="E34" s="241"/>
      <c r="F34" s="6">
        <f>G34+H34+I34</f>
        <v>1355.3000000000002</v>
      </c>
      <c r="G34" s="6">
        <f>G28</f>
        <v>1355.3000000000002</v>
      </c>
      <c r="H34" s="6">
        <f t="shared" ref="H34" si="17">H28</f>
        <v>0</v>
      </c>
      <c r="I34" s="6">
        <f>I28</f>
        <v>0</v>
      </c>
      <c r="J34" s="14" t="s">
        <v>42</v>
      </c>
      <c r="L34" s="254"/>
      <c r="M34" s="6">
        <f>N34+O34+P34</f>
        <v>1355.3000000000002</v>
      </c>
      <c r="N34" s="6">
        <f>N28</f>
        <v>1355.3000000000002</v>
      </c>
      <c r="O34" s="6">
        <f t="shared" ref="O34" si="18">O28</f>
        <v>0</v>
      </c>
      <c r="P34" s="6">
        <f>P28</f>
        <v>0</v>
      </c>
      <c r="Q34" s="8">
        <f t="shared" si="12"/>
        <v>0</v>
      </c>
      <c r="R34" s="8">
        <f t="shared" si="12"/>
        <v>0</v>
      </c>
    </row>
    <row r="35" spans="2:18" ht="24.75" customHeight="1" x14ac:dyDescent="0.2">
      <c r="B35" s="246" t="s">
        <v>59</v>
      </c>
      <c r="C35" s="247"/>
      <c r="D35" s="247"/>
      <c r="E35" s="247"/>
      <c r="F35" s="247"/>
      <c r="G35" s="247"/>
      <c r="H35" s="247"/>
      <c r="I35" s="247"/>
      <c r="J35" s="248"/>
      <c r="L35" s="246" t="s">
        <v>59</v>
      </c>
      <c r="M35" s="247"/>
      <c r="N35" s="247"/>
      <c r="O35" s="247"/>
      <c r="P35" s="247"/>
      <c r="Q35" s="8"/>
      <c r="R35" s="8"/>
    </row>
    <row r="36" spans="2:18" ht="27" customHeight="1" x14ac:dyDescent="0.2">
      <c r="B36" s="246" t="s">
        <v>56</v>
      </c>
      <c r="C36" s="247"/>
      <c r="D36" s="247"/>
      <c r="E36" s="247"/>
      <c r="F36" s="247"/>
      <c r="G36" s="247"/>
      <c r="H36" s="247"/>
      <c r="I36" s="247"/>
      <c r="J36" s="248"/>
      <c r="L36" s="246" t="s">
        <v>56</v>
      </c>
      <c r="M36" s="247"/>
      <c r="N36" s="247"/>
      <c r="O36" s="247"/>
      <c r="P36" s="247"/>
      <c r="Q36" s="8"/>
      <c r="R36" s="8"/>
    </row>
    <row r="37" spans="2:18" ht="25.5" customHeight="1" x14ac:dyDescent="0.2">
      <c r="B37" s="14" t="s">
        <v>39</v>
      </c>
      <c r="C37" s="12" t="s">
        <v>57</v>
      </c>
      <c r="D37" s="14" t="s">
        <v>53</v>
      </c>
      <c r="E37" s="14" t="s">
        <v>10</v>
      </c>
      <c r="F37" s="6">
        <f>G37+H37+I37</f>
        <v>50</v>
      </c>
      <c r="G37" s="6">
        <v>50</v>
      </c>
      <c r="H37" s="6">
        <v>0</v>
      </c>
      <c r="I37" s="6">
        <v>0</v>
      </c>
      <c r="J37" s="14" t="s">
        <v>42</v>
      </c>
      <c r="L37" s="14" t="s">
        <v>39</v>
      </c>
      <c r="M37" s="6">
        <f>N37+O37+P37</f>
        <v>50</v>
      </c>
      <c r="N37" s="6">
        <v>50</v>
      </c>
      <c r="O37" s="6">
        <v>0</v>
      </c>
      <c r="P37" s="6">
        <v>0</v>
      </c>
      <c r="Q37" s="8">
        <f t="shared" ref="Q37:R39" si="19">F37-M37</f>
        <v>0</v>
      </c>
      <c r="R37" s="8">
        <f t="shared" si="19"/>
        <v>0</v>
      </c>
    </row>
    <row r="38" spans="2:18" ht="26.25" customHeight="1" x14ac:dyDescent="0.2">
      <c r="B38" s="13"/>
      <c r="C38" s="12" t="s">
        <v>24</v>
      </c>
      <c r="D38" s="14" t="s">
        <v>53</v>
      </c>
      <c r="E38" s="14" t="s">
        <v>10</v>
      </c>
      <c r="F38" s="6">
        <f>F37</f>
        <v>50</v>
      </c>
      <c r="G38" s="6">
        <f>G37</f>
        <v>50</v>
      </c>
      <c r="H38" s="6">
        <f t="shared" ref="H38:I39" si="20">H37</f>
        <v>0</v>
      </c>
      <c r="I38" s="6">
        <f t="shared" si="20"/>
        <v>0</v>
      </c>
      <c r="J38" s="14" t="s">
        <v>42</v>
      </c>
      <c r="L38" s="13"/>
      <c r="M38" s="6">
        <f>M37</f>
        <v>50</v>
      </c>
      <c r="N38" s="6">
        <f>N37</f>
        <v>50</v>
      </c>
      <c r="O38" s="6">
        <f t="shared" ref="O38:P39" si="21">O37</f>
        <v>0</v>
      </c>
      <c r="P38" s="6">
        <f t="shared" si="21"/>
        <v>0</v>
      </c>
      <c r="Q38" s="8">
        <f t="shared" si="19"/>
        <v>0</v>
      </c>
      <c r="R38" s="8">
        <f t="shared" si="19"/>
        <v>0</v>
      </c>
    </row>
    <row r="39" spans="2:18" ht="27" customHeight="1" x14ac:dyDescent="0.2">
      <c r="B39" s="13"/>
      <c r="C39" s="12" t="s">
        <v>27</v>
      </c>
      <c r="D39" s="14" t="s">
        <v>53</v>
      </c>
      <c r="E39" s="14" t="s">
        <v>10</v>
      </c>
      <c r="F39" s="6">
        <f>F38</f>
        <v>50</v>
      </c>
      <c r="G39" s="6">
        <f>G38</f>
        <v>50</v>
      </c>
      <c r="H39" s="6">
        <f t="shared" si="20"/>
        <v>0</v>
      </c>
      <c r="I39" s="6">
        <f t="shared" si="20"/>
        <v>0</v>
      </c>
      <c r="J39" s="14" t="s">
        <v>42</v>
      </c>
      <c r="L39" s="13"/>
      <c r="M39" s="6">
        <f>M38</f>
        <v>50</v>
      </c>
      <c r="N39" s="6">
        <f>N38</f>
        <v>50</v>
      </c>
      <c r="O39" s="6">
        <f t="shared" si="21"/>
        <v>0</v>
      </c>
      <c r="P39" s="6">
        <f t="shared" si="21"/>
        <v>0</v>
      </c>
      <c r="Q39" s="8">
        <f t="shared" si="19"/>
        <v>0</v>
      </c>
      <c r="R39" s="8">
        <f t="shared" si="19"/>
        <v>0</v>
      </c>
    </row>
    <row r="40" spans="2:18" ht="27" customHeight="1" x14ac:dyDescent="0.2">
      <c r="B40" s="246" t="s">
        <v>64</v>
      </c>
      <c r="C40" s="247"/>
      <c r="D40" s="247"/>
      <c r="E40" s="247"/>
      <c r="F40" s="247"/>
      <c r="G40" s="247"/>
      <c r="H40" s="247"/>
      <c r="I40" s="247"/>
      <c r="J40" s="248"/>
      <c r="L40" s="246" t="s">
        <v>64</v>
      </c>
      <c r="M40" s="247"/>
      <c r="N40" s="247"/>
      <c r="O40" s="247"/>
      <c r="P40" s="247"/>
      <c r="Q40" s="8"/>
      <c r="R40" s="8"/>
    </row>
    <row r="41" spans="2:18" ht="26.25" customHeight="1" x14ac:dyDescent="0.2">
      <c r="B41" s="246" t="s">
        <v>44</v>
      </c>
      <c r="C41" s="247"/>
      <c r="D41" s="247"/>
      <c r="E41" s="247"/>
      <c r="F41" s="247"/>
      <c r="G41" s="247"/>
      <c r="H41" s="247"/>
      <c r="I41" s="247"/>
      <c r="J41" s="248"/>
      <c r="L41" s="246" t="s">
        <v>44</v>
      </c>
      <c r="M41" s="247"/>
      <c r="N41" s="247"/>
      <c r="O41" s="247"/>
      <c r="P41" s="247"/>
      <c r="Q41" s="8"/>
      <c r="R41" s="8"/>
    </row>
    <row r="42" spans="2:18" ht="27.75" customHeight="1" x14ac:dyDescent="0.2">
      <c r="B42" s="245" t="s">
        <v>45</v>
      </c>
      <c r="C42" s="245"/>
      <c r="D42" s="245"/>
      <c r="E42" s="245"/>
      <c r="F42" s="245"/>
      <c r="G42" s="245"/>
      <c r="H42" s="245"/>
      <c r="I42" s="245"/>
      <c r="J42" s="245"/>
      <c r="L42" s="245" t="s">
        <v>45</v>
      </c>
      <c r="M42" s="245"/>
      <c r="N42" s="245"/>
      <c r="O42" s="245"/>
      <c r="P42" s="245"/>
      <c r="Q42" s="8"/>
      <c r="R42" s="8"/>
    </row>
    <row r="43" spans="2:18" ht="38.25" x14ac:dyDescent="0.2">
      <c r="B43" s="7" t="s">
        <v>40</v>
      </c>
      <c r="C43" s="12" t="s">
        <v>75</v>
      </c>
      <c r="D43" s="14" t="s">
        <v>22</v>
      </c>
      <c r="E43" s="14" t="s">
        <v>10</v>
      </c>
      <c r="F43" s="238" t="s">
        <v>16</v>
      </c>
      <c r="G43" s="238"/>
      <c r="H43" s="238"/>
      <c r="I43" s="238"/>
      <c r="J43" s="238"/>
      <c r="L43" s="7" t="s">
        <v>40</v>
      </c>
      <c r="M43" s="238" t="s">
        <v>16</v>
      </c>
      <c r="N43" s="238"/>
      <c r="O43" s="238"/>
      <c r="P43" s="238"/>
      <c r="Q43" s="8"/>
      <c r="R43" s="8"/>
    </row>
    <row r="44" spans="2:18" ht="38.25" x14ac:dyDescent="0.2">
      <c r="B44" s="7" t="s">
        <v>41</v>
      </c>
      <c r="C44" s="12" t="s">
        <v>79</v>
      </c>
      <c r="D44" s="14" t="s">
        <v>22</v>
      </c>
      <c r="E44" s="14" t="s">
        <v>10</v>
      </c>
      <c r="F44" s="6">
        <f>G44+H44+I44</f>
        <v>20</v>
      </c>
      <c r="G44" s="6">
        <v>10</v>
      </c>
      <c r="H44" s="6">
        <v>0</v>
      </c>
      <c r="I44" s="6">
        <v>10</v>
      </c>
      <c r="J44" s="14" t="s">
        <v>70</v>
      </c>
      <c r="L44" s="7" t="s">
        <v>41</v>
      </c>
      <c r="M44" s="6">
        <f>N44+O44+P44</f>
        <v>20</v>
      </c>
      <c r="N44" s="6">
        <v>10</v>
      </c>
      <c r="O44" s="6">
        <v>0</v>
      </c>
      <c r="P44" s="6">
        <v>10</v>
      </c>
      <c r="Q44" s="8">
        <f t="shared" ref="Q44:R49" si="22">F44-M44</f>
        <v>0</v>
      </c>
      <c r="R44" s="8">
        <f t="shared" si="22"/>
        <v>0</v>
      </c>
    </row>
    <row r="45" spans="2:18" ht="38.25" x14ac:dyDescent="0.2">
      <c r="B45" s="7" t="s">
        <v>46</v>
      </c>
      <c r="C45" s="12" t="s">
        <v>23</v>
      </c>
      <c r="D45" s="14" t="s">
        <v>22</v>
      </c>
      <c r="E45" s="14" t="s">
        <v>10</v>
      </c>
      <c r="F45" s="6">
        <f t="shared" ref="F45:F46" si="23">G45+H45+I45</f>
        <v>40</v>
      </c>
      <c r="G45" s="6">
        <v>0</v>
      </c>
      <c r="H45" s="6">
        <v>40</v>
      </c>
      <c r="I45" s="6">
        <v>0</v>
      </c>
      <c r="J45" s="14" t="s">
        <v>71</v>
      </c>
      <c r="L45" s="7" t="s">
        <v>46</v>
      </c>
      <c r="M45" s="6">
        <f t="shared" ref="M45:M46" si="24">N45+O45+P45</f>
        <v>40</v>
      </c>
      <c r="N45" s="6">
        <v>0</v>
      </c>
      <c r="O45" s="6">
        <v>40</v>
      </c>
      <c r="P45" s="6">
        <v>0</v>
      </c>
      <c r="Q45" s="8">
        <f t="shared" si="22"/>
        <v>0</v>
      </c>
      <c r="R45" s="8">
        <f t="shared" si="22"/>
        <v>0</v>
      </c>
    </row>
    <row r="46" spans="2:18" ht="51" x14ac:dyDescent="0.2">
      <c r="B46" s="7" t="s">
        <v>47</v>
      </c>
      <c r="C46" s="12" t="s">
        <v>76</v>
      </c>
      <c r="D46" s="14" t="s">
        <v>22</v>
      </c>
      <c r="E46" s="14" t="s">
        <v>10</v>
      </c>
      <c r="F46" s="6">
        <f t="shared" si="23"/>
        <v>8908.5</v>
      </c>
      <c r="G46" s="6">
        <v>2969.5</v>
      </c>
      <c r="H46" s="6">
        <v>2969.5</v>
      </c>
      <c r="I46" s="6">
        <v>2969.5</v>
      </c>
      <c r="J46" s="14" t="s">
        <v>54</v>
      </c>
      <c r="L46" s="7" t="s">
        <v>47</v>
      </c>
      <c r="M46" s="6">
        <f t="shared" si="24"/>
        <v>8908.5</v>
      </c>
      <c r="N46" s="6">
        <v>2969.5</v>
      </c>
      <c r="O46" s="6">
        <v>2969.5</v>
      </c>
      <c r="P46" s="6">
        <v>2969.5</v>
      </c>
      <c r="Q46" s="8">
        <f t="shared" si="22"/>
        <v>0</v>
      </c>
      <c r="R46" s="8">
        <f t="shared" si="22"/>
        <v>0</v>
      </c>
    </row>
    <row r="47" spans="2:18" ht="12.75" customHeight="1" x14ac:dyDescent="0.2">
      <c r="B47" s="238"/>
      <c r="C47" s="242" t="s">
        <v>48</v>
      </c>
      <c r="D47" s="238" t="s">
        <v>22</v>
      </c>
      <c r="E47" s="238" t="s">
        <v>10</v>
      </c>
      <c r="F47" s="6">
        <f>F46+F45+F44</f>
        <v>8968.5</v>
      </c>
      <c r="G47" s="6">
        <f t="shared" ref="G47:I47" si="25">G46+G45+G44</f>
        <v>2979.5</v>
      </c>
      <c r="H47" s="6">
        <f t="shared" si="25"/>
        <v>3009.5</v>
      </c>
      <c r="I47" s="6">
        <f t="shared" si="25"/>
        <v>2979.5</v>
      </c>
      <c r="J47" s="14" t="s">
        <v>25</v>
      </c>
      <c r="L47" s="238"/>
      <c r="M47" s="6">
        <f>M46+M45+M44</f>
        <v>8968.5</v>
      </c>
      <c r="N47" s="6">
        <f t="shared" ref="N47:P47" si="26">N46+N45+N44</f>
        <v>2979.5</v>
      </c>
      <c r="O47" s="6">
        <f t="shared" si="26"/>
        <v>3009.5</v>
      </c>
      <c r="P47" s="6">
        <f t="shared" si="26"/>
        <v>2979.5</v>
      </c>
      <c r="Q47" s="8">
        <f t="shared" si="22"/>
        <v>0</v>
      </c>
      <c r="R47" s="8">
        <f t="shared" si="22"/>
        <v>0</v>
      </c>
    </row>
    <row r="48" spans="2:18" ht="38.25" x14ac:dyDescent="0.2">
      <c r="B48" s="238"/>
      <c r="C48" s="243"/>
      <c r="D48" s="238"/>
      <c r="E48" s="238"/>
      <c r="F48" s="6">
        <f>F44+F45</f>
        <v>60</v>
      </c>
      <c r="G48" s="6">
        <f t="shared" ref="G48:I48" si="27">G44+G45</f>
        <v>10</v>
      </c>
      <c r="H48" s="6">
        <f t="shared" si="27"/>
        <v>40</v>
      </c>
      <c r="I48" s="6">
        <f t="shared" si="27"/>
        <v>10</v>
      </c>
      <c r="J48" s="14" t="s">
        <v>70</v>
      </c>
      <c r="L48" s="238"/>
      <c r="M48" s="6">
        <f>M44+M45</f>
        <v>60</v>
      </c>
      <c r="N48" s="6">
        <f t="shared" ref="N48:P48" si="28">N44+N45</f>
        <v>10</v>
      </c>
      <c r="O48" s="6">
        <f t="shared" si="28"/>
        <v>40</v>
      </c>
      <c r="P48" s="6">
        <f t="shared" si="28"/>
        <v>10</v>
      </c>
      <c r="Q48" s="8">
        <f t="shared" si="22"/>
        <v>0</v>
      </c>
      <c r="R48" s="8">
        <f t="shared" si="22"/>
        <v>0</v>
      </c>
    </row>
    <row r="49" spans="2:18" ht="25.5" x14ac:dyDescent="0.2">
      <c r="B49" s="238"/>
      <c r="C49" s="244"/>
      <c r="D49" s="238"/>
      <c r="E49" s="238"/>
      <c r="F49" s="6">
        <f>F46</f>
        <v>8908.5</v>
      </c>
      <c r="G49" s="6">
        <f t="shared" ref="G49:I49" si="29">G46</f>
        <v>2969.5</v>
      </c>
      <c r="H49" s="6">
        <f t="shared" si="29"/>
        <v>2969.5</v>
      </c>
      <c r="I49" s="6">
        <f t="shared" si="29"/>
        <v>2969.5</v>
      </c>
      <c r="J49" s="14" t="s">
        <v>54</v>
      </c>
      <c r="L49" s="238"/>
      <c r="M49" s="6">
        <f>M46</f>
        <v>8908.5</v>
      </c>
      <c r="N49" s="6">
        <f t="shared" ref="N49:P49" si="30">N46</f>
        <v>2969.5</v>
      </c>
      <c r="O49" s="6">
        <f t="shared" si="30"/>
        <v>2969.5</v>
      </c>
      <c r="P49" s="6">
        <f t="shared" si="30"/>
        <v>2969.5</v>
      </c>
      <c r="Q49" s="8">
        <f t="shared" si="22"/>
        <v>0</v>
      </c>
      <c r="R49" s="8">
        <f t="shared" si="22"/>
        <v>0</v>
      </c>
    </row>
    <row r="50" spans="2:18" ht="28.5" customHeight="1" x14ac:dyDescent="0.2">
      <c r="B50" s="245" t="s">
        <v>49</v>
      </c>
      <c r="C50" s="245"/>
      <c r="D50" s="245"/>
      <c r="E50" s="245"/>
      <c r="F50" s="245"/>
      <c r="G50" s="245"/>
      <c r="H50" s="245"/>
      <c r="I50" s="245"/>
      <c r="J50" s="245"/>
      <c r="L50" s="245" t="s">
        <v>49</v>
      </c>
      <c r="M50" s="245"/>
      <c r="N50" s="245"/>
      <c r="O50" s="245"/>
      <c r="P50" s="245"/>
      <c r="Q50" s="8"/>
      <c r="R50" s="8"/>
    </row>
    <row r="51" spans="2:18" ht="31.5" customHeight="1" x14ac:dyDescent="0.2">
      <c r="B51" s="7" t="s">
        <v>50</v>
      </c>
      <c r="C51" s="12" t="s">
        <v>77</v>
      </c>
      <c r="D51" s="14" t="s">
        <v>22</v>
      </c>
      <c r="E51" s="14" t="s">
        <v>10</v>
      </c>
      <c r="F51" s="238" t="s">
        <v>16</v>
      </c>
      <c r="G51" s="238"/>
      <c r="H51" s="238"/>
      <c r="I51" s="238"/>
      <c r="J51" s="238"/>
      <c r="L51" s="7" t="s">
        <v>50</v>
      </c>
      <c r="M51" s="238" t="s">
        <v>16</v>
      </c>
      <c r="N51" s="238"/>
      <c r="O51" s="238"/>
      <c r="P51" s="238"/>
      <c r="Q51" s="8"/>
      <c r="R51" s="8"/>
    </row>
    <row r="52" spans="2:18" ht="51" x14ac:dyDescent="0.2">
      <c r="B52" s="7" t="s">
        <v>51</v>
      </c>
      <c r="C52" s="12" t="s">
        <v>26</v>
      </c>
      <c r="D52" s="14" t="s">
        <v>22</v>
      </c>
      <c r="E52" s="14" t="s">
        <v>10</v>
      </c>
      <c r="F52" s="238" t="s">
        <v>16</v>
      </c>
      <c r="G52" s="238"/>
      <c r="H52" s="238"/>
      <c r="I52" s="238"/>
      <c r="J52" s="238"/>
      <c r="L52" s="7" t="s">
        <v>51</v>
      </c>
      <c r="M52" s="238" t="s">
        <v>16</v>
      </c>
      <c r="N52" s="238"/>
      <c r="O52" s="238"/>
      <c r="P52" s="238"/>
      <c r="Q52" s="8"/>
      <c r="R52" s="8"/>
    </row>
    <row r="53" spans="2:18" ht="15.75" customHeight="1" x14ac:dyDescent="0.2">
      <c r="B53" s="258"/>
      <c r="C53" s="245" t="s">
        <v>52</v>
      </c>
      <c r="D53" s="238" t="s">
        <v>22</v>
      </c>
      <c r="E53" s="238" t="s">
        <v>10</v>
      </c>
      <c r="F53" s="6">
        <f>F47</f>
        <v>8968.5</v>
      </c>
      <c r="G53" s="6">
        <f t="shared" ref="G53:I53" si="31">G47</f>
        <v>2979.5</v>
      </c>
      <c r="H53" s="6">
        <f t="shared" si="31"/>
        <v>3009.5</v>
      </c>
      <c r="I53" s="6">
        <f t="shared" si="31"/>
        <v>2979.5</v>
      </c>
      <c r="J53" s="14" t="s">
        <v>25</v>
      </c>
      <c r="L53" s="258"/>
      <c r="M53" s="6">
        <f>M47</f>
        <v>8968.5</v>
      </c>
      <c r="N53" s="6">
        <f t="shared" ref="N53:P53" si="32">N47</f>
        <v>2979.5</v>
      </c>
      <c r="O53" s="6">
        <f t="shared" si="32"/>
        <v>3009.5</v>
      </c>
      <c r="P53" s="6">
        <f t="shared" si="32"/>
        <v>2979.5</v>
      </c>
      <c r="Q53" s="8">
        <f t="shared" ref="Q53:Q67" si="33">F53-M53</f>
        <v>0</v>
      </c>
      <c r="R53" s="8">
        <f t="shared" ref="R53:R67" si="34">G53-N53</f>
        <v>0</v>
      </c>
    </row>
    <row r="54" spans="2:18" ht="42" customHeight="1" x14ac:dyDescent="0.2">
      <c r="B54" s="258"/>
      <c r="C54" s="245"/>
      <c r="D54" s="238"/>
      <c r="E54" s="238"/>
      <c r="F54" s="6">
        <f t="shared" ref="F54:I55" si="35">F48</f>
        <v>60</v>
      </c>
      <c r="G54" s="6">
        <f t="shared" si="35"/>
        <v>10</v>
      </c>
      <c r="H54" s="6">
        <f t="shared" si="35"/>
        <v>40</v>
      </c>
      <c r="I54" s="6">
        <f t="shared" si="35"/>
        <v>10</v>
      </c>
      <c r="J54" s="14" t="s">
        <v>70</v>
      </c>
      <c r="L54" s="258"/>
      <c r="M54" s="6">
        <f t="shared" ref="M54:P55" si="36">M48</f>
        <v>60</v>
      </c>
      <c r="N54" s="6">
        <f t="shared" si="36"/>
        <v>10</v>
      </c>
      <c r="O54" s="6">
        <f t="shared" si="36"/>
        <v>40</v>
      </c>
      <c r="P54" s="6">
        <f t="shared" si="36"/>
        <v>10</v>
      </c>
      <c r="Q54" s="8">
        <f t="shared" si="33"/>
        <v>0</v>
      </c>
      <c r="R54" s="8">
        <f t="shared" si="34"/>
        <v>0</v>
      </c>
    </row>
    <row r="55" spans="2:18" ht="25.5" x14ac:dyDescent="0.2">
      <c r="B55" s="258"/>
      <c r="C55" s="245"/>
      <c r="D55" s="238"/>
      <c r="E55" s="238"/>
      <c r="F55" s="6">
        <f t="shared" si="35"/>
        <v>8908.5</v>
      </c>
      <c r="G55" s="6">
        <f t="shared" si="35"/>
        <v>2969.5</v>
      </c>
      <c r="H55" s="6">
        <f t="shared" si="35"/>
        <v>2969.5</v>
      </c>
      <c r="I55" s="6">
        <f t="shared" si="35"/>
        <v>2969.5</v>
      </c>
      <c r="J55" s="14" t="s">
        <v>54</v>
      </c>
      <c r="L55" s="258"/>
      <c r="M55" s="6">
        <f t="shared" si="36"/>
        <v>8908.5</v>
      </c>
      <c r="N55" s="6">
        <f t="shared" si="36"/>
        <v>2969.5</v>
      </c>
      <c r="O55" s="6">
        <f t="shared" si="36"/>
        <v>2969.5</v>
      </c>
      <c r="P55" s="6">
        <f t="shared" si="36"/>
        <v>2969.5</v>
      </c>
      <c r="Q55" s="8">
        <f t="shared" si="33"/>
        <v>0</v>
      </c>
      <c r="R55" s="8">
        <f t="shared" si="34"/>
        <v>0</v>
      </c>
    </row>
    <row r="56" spans="2:18" ht="34.5" customHeight="1" x14ac:dyDescent="0.2">
      <c r="B56" s="259"/>
      <c r="C56" s="245" t="s">
        <v>55</v>
      </c>
      <c r="D56" s="258"/>
      <c r="E56" s="238" t="s">
        <v>10</v>
      </c>
      <c r="F56" s="6">
        <f>F32+F39+F53</f>
        <v>66976.699999999983</v>
      </c>
      <c r="G56" s="6">
        <f>G32+G39+G53</f>
        <v>23583.499999999996</v>
      </c>
      <c r="H56" s="6">
        <f>H32+H39+H53</f>
        <v>21711.599999999999</v>
      </c>
      <c r="I56" s="6">
        <f>I32+I39+I53</f>
        <v>21681.599999999999</v>
      </c>
      <c r="J56" s="14" t="s">
        <v>25</v>
      </c>
      <c r="L56" s="259"/>
      <c r="M56" s="6">
        <f>M32+M39+M53</f>
        <v>65500.4</v>
      </c>
      <c r="N56" s="6">
        <f>N32+N39+N53</f>
        <v>22107.200000000001</v>
      </c>
      <c r="O56" s="6">
        <f>O32+O39+O53</f>
        <v>21711.599999999999</v>
      </c>
      <c r="P56" s="6">
        <f>P32+P39+P53</f>
        <v>21681.599999999999</v>
      </c>
      <c r="Q56" s="8">
        <f t="shared" si="33"/>
        <v>1476.2999999999811</v>
      </c>
      <c r="R56" s="8">
        <f t="shared" si="34"/>
        <v>1476.2999999999956</v>
      </c>
    </row>
    <row r="57" spans="2:18" ht="44.25" customHeight="1" x14ac:dyDescent="0.2">
      <c r="B57" s="259"/>
      <c r="C57" s="245"/>
      <c r="D57" s="258"/>
      <c r="E57" s="238"/>
      <c r="F57" s="6">
        <f>F33+F54</f>
        <v>56662.899999999994</v>
      </c>
      <c r="G57" s="6">
        <f>G33+G54</f>
        <v>19208.699999999997</v>
      </c>
      <c r="H57" s="6">
        <f>H33+H54</f>
        <v>18742.099999999999</v>
      </c>
      <c r="I57" s="6">
        <f>I33+I54</f>
        <v>18712.099999999999</v>
      </c>
      <c r="J57" s="14" t="s">
        <v>70</v>
      </c>
      <c r="L57" s="259"/>
      <c r="M57" s="6">
        <f>M33+M54</f>
        <v>55186.6</v>
      </c>
      <c r="N57" s="6">
        <f>N33+N54</f>
        <v>17732.400000000001</v>
      </c>
      <c r="O57" s="6">
        <f>O33+O54</f>
        <v>18742.099999999999</v>
      </c>
      <c r="P57" s="6">
        <f>P33+P54</f>
        <v>18712.099999999999</v>
      </c>
      <c r="Q57" s="8">
        <f t="shared" si="33"/>
        <v>1476.2999999999956</v>
      </c>
      <c r="R57" s="8">
        <f t="shared" si="34"/>
        <v>1476.2999999999956</v>
      </c>
    </row>
    <row r="58" spans="2:18" ht="31.5" customHeight="1" x14ac:dyDescent="0.2">
      <c r="B58" s="259"/>
      <c r="C58" s="245"/>
      <c r="D58" s="258"/>
      <c r="E58" s="238"/>
      <c r="F58" s="6">
        <f>F34+F39+F55</f>
        <v>10313.799999999999</v>
      </c>
      <c r="G58" s="6">
        <f>G34+G39+G55</f>
        <v>4374.8</v>
      </c>
      <c r="H58" s="6">
        <f>H34+H39+H55</f>
        <v>2969.5</v>
      </c>
      <c r="I58" s="6">
        <f>I34+I39+I55</f>
        <v>2969.5</v>
      </c>
      <c r="J58" s="14" t="s">
        <v>54</v>
      </c>
      <c r="L58" s="259"/>
      <c r="M58" s="6">
        <f>M34+M39+M55</f>
        <v>10313.799999999999</v>
      </c>
      <c r="N58" s="6">
        <f>N34+N39+N55</f>
        <v>4374.8</v>
      </c>
      <c r="O58" s="6">
        <f>O34+O39+O55</f>
        <v>2969.5</v>
      </c>
      <c r="P58" s="6">
        <f>P34+P39+P55</f>
        <v>2969.5</v>
      </c>
      <c r="Q58" s="8">
        <f t="shared" si="33"/>
        <v>0</v>
      </c>
      <c r="R58" s="8">
        <f t="shared" si="34"/>
        <v>0</v>
      </c>
    </row>
    <row r="59" spans="2:18" ht="13.5" customHeight="1" x14ac:dyDescent="0.2">
      <c r="B59" s="15"/>
      <c r="C59" s="12" t="s">
        <v>67</v>
      </c>
      <c r="D59" s="15"/>
      <c r="E59" s="15"/>
      <c r="F59" s="3"/>
      <c r="G59" s="3"/>
      <c r="H59" s="3"/>
      <c r="I59" s="3"/>
      <c r="J59" s="15"/>
      <c r="L59" s="15"/>
      <c r="M59" s="3"/>
      <c r="N59" s="3"/>
      <c r="O59" s="3"/>
      <c r="P59" s="3"/>
      <c r="Q59" s="8">
        <f t="shared" si="33"/>
        <v>0</v>
      </c>
      <c r="R59" s="8">
        <f t="shared" si="34"/>
        <v>0</v>
      </c>
    </row>
    <row r="60" spans="2:18" ht="12.75" customHeight="1" x14ac:dyDescent="0.2">
      <c r="B60" s="258"/>
      <c r="C60" s="245" t="s">
        <v>28</v>
      </c>
      <c r="D60" s="258"/>
      <c r="E60" s="238" t="s">
        <v>10</v>
      </c>
      <c r="F60" s="6">
        <f>F47</f>
        <v>8968.5</v>
      </c>
      <c r="G60" s="6">
        <f t="shared" ref="G60:H60" si="37">G47</f>
        <v>2979.5</v>
      </c>
      <c r="H60" s="6">
        <f t="shared" si="37"/>
        <v>3009.5</v>
      </c>
      <c r="I60" s="6">
        <f>I47</f>
        <v>2979.5</v>
      </c>
      <c r="J60" s="14" t="s">
        <v>25</v>
      </c>
      <c r="L60" s="258"/>
      <c r="M60" s="6">
        <f>M47</f>
        <v>8968.5</v>
      </c>
      <c r="N60" s="6">
        <f t="shared" ref="N60:O60" si="38">N47</f>
        <v>2979.5</v>
      </c>
      <c r="O60" s="6">
        <f t="shared" si="38"/>
        <v>3009.5</v>
      </c>
      <c r="P60" s="6">
        <f>P47</f>
        <v>2979.5</v>
      </c>
      <c r="Q60" s="8">
        <f t="shared" si="33"/>
        <v>0</v>
      </c>
      <c r="R60" s="8">
        <f t="shared" si="34"/>
        <v>0</v>
      </c>
    </row>
    <row r="61" spans="2:18" ht="38.25" x14ac:dyDescent="0.2">
      <c r="B61" s="258"/>
      <c r="C61" s="245"/>
      <c r="D61" s="258"/>
      <c r="E61" s="238"/>
      <c r="F61" s="6">
        <f t="shared" ref="F61:I62" si="39">F48</f>
        <v>60</v>
      </c>
      <c r="G61" s="6">
        <f t="shared" si="39"/>
        <v>10</v>
      </c>
      <c r="H61" s="6">
        <f t="shared" si="39"/>
        <v>40</v>
      </c>
      <c r="I61" s="6">
        <f t="shared" si="39"/>
        <v>10</v>
      </c>
      <c r="J61" s="14" t="s">
        <v>70</v>
      </c>
      <c r="L61" s="258"/>
      <c r="M61" s="6">
        <f t="shared" ref="M61:P62" si="40">M48</f>
        <v>60</v>
      </c>
      <c r="N61" s="6">
        <f t="shared" si="40"/>
        <v>10</v>
      </c>
      <c r="O61" s="6">
        <f t="shared" si="40"/>
        <v>40</v>
      </c>
      <c r="P61" s="6">
        <f t="shared" si="40"/>
        <v>10</v>
      </c>
      <c r="Q61" s="8">
        <f t="shared" si="33"/>
        <v>0</v>
      </c>
      <c r="R61" s="8">
        <f t="shared" si="34"/>
        <v>0</v>
      </c>
    </row>
    <row r="62" spans="2:18" ht="25.5" x14ac:dyDescent="0.2">
      <c r="B62" s="258"/>
      <c r="C62" s="245"/>
      <c r="D62" s="258"/>
      <c r="E62" s="238"/>
      <c r="F62" s="6">
        <f t="shared" si="39"/>
        <v>8908.5</v>
      </c>
      <c r="G62" s="6">
        <f t="shared" si="39"/>
        <v>2969.5</v>
      </c>
      <c r="H62" s="6">
        <f t="shared" si="39"/>
        <v>2969.5</v>
      </c>
      <c r="I62" s="6">
        <f>I49</f>
        <v>2969.5</v>
      </c>
      <c r="J62" s="14" t="s">
        <v>54</v>
      </c>
      <c r="L62" s="258"/>
      <c r="M62" s="6">
        <f t="shared" si="40"/>
        <v>8908.5</v>
      </c>
      <c r="N62" s="6">
        <f t="shared" si="40"/>
        <v>2969.5</v>
      </c>
      <c r="O62" s="6">
        <f t="shared" si="40"/>
        <v>2969.5</v>
      </c>
      <c r="P62" s="6">
        <f>P49</f>
        <v>2969.5</v>
      </c>
      <c r="Q62" s="8">
        <f t="shared" si="33"/>
        <v>0</v>
      </c>
      <c r="R62" s="8">
        <f t="shared" si="34"/>
        <v>0</v>
      </c>
    </row>
    <row r="63" spans="2:18" ht="12.75" customHeight="1" x14ac:dyDescent="0.2">
      <c r="B63" s="255"/>
      <c r="C63" s="242" t="s">
        <v>61</v>
      </c>
      <c r="D63" s="255"/>
      <c r="E63" s="239" t="s">
        <v>10</v>
      </c>
      <c r="F63" s="6">
        <f>F26</f>
        <v>32385.300000000003</v>
      </c>
      <c r="G63" s="6">
        <f t="shared" ref="G63:I63" si="41">G26</f>
        <v>12029.7</v>
      </c>
      <c r="H63" s="6">
        <f t="shared" si="41"/>
        <v>10177.800000000001</v>
      </c>
      <c r="I63" s="6">
        <f t="shared" si="41"/>
        <v>10177.800000000001</v>
      </c>
      <c r="J63" s="14" t="s">
        <v>25</v>
      </c>
      <c r="L63" s="255"/>
      <c r="M63" s="6">
        <f>M26</f>
        <v>30909.000000000007</v>
      </c>
      <c r="N63" s="6">
        <f t="shared" ref="N63:P63" si="42">N26</f>
        <v>10553.400000000001</v>
      </c>
      <c r="O63" s="6">
        <f t="shared" si="42"/>
        <v>10177.800000000001</v>
      </c>
      <c r="P63" s="6">
        <f t="shared" si="42"/>
        <v>10177.800000000001</v>
      </c>
      <c r="Q63" s="8">
        <f t="shared" si="33"/>
        <v>1476.2999999999956</v>
      </c>
      <c r="R63" s="8">
        <f t="shared" si="34"/>
        <v>1476.2999999999993</v>
      </c>
    </row>
    <row r="64" spans="2:18" ht="38.25" x14ac:dyDescent="0.2">
      <c r="B64" s="256"/>
      <c r="C64" s="243"/>
      <c r="D64" s="256"/>
      <c r="E64" s="240"/>
      <c r="F64" s="6">
        <f t="shared" ref="F64:I65" si="43">F27</f>
        <v>31030</v>
      </c>
      <c r="G64" s="6">
        <f t="shared" si="43"/>
        <v>10674.4</v>
      </c>
      <c r="H64" s="6">
        <f t="shared" si="43"/>
        <v>10177.800000000001</v>
      </c>
      <c r="I64" s="6">
        <f t="shared" si="43"/>
        <v>10177.800000000001</v>
      </c>
      <c r="J64" s="14" t="s">
        <v>70</v>
      </c>
      <c r="L64" s="256"/>
      <c r="M64" s="6">
        <f t="shared" ref="M64:P65" si="44">M27</f>
        <v>29553.700000000004</v>
      </c>
      <c r="N64" s="6">
        <f t="shared" si="44"/>
        <v>9198.1</v>
      </c>
      <c r="O64" s="6">
        <f t="shared" si="44"/>
        <v>10177.800000000001</v>
      </c>
      <c r="P64" s="6">
        <f t="shared" si="44"/>
        <v>10177.800000000001</v>
      </c>
      <c r="Q64" s="8">
        <f t="shared" si="33"/>
        <v>1476.2999999999956</v>
      </c>
      <c r="R64" s="8">
        <f t="shared" si="34"/>
        <v>1476.2999999999993</v>
      </c>
    </row>
    <row r="65" spans="2:18" ht="25.5" x14ac:dyDescent="0.2">
      <c r="B65" s="257"/>
      <c r="C65" s="244"/>
      <c r="D65" s="257"/>
      <c r="E65" s="241"/>
      <c r="F65" s="6">
        <f t="shared" si="43"/>
        <v>1355.3000000000002</v>
      </c>
      <c r="G65" s="6">
        <f t="shared" si="43"/>
        <v>1355.3000000000002</v>
      </c>
      <c r="H65" s="6">
        <f t="shared" si="43"/>
        <v>0</v>
      </c>
      <c r="I65" s="6">
        <f t="shared" si="43"/>
        <v>0</v>
      </c>
      <c r="J65" s="14" t="s">
        <v>54</v>
      </c>
      <c r="L65" s="257"/>
      <c r="M65" s="6">
        <f t="shared" si="44"/>
        <v>1355.3000000000002</v>
      </c>
      <c r="N65" s="6">
        <f t="shared" si="44"/>
        <v>1355.3000000000002</v>
      </c>
      <c r="O65" s="6">
        <f t="shared" si="44"/>
        <v>0</v>
      </c>
      <c r="P65" s="6">
        <f t="shared" si="44"/>
        <v>0</v>
      </c>
      <c r="Q65" s="8">
        <f t="shared" si="33"/>
        <v>0</v>
      </c>
      <c r="R65" s="8">
        <f t="shared" si="34"/>
        <v>0</v>
      </c>
    </row>
    <row r="66" spans="2:18" ht="38.25" x14ac:dyDescent="0.2">
      <c r="B66" s="13"/>
      <c r="C66" s="12" t="s">
        <v>66</v>
      </c>
      <c r="D66" s="13"/>
      <c r="E66" s="14" t="s">
        <v>10</v>
      </c>
      <c r="F66" s="6">
        <f>F30</f>
        <v>25572.899999999998</v>
      </c>
      <c r="G66" s="6">
        <f t="shared" ref="G66:I66" si="45">G30</f>
        <v>8524.2999999999993</v>
      </c>
      <c r="H66" s="6">
        <f t="shared" si="45"/>
        <v>8524.2999999999993</v>
      </c>
      <c r="I66" s="6">
        <f t="shared" si="45"/>
        <v>8524.2999999999993</v>
      </c>
      <c r="J66" s="14" t="s">
        <v>70</v>
      </c>
      <c r="L66" s="13"/>
      <c r="M66" s="6">
        <f>M30</f>
        <v>25572.899999999998</v>
      </c>
      <c r="N66" s="6">
        <f t="shared" ref="N66:P66" si="46">N30</f>
        <v>8524.2999999999993</v>
      </c>
      <c r="O66" s="6">
        <f t="shared" si="46"/>
        <v>8524.2999999999993</v>
      </c>
      <c r="P66" s="6">
        <f t="shared" si="46"/>
        <v>8524.2999999999993</v>
      </c>
      <c r="Q66" s="8">
        <f t="shared" si="33"/>
        <v>0</v>
      </c>
      <c r="R66" s="8">
        <f t="shared" si="34"/>
        <v>0</v>
      </c>
    </row>
    <row r="67" spans="2:18" ht="25.5" x14ac:dyDescent="0.2">
      <c r="B67" s="13"/>
      <c r="C67" s="12" t="s">
        <v>62</v>
      </c>
      <c r="D67" s="13"/>
      <c r="E67" s="14" t="s">
        <v>10</v>
      </c>
      <c r="F67" s="6">
        <f t="shared" ref="F67:H67" si="47">F39</f>
        <v>50</v>
      </c>
      <c r="G67" s="6">
        <f t="shared" si="47"/>
        <v>50</v>
      </c>
      <c r="H67" s="6">
        <f t="shared" si="47"/>
        <v>0</v>
      </c>
      <c r="I67" s="6">
        <f>I39</f>
        <v>0</v>
      </c>
      <c r="J67" s="14" t="s">
        <v>54</v>
      </c>
      <c r="L67" s="13"/>
      <c r="M67" s="6">
        <f t="shared" ref="M67:O67" si="48">M39</f>
        <v>50</v>
      </c>
      <c r="N67" s="6">
        <f t="shared" si="48"/>
        <v>50</v>
      </c>
      <c r="O67" s="6">
        <f t="shared" si="48"/>
        <v>0</v>
      </c>
      <c r="P67" s="6">
        <f>P39</f>
        <v>0</v>
      </c>
      <c r="Q67" s="8">
        <f t="shared" si="33"/>
        <v>0</v>
      </c>
      <c r="R67" s="8">
        <f t="shared" si="34"/>
        <v>0</v>
      </c>
    </row>
    <row r="72" spans="2:18" s="4" customFormat="1" ht="15" x14ac:dyDescent="0.25">
      <c r="J72" s="9"/>
    </row>
  </sheetData>
  <mergeCells count="79">
    <mergeCell ref="B63:B65"/>
    <mergeCell ref="C63:C65"/>
    <mergeCell ref="D63:D65"/>
    <mergeCell ref="E63:E65"/>
    <mergeCell ref="L63:L65"/>
    <mergeCell ref="B56:B58"/>
    <mergeCell ref="C56:C58"/>
    <mergeCell ref="D56:D58"/>
    <mergeCell ref="E56:E58"/>
    <mergeCell ref="L56:L58"/>
    <mergeCell ref="B60:B62"/>
    <mergeCell ref="C60:C62"/>
    <mergeCell ref="D60:D62"/>
    <mergeCell ref="E60:E62"/>
    <mergeCell ref="L60:L62"/>
    <mergeCell ref="F51:J51"/>
    <mergeCell ref="M51:P51"/>
    <mergeCell ref="F52:J52"/>
    <mergeCell ref="M52:P52"/>
    <mergeCell ref="B53:B55"/>
    <mergeCell ref="C53:C55"/>
    <mergeCell ref="D53:D55"/>
    <mergeCell ref="E53:E55"/>
    <mergeCell ref="L53:L55"/>
    <mergeCell ref="B50:J50"/>
    <mergeCell ref="L50:P50"/>
    <mergeCell ref="B41:J41"/>
    <mergeCell ref="L41:P41"/>
    <mergeCell ref="B42:J42"/>
    <mergeCell ref="L42:P42"/>
    <mergeCell ref="F43:J43"/>
    <mergeCell ref="M43:P43"/>
    <mergeCell ref="B47:B49"/>
    <mergeCell ref="C47:C49"/>
    <mergeCell ref="D47:D49"/>
    <mergeCell ref="E47:E49"/>
    <mergeCell ref="L47:L49"/>
    <mergeCell ref="B35:J35"/>
    <mergeCell ref="L35:P35"/>
    <mergeCell ref="B36:J36"/>
    <mergeCell ref="L36:P36"/>
    <mergeCell ref="B40:J40"/>
    <mergeCell ref="L40:P40"/>
    <mergeCell ref="B29:J29"/>
    <mergeCell ref="L29:P29"/>
    <mergeCell ref="B32:B34"/>
    <mergeCell ref="C32:C34"/>
    <mergeCell ref="D32:D34"/>
    <mergeCell ref="E32:E34"/>
    <mergeCell ref="L32:L34"/>
    <mergeCell ref="F25:J25"/>
    <mergeCell ref="M25:P25"/>
    <mergeCell ref="B26:B28"/>
    <mergeCell ref="C26:C28"/>
    <mergeCell ref="D26:D28"/>
    <mergeCell ref="E26:E28"/>
    <mergeCell ref="L26:L28"/>
    <mergeCell ref="L15:L17"/>
    <mergeCell ref="B19:B21"/>
    <mergeCell ref="C19:C21"/>
    <mergeCell ref="D19:D21"/>
    <mergeCell ref="E19:E21"/>
    <mergeCell ref="L19:L21"/>
    <mergeCell ref="B12:J12"/>
    <mergeCell ref="B13:J13"/>
    <mergeCell ref="B14:J14"/>
    <mergeCell ref="B15:B17"/>
    <mergeCell ref="C15:C17"/>
    <mergeCell ref="D15:D17"/>
    <mergeCell ref="E15:E17"/>
    <mergeCell ref="B6:J6"/>
    <mergeCell ref="B8:B10"/>
    <mergeCell ref="C8:C10"/>
    <mergeCell ref="D8:D10"/>
    <mergeCell ref="E8:E10"/>
    <mergeCell ref="F8:I8"/>
    <mergeCell ref="J8:J10"/>
    <mergeCell ref="F9:F10"/>
    <mergeCell ref="G9:I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152"/>
  <sheetViews>
    <sheetView tabSelected="1" view="pageBreakPreview" zoomScale="67" zoomScaleNormal="85" zoomScaleSheetLayoutView="67" workbookViewId="0">
      <pane xSplit="7" ySplit="5" topLeftCell="H37" activePane="bottomRight" state="frozen"/>
      <selection pane="topRight" activeCell="H1" sqref="H1"/>
      <selection pane="bottomLeft" activeCell="A6" sqref="A6"/>
      <selection pane="bottomRight" activeCell="AF43" sqref="AF43"/>
    </sheetView>
  </sheetViews>
  <sheetFormatPr defaultRowHeight="18.75" x14ac:dyDescent="0.25"/>
  <cols>
    <col min="1" max="1" width="42" style="18" customWidth="1"/>
    <col min="2" max="2" width="14.7109375" style="18" customWidth="1"/>
    <col min="3" max="3" width="13.5703125" style="19" customWidth="1"/>
    <col min="4" max="4" width="14.7109375" style="19" customWidth="1"/>
    <col min="5" max="5" width="14.42578125" style="19" customWidth="1"/>
    <col min="6" max="6" width="13.42578125" style="19" customWidth="1"/>
    <col min="7" max="7" width="13.140625" style="19" customWidth="1"/>
    <col min="8" max="8" width="11.28515625" style="20" customWidth="1"/>
    <col min="9" max="9" width="12" style="20" customWidth="1"/>
    <col min="10" max="10" width="11.42578125" style="20" customWidth="1"/>
    <col min="11" max="11" width="11.85546875" style="20" customWidth="1"/>
    <col min="12" max="12" width="13.140625" style="20" customWidth="1"/>
    <col min="13" max="13" width="11.7109375" style="20" customWidth="1"/>
    <col min="14" max="14" width="11" style="20" customWidth="1"/>
    <col min="15" max="15" width="12" style="20" customWidth="1"/>
    <col min="16" max="16" width="14.7109375" style="20" customWidth="1"/>
    <col min="17" max="17" width="11.5703125" style="20" customWidth="1"/>
    <col min="18" max="18" width="13.7109375" style="20" customWidth="1"/>
    <col min="19" max="19" width="12.42578125" style="20" customWidth="1"/>
    <col min="20" max="20" width="13.140625" style="19" customWidth="1"/>
    <col min="21" max="21" width="12.7109375" style="19" customWidth="1"/>
    <col min="22" max="22" width="12.85546875" style="19" customWidth="1"/>
    <col min="23" max="23" width="12.7109375" style="19" customWidth="1"/>
    <col min="24" max="24" width="14.28515625" style="19" customWidth="1"/>
    <col min="25" max="25" width="13.140625" style="19" customWidth="1"/>
    <col min="26" max="26" width="13.85546875" style="19" customWidth="1"/>
    <col min="27" max="27" width="12.42578125" style="19" customWidth="1"/>
    <col min="28" max="28" width="11" style="19" customWidth="1"/>
    <col min="29" max="29" width="11.7109375" style="19" customWidth="1"/>
    <col min="30" max="30" width="10.85546875" style="19" customWidth="1"/>
    <col min="31" max="31" width="11.5703125" style="19" customWidth="1"/>
    <col min="32" max="32" width="48.85546875" style="18" customWidth="1"/>
    <col min="33" max="33" width="14.28515625" style="20" customWidth="1"/>
    <col min="34" max="34" width="18.85546875" style="21" customWidth="1"/>
    <col min="35" max="35" width="13" style="20" bestFit="1" customWidth="1"/>
    <col min="36" max="256" width="9.140625" style="20"/>
    <col min="257" max="257" width="51.42578125" style="20" customWidth="1"/>
    <col min="258" max="258" width="15.28515625" style="20" customWidth="1"/>
    <col min="259" max="259" width="17.140625" style="20" customWidth="1"/>
    <col min="260" max="260" width="13.85546875" style="20" customWidth="1"/>
    <col min="261" max="261" width="15.42578125" style="20" customWidth="1"/>
    <col min="262" max="263" width="13.42578125" style="20" customWidth="1"/>
    <col min="264" max="264" width="17.42578125" style="20" customWidth="1"/>
    <col min="265" max="265" width="14.7109375" style="20" customWidth="1"/>
    <col min="266" max="266" width="13.5703125" style="20" customWidth="1"/>
    <col min="267" max="267" width="15.140625" style="20" customWidth="1"/>
    <col min="268" max="268" width="14.7109375" style="20" customWidth="1"/>
    <col min="269" max="269" width="15.140625" style="20" customWidth="1"/>
    <col min="270" max="270" width="14.140625" style="20" customWidth="1"/>
    <col min="271" max="271" width="14.7109375" style="20" customWidth="1"/>
    <col min="272" max="272" width="14.42578125" style="20" customWidth="1"/>
    <col min="273" max="273" width="15" style="20" customWidth="1"/>
    <col min="274" max="274" width="14.5703125" style="20" customWidth="1"/>
    <col min="275" max="275" width="14.85546875" style="20" customWidth="1"/>
    <col min="276" max="276" width="15" style="20" customWidth="1"/>
    <col min="277" max="287" width="16.140625" style="20" customWidth="1"/>
    <col min="288" max="288" width="58.140625" style="20" customWidth="1"/>
    <col min="289" max="289" width="3.7109375" style="20" customWidth="1"/>
    <col min="290" max="290" width="18.85546875" style="20" customWidth="1"/>
    <col min="291" max="512" width="9.140625" style="20"/>
    <col min="513" max="513" width="51.42578125" style="20" customWidth="1"/>
    <col min="514" max="514" width="15.28515625" style="20" customWidth="1"/>
    <col min="515" max="515" width="17.140625" style="20" customWidth="1"/>
    <col min="516" max="516" width="13.85546875" style="20" customWidth="1"/>
    <col min="517" max="517" width="15.42578125" style="20" customWidth="1"/>
    <col min="518" max="519" width="13.42578125" style="20" customWidth="1"/>
    <col min="520" max="520" width="17.42578125" style="20" customWidth="1"/>
    <col min="521" max="521" width="14.7109375" style="20" customWidth="1"/>
    <col min="522" max="522" width="13.5703125" style="20" customWidth="1"/>
    <col min="523" max="523" width="15.140625" style="20" customWidth="1"/>
    <col min="524" max="524" width="14.7109375" style="20" customWidth="1"/>
    <col min="525" max="525" width="15.140625" style="20" customWidth="1"/>
    <col min="526" max="526" width="14.140625" style="20" customWidth="1"/>
    <col min="527" max="527" width="14.7109375" style="20" customWidth="1"/>
    <col min="528" max="528" width="14.42578125" style="20" customWidth="1"/>
    <col min="529" max="529" width="15" style="20" customWidth="1"/>
    <col min="530" max="530" width="14.5703125" style="20" customWidth="1"/>
    <col min="531" max="531" width="14.85546875" style="20" customWidth="1"/>
    <col min="532" max="532" width="15" style="20" customWidth="1"/>
    <col min="533" max="543" width="16.140625" style="20" customWidth="1"/>
    <col min="544" max="544" width="58.140625" style="20" customWidth="1"/>
    <col min="545" max="545" width="3.7109375" style="20" customWidth="1"/>
    <col min="546" max="546" width="18.85546875" style="20" customWidth="1"/>
    <col min="547" max="768" width="9.140625" style="20"/>
    <col min="769" max="769" width="51.42578125" style="20" customWidth="1"/>
    <col min="770" max="770" width="15.28515625" style="20" customWidth="1"/>
    <col min="771" max="771" width="17.140625" style="20" customWidth="1"/>
    <col min="772" max="772" width="13.85546875" style="20" customWidth="1"/>
    <col min="773" max="773" width="15.42578125" style="20" customWidth="1"/>
    <col min="774" max="775" width="13.42578125" style="20" customWidth="1"/>
    <col min="776" max="776" width="17.42578125" style="20" customWidth="1"/>
    <col min="777" max="777" width="14.7109375" style="20" customWidth="1"/>
    <col min="778" max="778" width="13.5703125" style="20" customWidth="1"/>
    <col min="779" max="779" width="15.140625" style="20" customWidth="1"/>
    <col min="780" max="780" width="14.7109375" style="20" customWidth="1"/>
    <col min="781" max="781" width="15.140625" style="20" customWidth="1"/>
    <col min="782" max="782" width="14.140625" style="20" customWidth="1"/>
    <col min="783" max="783" width="14.7109375" style="20" customWidth="1"/>
    <col min="784" max="784" width="14.42578125" style="20" customWidth="1"/>
    <col min="785" max="785" width="15" style="20" customWidth="1"/>
    <col min="786" max="786" width="14.5703125" style="20" customWidth="1"/>
    <col min="787" max="787" width="14.85546875" style="20" customWidth="1"/>
    <col min="788" max="788" width="15" style="20" customWidth="1"/>
    <col min="789" max="799" width="16.140625" style="20" customWidth="1"/>
    <col min="800" max="800" width="58.140625" style="20" customWidth="1"/>
    <col min="801" max="801" width="3.7109375" style="20" customWidth="1"/>
    <col min="802" max="802" width="18.85546875" style="20" customWidth="1"/>
    <col min="803" max="1024" width="9.140625" style="20"/>
    <col min="1025" max="1025" width="51.42578125" style="20" customWidth="1"/>
    <col min="1026" max="1026" width="15.28515625" style="20" customWidth="1"/>
    <col min="1027" max="1027" width="17.140625" style="20" customWidth="1"/>
    <col min="1028" max="1028" width="13.85546875" style="20" customWidth="1"/>
    <col min="1029" max="1029" width="15.42578125" style="20" customWidth="1"/>
    <col min="1030" max="1031" width="13.42578125" style="20" customWidth="1"/>
    <col min="1032" max="1032" width="17.42578125" style="20" customWidth="1"/>
    <col min="1033" max="1033" width="14.7109375" style="20" customWidth="1"/>
    <col min="1034" max="1034" width="13.5703125" style="20" customWidth="1"/>
    <col min="1035" max="1035" width="15.140625" style="20" customWidth="1"/>
    <col min="1036" max="1036" width="14.7109375" style="20" customWidth="1"/>
    <col min="1037" max="1037" width="15.140625" style="20" customWidth="1"/>
    <col min="1038" max="1038" width="14.140625" style="20" customWidth="1"/>
    <col min="1039" max="1039" width="14.7109375" style="20" customWidth="1"/>
    <col min="1040" max="1040" width="14.42578125" style="20" customWidth="1"/>
    <col min="1041" max="1041" width="15" style="20" customWidth="1"/>
    <col min="1042" max="1042" width="14.5703125" style="20" customWidth="1"/>
    <col min="1043" max="1043" width="14.85546875" style="20" customWidth="1"/>
    <col min="1044" max="1044" width="15" style="20" customWidth="1"/>
    <col min="1045" max="1055" width="16.140625" style="20" customWidth="1"/>
    <col min="1056" max="1056" width="58.140625" style="20" customWidth="1"/>
    <col min="1057" max="1057" width="3.7109375" style="20" customWidth="1"/>
    <col min="1058" max="1058" width="18.85546875" style="20" customWidth="1"/>
    <col min="1059" max="1280" width="9.140625" style="20"/>
    <col min="1281" max="1281" width="51.42578125" style="20" customWidth="1"/>
    <col min="1282" max="1282" width="15.28515625" style="20" customWidth="1"/>
    <col min="1283" max="1283" width="17.140625" style="20" customWidth="1"/>
    <col min="1284" max="1284" width="13.85546875" style="20" customWidth="1"/>
    <col min="1285" max="1285" width="15.42578125" style="20" customWidth="1"/>
    <col min="1286" max="1287" width="13.42578125" style="20" customWidth="1"/>
    <col min="1288" max="1288" width="17.42578125" style="20" customWidth="1"/>
    <col min="1289" max="1289" width="14.7109375" style="20" customWidth="1"/>
    <col min="1290" max="1290" width="13.5703125" style="20" customWidth="1"/>
    <col min="1291" max="1291" width="15.140625" style="20" customWidth="1"/>
    <col min="1292" max="1292" width="14.7109375" style="20" customWidth="1"/>
    <col min="1293" max="1293" width="15.140625" style="20" customWidth="1"/>
    <col min="1294" max="1294" width="14.140625" style="20" customWidth="1"/>
    <col min="1295" max="1295" width="14.7109375" style="20" customWidth="1"/>
    <col min="1296" max="1296" width="14.42578125" style="20" customWidth="1"/>
    <col min="1297" max="1297" width="15" style="20" customWidth="1"/>
    <col min="1298" max="1298" width="14.5703125" style="20" customWidth="1"/>
    <col min="1299" max="1299" width="14.85546875" style="20" customWidth="1"/>
    <col min="1300" max="1300" width="15" style="20" customWidth="1"/>
    <col min="1301" max="1311" width="16.140625" style="20" customWidth="1"/>
    <col min="1312" max="1312" width="58.140625" style="20" customWidth="1"/>
    <col min="1313" max="1313" width="3.7109375" style="20" customWidth="1"/>
    <col min="1314" max="1314" width="18.85546875" style="20" customWidth="1"/>
    <col min="1315" max="1536" width="9.140625" style="20"/>
    <col min="1537" max="1537" width="51.42578125" style="20" customWidth="1"/>
    <col min="1538" max="1538" width="15.28515625" style="20" customWidth="1"/>
    <col min="1539" max="1539" width="17.140625" style="20" customWidth="1"/>
    <col min="1540" max="1540" width="13.85546875" style="20" customWidth="1"/>
    <col min="1541" max="1541" width="15.42578125" style="20" customWidth="1"/>
    <col min="1542" max="1543" width="13.42578125" style="20" customWidth="1"/>
    <col min="1544" max="1544" width="17.42578125" style="20" customWidth="1"/>
    <col min="1545" max="1545" width="14.7109375" style="20" customWidth="1"/>
    <col min="1546" max="1546" width="13.5703125" style="20" customWidth="1"/>
    <col min="1547" max="1547" width="15.140625" style="20" customWidth="1"/>
    <col min="1548" max="1548" width="14.7109375" style="20" customWidth="1"/>
    <col min="1549" max="1549" width="15.140625" style="20" customWidth="1"/>
    <col min="1550" max="1550" width="14.140625" style="20" customWidth="1"/>
    <col min="1551" max="1551" width="14.7109375" style="20" customWidth="1"/>
    <col min="1552" max="1552" width="14.42578125" style="20" customWidth="1"/>
    <col min="1553" max="1553" width="15" style="20" customWidth="1"/>
    <col min="1554" max="1554" width="14.5703125" style="20" customWidth="1"/>
    <col min="1555" max="1555" width="14.85546875" style="20" customWidth="1"/>
    <col min="1556" max="1556" width="15" style="20" customWidth="1"/>
    <col min="1557" max="1567" width="16.140625" style="20" customWidth="1"/>
    <col min="1568" max="1568" width="58.140625" style="20" customWidth="1"/>
    <col min="1569" max="1569" width="3.7109375" style="20" customWidth="1"/>
    <col min="1570" max="1570" width="18.85546875" style="20" customWidth="1"/>
    <col min="1571" max="1792" width="9.140625" style="20"/>
    <col min="1793" max="1793" width="51.42578125" style="20" customWidth="1"/>
    <col min="1794" max="1794" width="15.28515625" style="20" customWidth="1"/>
    <col min="1795" max="1795" width="17.140625" style="20" customWidth="1"/>
    <col min="1796" max="1796" width="13.85546875" style="20" customWidth="1"/>
    <col min="1797" max="1797" width="15.42578125" style="20" customWidth="1"/>
    <col min="1798" max="1799" width="13.42578125" style="20" customWidth="1"/>
    <col min="1800" max="1800" width="17.42578125" style="20" customWidth="1"/>
    <col min="1801" max="1801" width="14.7109375" style="20" customWidth="1"/>
    <col min="1802" max="1802" width="13.5703125" style="20" customWidth="1"/>
    <col min="1803" max="1803" width="15.140625" style="20" customWidth="1"/>
    <col min="1804" max="1804" width="14.7109375" style="20" customWidth="1"/>
    <col min="1805" max="1805" width="15.140625" style="20" customWidth="1"/>
    <col min="1806" max="1806" width="14.140625" style="20" customWidth="1"/>
    <col min="1807" max="1807" width="14.7109375" style="20" customWidth="1"/>
    <col min="1808" max="1808" width="14.42578125" style="20" customWidth="1"/>
    <col min="1809" max="1809" width="15" style="20" customWidth="1"/>
    <col min="1810" max="1810" width="14.5703125" style="20" customWidth="1"/>
    <col min="1811" max="1811" width="14.85546875" style="20" customWidth="1"/>
    <col min="1812" max="1812" width="15" style="20" customWidth="1"/>
    <col min="1813" max="1823" width="16.140625" style="20" customWidth="1"/>
    <col min="1824" max="1824" width="58.140625" style="20" customWidth="1"/>
    <col min="1825" max="1825" width="3.7109375" style="20" customWidth="1"/>
    <col min="1826" max="1826" width="18.85546875" style="20" customWidth="1"/>
    <col min="1827" max="2048" width="9.140625" style="20"/>
    <col min="2049" max="2049" width="51.42578125" style="20" customWidth="1"/>
    <col min="2050" max="2050" width="15.28515625" style="20" customWidth="1"/>
    <col min="2051" max="2051" width="17.140625" style="20" customWidth="1"/>
    <col min="2052" max="2052" width="13.85546875" style="20" customWidth="1"/>
    <col min="2053" max="2053" width="15.42578125" style="20" customWidth="1"/>
    <col min="2054" max="2055" width="13.42578125" style="20" customWidth="1"/>
    <col min="2056" max="2056" width="17.42578125" style="20" customWidth="1"/>
    <col min="2057" max="2057" width="14.7109375" style="20" customWidth="1"/>
    <col min="2058" max="2058" width="13.5703125" style="20" customWidth="1"/>
    <col min="2059" max="2059" width="15.140625" style="20" customWidth="1"/>
    <col min="2060" max="2060" width="14.7109375" style="20" customWidth="1"/>
    <col min="2061" max="2061" width="15.140625" style="20" customWidth="1"/>
    <col min="2062" max="2062" width="14.140625" style="20" customWidth="1"/>
    <col min="2063" max="2063" width="14.7109375" style="20" customWidth="1"/>
    <col min="2064" max="2064" width="14.42578125" style="20" customWidth="1"/>
    <col min="2065" max="2065" width="15" style="20" customWidth="1"/>
    <col min="2066" max="2066" width="14.5703125" style="20" customWidth="1"/>
    <col min="2067" max="2067" width="14.85546875" style="20" customWidth="1"/>
    <col min="2068" max="2068" width="15" style="20" customWidth="1"/>
    <col min="2069" max="2079" width="16.140625" style="20" customWidth="1"/>
    <col min="2080" max="2080" width="58.140625" style="20" customWidth="1"/>
    <col min="2081" max="2081" width="3.7109375" style="20" customWidth="1"/>
    <col min="2082" max="2082" width="18.85546875" style="20" customWidth="1"/>
    <col min="2083" max="2304" width="9.140625" style="20"/>
    <col min="2305" max="2305" width="51.42578125" style="20" customWidth="1"/>
    <col min="2306" max="2306" width="15.28515625" style="20" customWidth="1"/>
    <col min="2307" max="2307" width="17.140625" style="20" customWidth="1"/>
    <col min="2308" max="2308" width="13.85546875" style="20" customWidth="1"/>
    <col min="2309" max="2309" width="15.42578125" style="20" customWidth="1"/>
    <col min="2310" max="2311" width="13.42578125" style="20" customWidth="1"/>
    <col min="2312" max="2312" width="17.42578125" style="20" customWidth="1"/>
    <col min="2313" max="2313" width="14.7109375" style="20" customWidth="1"/>
    <col min="2314" max="2314" width="13.5703125" style="20" customWidth="1"/>
    <col min="2315" max="2315" width="15.140625" style="20" customWidth="1"/>
    <col min="2316" max="2316" width="14.7109375" style="20" customWidth="1"/>
    <col min="2317" max="2317" width="15.140625" style="20" customWidth="1"/>
    <col min="2318" max="2318" width="14.140625" style="20" customWidth="1"/>
    <col min="2319" max="2319" width="14.7109375" style="20" customWidth="1"/>
    <col min="2320" max="2320" width="14.42578125" style="20" customWidth="1"/>
    <col min="2321" max="2321" width="15" style="20" customWidth="1"/>
    <col min="2322" max="2322" width="14.5703125" style="20" customWidth="1"/>
    <col min="2323" max="2323" width="14.85546875" style="20" customWidth="1"/>
    <col min="2324" max="2324" width="15" style="20" customWidth="1"/>
    <col min="2325" max="2335" width="16.140625" style="20" customWidth="1"/>
    <col min="2336" max="2336" width="58.140625" style="20" customWidth="1"/>
    <col min="2337" max="2337" width="3.7109375" style="20" customWidth="1"/>
    <col min="2338" max="2338" width="18.85546875" style="20" customWidth="1"/>
    <col min="2339" max="2560" width="9.140625" style="20"/>
    <col min="2561" max="2561" width="51.42578125" style="20" customWidth="1"/>
    <col min="2562" max="2562" width="15.28515625" style="20" customWidth="1"/>
    <col min="2563" max="2563" width="17.140625" style="20" customWidth="1"/>
    <col min="2564" max="2564" width="13.85546875" style="20" customWidth="1"/>
    <col min="2565" max="2565" width="15.42578125" style="20" customWidth="1"/>
    <col min="2566" max="2567" width="13.42578125" style="20" customWidth="1"/>
    <col min="2568" max="2568" width="17.42578125" style="20" customWidth="1"/>
    <col min="2569" max="2569" width="14.7109375" style="20" customWidth="1"/>
    <col min="2570" max="2570" width="13.5703125" style="20" customWidth="1"/>
    <col min="2571" max="2571" width="15.140625" style="20" customWidth="1"/>
    <col min="2572" max="2572" width="14.7109375" style="20" customWidth="1"/>
    <col min="2573" max="2573" width="15.140625" style="20" customWidth="1"/>
    <col min="2574" max="2574" width="14.140625" style="20" customWidth="1"/>
    <col min="2575" max="2575" width="14.7109375" style="20" customWidth="1"/>
    <col min="2576" max="2576" width="14.42578125" style="20" customWidth="1"/>
    <col min="2577" max="2577" width="15" style="20" customWidth="1"/>
    <col min="2578" max="2578" width="14.5703125" style="20" customWidth="1"/>
    <col min="2579" max="2579" width="14.85546875" style="20" customWidth="1"/>
    <col min="2580" max="2580" width="15" style="20" customWidth="1"/>
    <col min="2581" max="2591" width="16.140625" style="20" customWidth="1"/>
    <col min="2592" max="2592" width="58.140625" style="20" customWidth="1"/>
    <col min="2593" max="2593" width="3.7109375" style="20" customWidth="1"/>
    <col min="2594" max="2594" width="18.85546875" style="20" customWidth="1"/>
    <col min="2595" max="2816" width="9.140625" style="20"/>
    <col min="2817" max="2817" width="51.42578125" style="20" customWidth="1"/>
    <col min="2818" max="2818" width="15.28515625" style="20" customWidth="1"/>
    <col min="2819" max="2819" width="17.140625" style="20" customWidth="1"/>
    <col min="2820" max="2820" width="13.85546875" style="20" customWidth="1"/>
    <col min="2821" max="2821" width="15.42578125" style="20" customWidth="1"/>
    <col min="2822" max="2823" width="13.42578125" style="20" customWidth="1"/>
    <col min="2824" max="2824" width="17.42578125" style="20" customWidth="1"/>
    <col min="2825" max="2825" width="14.7109375" style="20" customWidth="1"/>
    <col min="2826" max="2826" width="13.5703125" style="20" customWidth="1"/>
    <col min="2827" max="2827" width="15.140625" style="20" customWidth="1"/>
    <col min="2828" max="2828" width="14.7109375" style="20" customWidth="1"/>
    <col min="2829" max="2829" width="15.140625" style="20" customWidth="1"/>
    <col min="2830" max="2830" width="14.140625" style="20" customWidth="1"/>
    <col min="2831" max="2831" width="14.7109375" style="20" customWidth="1"/>
    <col min="2832" max="2832" width="14.42578125" style="20" customWidth="1"/>
    <col min="2833" max="2833" width="15" style="20" customWidth="1"/>
    <col min="2834" max="2834" width="14.5703125" style="20" customWidth="1"/>
    <col min="2835" max="2835" width="14.85546875" style="20" customWidth="1"/>
    <col min="2836" max="2836" width="15" style="20" customWidth="1"/>
    <col min="2837" max="2847" width="16.140625" style="20" customWidth="1"/>
    <col min="2848" max="2848" width="58.140625" style="20" customWidth="1"/>
    <col min="2849" max="2849" width="3.7109375" style="20" customWidth="1"/>
    <col min="2850" max="2850" width="18.85546875" style="20" customWidth="1"/>
    <col min="2851" max="3072" width="9.140625" style="20"/>
    <col min="3073" max="3073" width="51.42578125" style="20" customWidth="1"/>
    <col min="3074" max="3074" width="15.28515625" style="20" customWidth="1"/>
    <col min="3075" max="3075" width="17.140625" style="20" customWidth="1"/>
    <col min="3076" max="3076" width="13.85546875" style="20" customWidth="1"/>
    <col min="3077" max="3077" width="15.42578125" style="20" customWidth="1"/>
    <col min="3078" max="3079" width="13.42578125" style="20" customWidth="1"/>
    <col min="3080" max="3080" width="17.42578125" style="20" customWidth="1"/>
    <col min="3081" max="3081" width="14.7109375" style="20" customWidth="1"/>
    <col min="3082" max="3082" width="13.5703125" style="20" customWidth="1"/>
    <col min="3083" max="3083" width="15.140625" style="20" customWidth="1"/>
    <col min="3084" max="3084" width="14.7109375" style="20" customWidth="1"/>
    <col min="3085" max="3085" width="15.140625" style="20" customWidth="1"/>
    <col min="3086" max="3086" width="14.140625" style="20" customWidth="1"/>
    <col min="3087" max="3087" width="14.7109375" style="20" customWidth="1"/>
    <col min="3088" max="3088" width="14.42578125" style="20" customWidth="1"/>
    <col min="3089" max="3089" width="15" style="20" customWidth="1"/>
    <col min="3090" max="3090" width="14.5703125" style="20" customWidth="1"/>
    <col min="3091" max="3091" width="14.85546875" style="20" customWidth="1"/>
    <col min="3092" max="3092" width="15" style="20" customWidth="1"/>
    <col min="3093" max="3103" width="16.140625" style="20" customWidth="1"/>
    <col min="3104" max="3104" width="58.140625" style="20" customWidth="1"/>
    <col min="3105" max="3105" width="3.7109375" style="20" customWidth="1"/>
    <col min="3106" max="3106" width="18.85546875" style="20" customWidth="1"/>
    <col min="3107" max="3328" width="9.140625" style="20"/>
    <col min="3329" max="3329" width="51.42578125" style="20" customWidth="1"/>
    <col min="3330" max="3330" width="15.28515625" style="20" customWidth="1"/>
    <col min="3331" max="3331" width="17.140625" style="20" customWidth="1"/>
    <col min="3332" max="3332" width="13.85546875" style="20" customWidth="1"/>
    <col min="3333" max="3333" width="15.42578125" style="20" customWidth="1"/>
    <col min="3334" max="3335" width="13.42578125" style="20" customWidth="1"/>
    <col min="3336" max="3336" width="17.42578125" style="20" customWidth="1"/>
    <col min="3337" max="3337" width="14.7109375" style="20" customWidth="1"/>
    <col min="3338" max="3338" width="13.5703125" style="20" customWidth="1"/>
    <col min="3339" max="3339" width="15.140625" style="20" customWidth="1"/>
    <col min="3340" max="3340" width="14.7109375" style="20" customWidth="1"/>
    <col min="3341" max="3341" width="15.140625" style="20" customWidth="1"/>
    <col min="3342" max="3342" width="14.140625" style="20" customWidth="1"/>
    <col min="3343" max="3343" width="14.7109375" style="20" customWidth="1"/>
    <col min="3344" max="3344" width="14.42578125" style="20" customWidth="1"/>
    <col min="3345" max="3345" width="15" style="20" customWidth="1"/>
    <col min="3346" max="3346" width="14.5703125" style="20" customWidth="1"/>
    <col min="3347" max="3347" width="14.85546875" style="20" customWidth="1"/>
    <col min="3348" max="3348" width="15" style="20" customWidth="1"/>
    <col min="3349" max="3359" width="16.140625" style="20" customWidth="1"/>
    <col min="3360" max="3360" width="58.140625" style="20" customWidth="1"/>
    <col min="3361" max="3361" width="3.7109375" style="20" customWidth="1"/>
    <col min="3362" max="3362" width="18.85546875" style="20" customWidth="1"/>
    <col min="3363" max="3584" width="9.140625" style="20"/>
    <col min="3585" max="3585" width="51.42578125" style="20" customWidth="1"/>
    <col min="3586" max="3586" width="15.28515625" style="20" customWidth="1"/>
    <col min="3587" max="3587" width="17.140625" style="20" customWidth="1"/>
    <col min="3588" max="3588" width="13.85546875" style="20" customWidth="1"/>
    <col min="3589" max="3589" width="15.42578125" style="20" customWidth="1"/>
    <col min="3590" max="3591" width="13.42578125" style="20" customWidth="1"/>
    <col min="3592" max="3592" width="17.42578125" style="20" customWidth="1"/>
    <col min="3593" max="3593" width="14.7109375" style="20" customWidth="1"/>
    <col min="3594" max="3594" width="13.5703125" style="20" customWidth="1"/>
    <col min="3595" max="3595" width="15.140625" style="20" customWidth="1"/>
    <col min="3596" max="3596" width="14.7109375" style="20" customWidth="1"/>
    <col min="3597" max="3597" width="15.140625" style="20" customWidth="1"/>
    <col min="3598" max="3598" width="14.140625" style="20" customWidth="1"/>
    <col min="3599" max="3599" width="14.7109375" style="20" customWidth="1"/>
    <col min="3600" max="3600" width="14.42578125" style="20" customWidth="1"/>
    <col min="3601" max="3601" width="15" style="20" customWidth="1"/>
    <col min="3602" max="3602" width="14.5703125" style="20" customWidth="1"/>
    <col min="3603" max="3603" width="14.85546875" style="20" customWidth="1"/>
    <col min="3604" max="3604" width="15" style="20" customWidth="1"/>
    <col min="3605" max="3615" width="16.140625" style="20" customWidth="1"/>
    <col min="3616" max="3616" width="58.140625" style="20" customWidth="1"/>
    <col min="3617" max="3617" width="3.7109375" style="20" customWidth="1"/>
    <col min="3618" max="3618" width="18.85546875" style="20" customWidth="1"/>
    <col min="3619" max="3840" width="9.140625" style="20"/>
    <col min="3841" max="3841" width="51.42578125" style="20" customWidth="1"/>
    <col min="3842" max="3842" width="15.28515625" style="20" customWidth="1"/>
    <col min="3843" max="3843" width="17.140625" style="20" customWidth="1"/>
    <col min="3844" max="3844" width="13.85546875" style="20" customWidth="1"/>
    <col min="3845" max="3845" width="15.42578125" style="20" customWidth="1"/>
    <col min="3846" max="3847" width="13.42578125" style="20" customWidth="1"/>
    <col min="3848" max="3848" width="17.42578125" style="20" customWidth="1"/>
    <col min="3849" max="3849" width="14.7109375" style="20" customWidth="1"/>
    <col min="3850" max="3850" width="13.5703125" style="20" customWidth="1"/>
    <col min="3851" max="3851" width="15.140625" style="20" customWidth="1"/>
    <col min="3852" max="3852" width="14.7109375" style="20" customWidth="1"/>
    <col min="3853" max="3853" width="15.140625" style="20" customWidth="1"/>
    <col min="3854" max="3854" width="14.140625" style="20" customWidth="1"/>
    <col min="3855" max="3855" width="14.7109375" style="20" customWidth="1"/>
    <col min="3856" max="3856" width="14.42578125" style="20" customWidth="1"/>
    <col min="3857" max="3857" width="15" style="20" customWidth="1"/>
    <col min="3858" max="3858" width="14.5703125" style="20" customWidth="1"/>
    <col min="3859" max="3859" width="14.85546875" style="20" customWidth="1"/>
    <col min="3860" max="3860" width="15" style="20" customWidth="1"/>
    <col min="3861" max="3871" width="16.140625" style="20" customWidth="1"/>
    <col min="3872" max="3872" width="58.140625" style="20" customWidth="1"/>
    <col min="3873" max="3873" width="3.7109375" style="20" customWidth="1"/>
    <col min="3874" max="3874" width="18.85546875" style="20" customWidth="1"/>
    <col min="3875" max="4096" width="9.140625" style="20"/>
    <col min="4097" max="4097" width="51.42578125" style="20" customWidth="1"/>
    <col min="4098" max="4098" width="15.28515625" style="20" customWidth="1"/>
    <col min="4099" max="4099" width="17.140625" style="20" customWidth="1"/>
    <col min="4100" max="4100" width="13.85546875" style="20" customWidth="1"/>
    <col min="4101" max="4101" width="15.42578125" style="20" customWidth="1"/>
    <col min="4102" max="4103" width="13.42578125" style="20" customWidth="1"/>
    <col min="4104" max="4104" width="17.42578125" style="20" customWidth="1"/>
    <col min="4105" max="4105" width="14.7109375" style="20" customWidth="1"/>
    <col min="4106" max="4106" width="13.5703125" style="20" customWidth="1"/>
    <col min="4107" max="4107" width="15.140625" style="20" customWidth="1"/>
    <col min="4108" max="4108" width="14.7109375" style="20" customWidth="1"/>
    <col min="4109" max="4109" width="15.140625" style="20" customWidth="1"/>
    <col min="4110" max="4110" width="14.140625" style="20" customWidth="1"/>
    <col min="4111" max="4111" width="14.7109375" style="20" customWidth="1"/>
    <col min="4112" max="4112" width="14.42578125" style="20" customWidth="1"/>
    <col min="4113" max="4113" width="15" style="20" customWidth="1"/>
    <col min="4114" max="4114" width="14.5703125" style="20" customWidth="1"/>
    <col min="4115" max="4115" width="14.85546875" style="20" customWidth="1"/>
    <col min="4116" max="4116" width="15" style="20" customWidth="1"/>
    <col min="4117" max="4127" width="16.140625" style="20" customWidth="1"/>
    <col min="4128" max="4128" width="58.140625" style="20" customWidth="1"/>
    <col min="4129" max="4129" width="3.7109375" style="20" customWidth="1"/>
    <col min="4130" max="4130" width="18.85546875" style="20" customWidth="1"/>
    <col min="4131" max="4352" width="9.140625" style="20"/>
    <col min="4353" max="4353" width="51.42578125" style="20" customWidth="1"/>
    <col min="4354" max="4354" width="15.28515625" style="20" customWidth="1"/>
    <col min="4355" max="4355" width="17.140625" style="20" customWidth="1"/>
    <col min="4356" max="4356" width="13.85546875" style="20" customWidth="1"/>
    <col min="4357" max="4357" width="15.42578125" style="20" customWidth="1"/>
    <col min="4358" max="4359" width="13.42578125" style="20" customWidth="1"/>
    <col min="4360" max="4360" width="17.42578125" style="20" customWidth="1"/>
    <col min="4361" max="4361" width="14.7109375" style="20" customWidth="1"/>
    <col min="4362" max="4362" width="13.5703125" style="20" customWidth="1"/>
    <col min="4363" max="4363" width="15.140625" style="20" customWidth="1"/>
    <col min="4364" max="4364" width="14.7109375" style="20" customWidth="1"/>
    <col min="4365" max="4365" width="15.140625" style="20" customWidth="1"/>
    <col min="4366" max="4366" width="14.140625" style="20" customWidth="1"/>
    <col min="4367" max="4367" width="14.7109375" style="20" customWidth="1"/>
    <col min="4368" max="4368" width="14.42578125" style="20" customWidth="1"/>
    <col min="4369" max="4369" width="15" style="20" customWidth="1"/>
    <col min="4370" max="4370" width="14.5703125" style="20" customWidth="1"/>
    <col min="4371" max="4371" width="14.85546875" style="20" customWidth="1"/>
    <col min="4372" max="4372" width="15" style="20" customWidth="1"/>
    <col min="4373" max="4383" width="16.140625" style="20" customWidth="1"/>
    <col min="4384" max="4384" width="58.140625" style="20" customWidth="1"/>
    <col min="4385" max="4385" width="3.7109375" style="20" customWidth="1"/>
    <col min="4386" max="4386" width="18.85546875" style="20" customWidth="1"/>
    <col min="4387" max="4608" width="9.140625" style="20"/>
    <col min="4609" max="4609" width="51.42578125" style="20" customWidth="1"/>
    <col min="4610" max="4610" width="15.28515625" style="20" customWidth="1"/>
    <col min="4611" max="4611" width="17.140625" style="20" customWidth="1"/>
    <col min="4612" max="4612" width="13.85546875" style="20" customWidth="1"/>
    <col min="4613" max="4613" width="15.42578125" style="20" customWidth="1"/>
    <col min="4614" max="4615" width="13.42578125" style="20" customWidth="1"/>
    <col min="4616" max="4616" width="17.42578125" style="20" customWidth="1"/>
    <col min="4617" max="4617" width="14.7109375" style="20" customWidth="1"/>
    <col min="4618" max="4618" width="13.5703125" style="20" customWidth="1"/>
    <col min="4619" max="4619" width="15.140625" style="20" customWidth="1"/>
    <col min="4620" max="4620" width="14.7109375" style="20" customWidth="1"/>
    <col min="4621" max="4621" width="15.140625" style="20" customWidth="1"/>
    <col min="4622" max="4622" width="14.140625" style="20" customWidth="1"/>
    <col min="4623" max="4623" width="14.7109375" style="20" customWidth="1"/>
    <col min="4624" max="4624" width="14.42578125" style="20" customWidth="1"/>
    <col min="4625" max="4625" width="15" style="20" customWidth="1"/>
    <col min="4626" max="4626" width="14.5703125" style="20" customWidth="1"/>
    <col min="4627" max="4627" width="14.85546875" style="20" customWidth="1"/>
    <col min="4628" max="4628" width="15" style="20" customWidth="1"/>
    <col min="4629" max="4639" width="16.140625" style="20" customWidth="1"/>
    <col min="4640" max="4640" width="58.140625" style="20" customWidth="1"/>
    <col min="4641" max="4641" width="3.7109375" style="20" customWidth="1"/>
    <col min="4642" max="4642" width="18.85546875" style="20" customWidth="1"/>
    <col min="4643" max="4864" width="9.140625" style="20"/>
    <col min="4865" max="4865" width="51.42578125" style="20" customWidth="1"/>
    <col min="4866" max="4866" width="15.28515625" style="20" customWidth="1"/>
    <col min="4867" max="4867" width="17.140625" style="20" customWidth="1"/>
    <col min="4868" max="4868" width="13.85546875" style="20" customWidth="1"/>
    <col min="4869" max="4869" width="15.42578125" style="20" customWidth="1"/>
    <col min="4870" max="4871" width="13.42578125" style="20" customWidth="1"/>
    <col min="4872" max="4872" width="17.42578125" style="20" customWidth="1"/>
    <col min="4873" max="4873" width="14.7109375" style="20" customWidth="1"/>
    <col min="4874" max="4874" width="13.5703125" style="20" customWidth="1"/>
    <col min="4875" max="4875" width="15.140625" style="20" customWidth="1"/>
    <col min="4876" max="4876" width="14.7109375" style="20" customWidth="1"/>
    <col min="4877" max="4877" width="15.140625" style="20" customWidth="1"/>
    <col min="4878" max="4878" width="14.140625" style="20" customWidth="1"/>
    <col min="4879" max="4879" width="14.7109375" style="20" customWidth="1"/>
    <col min="4880" max="4880" width="14.42578125" style="20" customWidth="1"/>
    <col min="4881" max="4881" width="15" style="20" customWidth="1"/>
    <col min="4882" max="4882" width="14.5703125" style="20" customWidth="1"/>
    <col min="4883" max="4883" width="14.85546875" style="20" customWidth="1"/>
    <col min="4884" max="4884" width="15" style="20" customWidth="1"/>
    <col min="4885" max="4895" width="16.140625" style="20" customWidth="1"/>
    <col min="4896" max="4896" width="58.140625" style="20" customWidth="1"/>
    <col min="4897" max="4897" width="3.7109375" style="20" customWidth="1"/>
    <col min="4898" max="4898" width="18.85546875" style="20" customWidth="1"/>
    <col min="4899" max="5120" width="9.140625" style="20"/>
    <col min="5121" max="5121" width="51.42578125" style="20" customWidth="1"/>
    <col min="5122" max="5122" width="15.28515625" style="20" customWidth="1"/>
    <col min="5123" max="5123" width="17.140625" style="20" customWidth="1"/>
    <col min="5124" max="5124" width="13.85546875" style="20" customWidth="1"/>
    <col min="5125" max="5125" width="15.42578125" style="20" customWidth="1"/>
    <col min="5126" max="5127" width="13.42578125" style="20" customWidth="1"/>
    <col min="5128" max="5128" width="17.42578125" style="20" customWidth="1"/>
    <col min="5129" max="5129" width="14.7109375" style="20" customWidth="1"/>
    <col min="5130" max="5130" width="13.5703125" style="20" customWidth="1"/>
    <col min="5131" max="5131" width="15.140625" style="20" customWidth="1"/>
    <col min="5132" max="5132" width="14.7109375" style="20" customWidth="1"/>
    <col min="5133" max="5133" width="15.140625" style="20" customWidth="1"/>
    <col min="5134" max="5134" width="14.140625" style="20" customWidth="1"/>
    <col min="5135" max="5135" width="14.7109375" style="20" customWidth="1"/>
    <col min="5136" max="5136" width="14.42578125" style="20" customWidth="1"/>
    <col min="5137" max="5137" width="15" style="20" customWidth="1"/>
    <col min="5138" max="5138" width="14.5703125" style="20" customWidth="1"/>
    <col min="5139" max="5139" width="14.85546875" style="20" customWidth="1"/>
    <col min="5140" max="5140" width="15" style="20" customWidth="1"/>
    <col min="5141" max="5151" width="16.140625" style="20" customWidth="1"/>
    <col min="5152" max="5152" width="58.140625" style="20" customWidth="1"/>
    <col min="5153" max="5153" width="3.7109375" style="20" customWidth="1"/>
    <col min="5154" max="5154" width="18.85546875" style="20" customWidth="1"/>
    <col min="5155" max="5376" width="9.140625" style="20"/>
    <col min="5377" max="5377" width="51.42578125" style="20" customWidth="1"/>
    <col min="5378" max="5378" width="15.28515625" style="20" customWidth="1"/>
    <col min="5379" max="5379" width="17.140625" style="20" customWidth="1"/>
    <col min="5380" max="5380" width="13.85546875" style="20" customWidth="1"/>
    <col min="5381" max="5381" width="15.42578125" style="20" customWidth="1"/>
    <col min="5382" max="5383" width="13.42578125" style="20" customWidth="1"/>
    <col min="5384" max="5384" width="17.42578125" style="20" customWidth="1"/>
    <col min="5385" max="5385" width="14.7109375" style="20" customWidth="1"/>
    <col min="5386" max="5386" width="13.5703125" style="20" customWidth="1"/>
    <col min="5387" max="5387" width="15.140625" style="20" customWidth="1"/>
    <col min="5388" max="5388" width="14.7109375" style="20" customWidth="1"/>
    <col min="5389" max="5389" width="15.140625" style="20" customWidth="1"/>
    <col min="5390" max="5390" width="14.140625" style="20" customWidth="1"/>
    <col min="5391" max="5391" width="14.7109375" style="20" customWidth="1"/>
    <col min="5392" max="5392" width="14.42578125" style="20" customWidth="1"/>
    <col min="5393" max="5393" width="15" style="20" customWidth="1"/>
    <col min="5394" max="5394" width="14.5703125" style="20" customWidth="1"/>
    <col min="5395" max="5395" width="14.85546875" style="20" customWidth="1"/>
    <col min="5396" max="5396" width="15" style="20" customWidth="1"/>
    <col min="5397" max="5407" width="16.140625" style="20" customWidth="1"/>
    <col min="5408" max="5408" width="58.140625" style="20" customWidth="1"/>
    <col min="5409" max="5409" width="3.7109375" style="20" customWidth="1"/>
    <col min="5410" max="5410" width="18.85546875" style="20" customWidth="1"/>
    <col min="5411" max="5632" width="9.140625" style="20"/>
    <col min="5633" max="5633" width="51.42578125" style="20" customWidth="1"/>
    <col min="5634" max="5634" width="15.28515625" style="20" customWidth="1"/>
    <col min="5635" max="5635" width="17.140625" style="20" customWidth="1"/>
    <col min="5636" max="5636" width="13.85546875" style="20" customWidth="1"/>
    <col min="5637" max="5637" width="15.42578125" style="20" customWidth="1"/>
    <col min="5638" max="5639" width="13.42578125" style="20" customWidth="1"/>
    <col min="5640" max="5640" width="17.42578125" style="20" customWidth="1"/>
    <col min="5641" max="5641" width="14.7109375" style="20" customWidth="1"/>
    <col min="5642" max="5642" width="13.5703125" style="20" customWidth="1"/>
    <col min="5643" max="5643" width="15.140625" style="20" customWidth="1"/>
    <col min="5644" max="5644" width="14.7109375" style="20" customWidth="1"/>
    <col min="5645" max="5645" width="15.140625" style="20" customWidth="1"/>
    <col min="5646" max="5646" width="14.140625" style="20" customWidth="1"/>
    <col min="5647" max="5647" width="14.7109375" style="20" customWidth="1"/>
    <col min="5648" max="5648" width="14.42578125" style="20" customWidth="1"/>
    <col min="5649" max="5649" width="15" style="20" customWidth="1"/>
    <col min="5650" max="5650" width="14.5703125" style="20" customWidth="1"/>
    <col min="5651" max="5651" width="14.85546875" style="20" customWidth="1"/>
    <col min="5652" max="5652" width="15" style="20" customWidth="1"/>
    <col min="5653" max="5663" width="16.140625" style="20" customWidth="1"/>
    <col min="5664" max="5664" width="58.140625" style="20" customWidth="1"/>
    <col min="5665" max="5665" width="3.7109375" style="20" customWidth="1"/>
    <col min="5666" max="5666" width="18.85546875" style="20" customWidth="1"/>
    <col min="5667" max="5888" width="9.140625" style="20"/>
    <col min="5889" max="5889" width="51.42578125" style="20" customWidth="1"/>
    <col min="5890" max="5890" width="15.28515625" style="20" customWidth="1"/>
    <col min="5891" max="5891" width="17.140625" style="20" customWidth="1"/>
    <col min="5892" max="5892" width="13.85546875" style="20" customWidth="1"/>
    <col min="5893" max="5893" width="15.42578125" style="20" customWidth="1"/>
    <col min="5894" max="5895" width="13.42578125" style="20" customWidth="1"/>
    <col min="5896" max="5896" width="17.42578125" style="20" customWidth="1"/>
    <col min="5897" max="5897" width="14.7109375" style="20" customWidth="1"/>
    <col min="5898" max="5898" width="13.5703125" style="20" customWidth="1"/>
    <col min="5899" max="5899" width="15.140625" style="20" customWidth="1"/>
    <col min="5900" max="5900" width="14.7109375" style="20" customWidth="1"/>
    <col min="5901" max="5901" width="15.140625" style="20" customWidth="1"/>
    <col min="5902" max="5902" width="14.140625" style="20" customWidth="1"/>
    <col min="5903" max="5903" width="14.7109375" style="20" customWidth="1"/>
    <col min="5904" max="5904" width="14.42578125" style="20" customWidth="1"/>
    <col min="5905" max="5905" width="15" style="20" customWidth="1"/>
    <col min="5906" max="5906" width="14.5703125" style="20" customWidth="1"/>
    <col min="5907" max="5907" width="14.85546875" style="20" customWidth="1"/>
    <col min="5908" max="5908" width="15" style="20" customWidth="1"/>
    <col min="5909" max="5919" width="16.140625" style="20" customWidth="1"/>
    <col min="5920" max="5920" width="58.140625" style="20" customWidth="1"/>
    <col min="5921" max="5921" width="3.7109375" style="20" customWidth="1"/>
    <col min="5922" max="5922" width="18.85546875" style="20" customWidth="1"/>
    <col min="5923" max="6144" width="9.140625" style="20"/>
    <col min="6145" max="6145" width="51.42578125" style="20" customWidth="1"/>
    <col min="6146" max="6146" width="15.28515625" style="20" customWidth="1"/>
    <col min="6147" max="6147" width="17.140625" style="20" customWidth="1"/>
    <col min="6148" max="6148" width="13.85546875" style="20" customWidth="1"/>
    <col min="6149" max="6149" width="15.42578125" style="20" customWidth="1"/>
    <col min="6150" max="6151" width="13.42578125" style="20" customWidth="1"/>
    <col min="6152" max="6152" width="17.42578125" style="20" customWidth="1"/>
    <col min="6153" max="6153" width="14.7109375" style="20" customWidth="1"/>
    <col min="6154" max="6154" width="13.5703125" style="20" customWidth="1"/>
    <col min="6155" max="6155" width="15.140625" style="20" customWidth="1"/>
    <col min="6156" max="6156" width="14.7109375" style="20" customWidth="1"/>
    <col min="6157" max="6157" width="15.140625" style="20" customWidth="1"/>
    <col min="6158" max="6158" width="14.140625" style="20" customWidth="1"/>
    <col min="6159" max="6159" width="14.7109375" style="20" customWidth="1"/>
    <col min="6160" max="6160" width="14.42578125" style="20" customWidth="1"/>
    <col min="6161" max="6161" width="15" style="20" customWidth="1"/>
    <col min="6162" max="6162" width="14.5703125" style="20" customWidth="1"/>
    <col min="6163" max="6163" width="14.85546875" style="20" customWidth="1"/>
    <col min="6164" max="6164" width="15" style="20" customWidth="1"/>
    <col min="6165" max="6175" width="16.140625" style="20" customWidth="1"/>
    <col min="6176" max="6176" width="58.140625" style="20" customWidth="1"/>
    <col min="6177" max="6177" width="3.7109375" style="20" customWidth="1"/>
    <col min="6178" max="6178" width="18.85546875" style="20" customWidth="1"/>
    <col min="6179" max="6400" width="9.140625" style="20"/>
    <col min="6401" max="6401" width="51.42578125" style="20" customWidth="1"/>
    <col min="6402" max="6402" width="15.28515625" style="20" customWidth="1"/>
    <col min="6403" max="6403" width="17.140625" style="20" customWidth="1"/>
    <col min="6404" max="6404" width="13.85546875" style="20" customWidth="1"/>
    <col min="6405" max="6405" width="15.42578125" style="20" customWidth="1"/>
    <col min="6406" max="6407" width="13.42578125" style="20" customWidth="1"/>
    <col min="6408" max="6408" width="17.42578125" style="20" customWidth="1"/>
    <col min="6409" max="6409" width="14.7109375" style="20" customWidth="1"/>
    <col min="6410" max="6410" width="13.5703125" style="20" customWidth="1"/>
    <col min="6411" max="6411" width="15.140625" style="20" customWidth="1"/>
    <col min="6412" max="6412" width="14.7109375" style="20" customWidth="1"/>
    <col min="6413" max="6413" width="15.140625" style="20" customWidth="1"/>
    <col min="6414" max="6414" width="14.140625" style="20" customWidth="1"/>
    <col min="6415" max="6415" width="14.7109375" style="20" customWidth="1"/>
    <col min="6416" max="6416" width="14.42578125" style="20" customWidth="1"/>
    <col min="6417" max="6417" width="15" style="20" customWidth="1"/>
    <col min="6418" max="6418" width="14.5703125" style="20" customWidth="1"/>
    <col min="6419" max="6419" width="14.85546875" style="20" customWidth="1"/>
    <col min="6420" max="6420" width="15" style="20" customWidth="1"/>
    <col min="6421" max="6431" width="16.140625" style="20" customWidth="1"/>
    <col min="6432" max="6432" width="58.140625" style="20" customWidth="1"/>
    <col min="6433" max="6433" width="3.7109375" style="20" customWidth="1"/>
    <col min="6434" max="6434" width="18.85546875" style="20" customWidth="1"/>
    <col min="6435" max="6656" width="9.140625" style="20"/>
    <col min="6657" max="6657" width="51.42578125" style="20" customWidth="1"/>
    <col min="6658" max="6658" width="15.28515625" style="20" customWidth="1"/>
    <col min="6659" max="6659" width="17.140625" style="20" customWidth="1"/>
    <col min="6660" max="6660" width="13.85546875" style="20" customWidth="1"/>
    <col min="6661" max="6661" width="15.42578125" style="20" customWidth="1"/>
    <col min="6662" max="6663" width="13.42578125" style="20" customWidth="1"/>
    <col min="6664" max="6664" width="17.42578125" style="20" customWidth="1"/>
    <col min="6665" max="6665" width="14.7109375" style="20" customWidth="1"/>
    <col min="6666" max="6666" width="13.5703125" style="20" customWidth="1"/>
    <col min="6667" max="6667" width="15.140625" style="20" customWidth="1"/>
    <col min="6668" max="6668" width="14.7109375" style="20" customWidth="1"/>
    <col min="6669" max="6669" width="15.140625" style="20" customWidth="1"/>
    <col min="6670" max="6670" width="14.140625" style="20" customWidth="1"/>
    <col min="6671" max="6671" width="14.7109375" style="20" customWidth="1"/>
    <col min="6672" max="6672" width="14.42578125" style="20" customWidth="1"/>
    <col min="6673" max="6673" width="15" style="20" customWidth="1"/>
    <col min="6674" max="6674" width="14.5703125" style="20" customWidth="1"/>
    <col min="6675" max="6675" width="14.85546875" style="20" customWidth="1"/>
    <col min="6676" max="6676" width="15" style="20" customWidth="1"/>
    <col min="6677" max="6687" width="16.140625" style="20" customWidth="1"/>
    <col min="6688" max="6688" width="58.140625" style="20" customWidth="1"/>
    <col min="6689" max="6689" width="3.7109375" style="20" customWidth="1"/>
    <col min="6690" max="6690" width="18.85546875" style="20" customWidth="1"/>
    <col min="6691" max="6912" width="9.140625" style="20"/>
    <col min="6913" max="6913" width="51.42578125" style="20" customWidth="1"/>
    <col min="6914" max="6914" width="15.28515625" style="20" customWidth="1"/>
    <col min="6915" max="6915" width="17.140625" style="20" customWidth="1"/>
    <col min="6916" max="6916" width="13.85546875" style="20" customWidth="1"/>
    <col min="6917" max="6917" width="15.42578125" style="20" customWidth="1"/>
    <col min="6918" max="6919" width="13.42578125" style="20" customWidth="1"/>
    <col min="6920" max="6920" width="17.42578125" style="20" customWidth="1"/>
    <col min="6921" max="6921" width="14.7109375" style="20" customWidth="1"/>
    <col min="6922" max="6922" width="13.5703125" style="20" customWidth="1"/>
    <col min="6923" max="6923" width="15.140625" style="20" customWidth="1"/>
    <col min="6924" max="6924" width="14.7109375" style="20" customWidth="1"/>
    <col min="6925" max="6925" width="15.140625" style="20" customWidth="1"/>
    <col min="6926" max="6926" width="14.140625" style="20" customWidth="1"/>
    <col min="6927" max="6927" width="14.7109375" style="20" customWidth="1"/>
    <col min="6928" max="6928" width="14.42578125" style="20" customWidth="1"/>
    <col min="6929" max="6929" width="15" style="20" customWidth="1"/>
    <col min="6930" max="6930" width="14.5703125" style="20" customWidth="1"/>
    <col min="6931" max="6931" width="14.85546875" style="20" customWidth="1"/>
    <col min="6932" max="6932" width="15" style="20" customWidth="1"/>
    <col min="6933" max="6943" width="16.140625" style="20" customWidth="1"/>
    <col min="6944" max="6944" width="58.140625" style="20" customWidth="1"/>
    <col min="6945" max="6945" width="3.7109375" style="20" customWidth="1"/>
    <col min="6946" max="6946" width="18.85546875" style="20" customWidth="1"/>
    <col min="6947" max="7168" width="9.140625" style="20"/>
    <col min="7169" max="7169" width="51.42578125" style="20" customWidth="1"/>
    <col min="7170" max="7170" width="15.28515625" style="20" customWidth="1"/>
    <col min="7171" max="7171" width="17.140625" style="20" customWidth="1"/>
    <col min="7172" max="7172" width="13.85546875" style="20" customWidth="1"/>
    <col min="7173" max="7173" width="15.42578125" style="20" customWidth="1"/>
    <col min="7174" max="7175" width="13.42578125" style="20" customWidth="1"/>
    <col min="7176" max="7176" width="17.42578125" style="20" customWidth="1"/>
    <col min="7177" max="7177" width="14.7109375" style="20" customWidth="1"/>
    <col min="7178" max="7178" width="13.5703125" style="20" customWidth="1"/>
    <col min="7179" max="7179" width="15.140625" style="20" customWidth="1"/>
    <col min="7180" max="7180" width="14.7109375" style="20" customWidth="1"/>
    <col min="7181" max="7181" width="15.140625" style="20" customWidth="1"/>
    <col min="7182" max="7182" width="14.140625" style="20" customWidth="1"/>
    <col min="7183" max="7183" width="14.7109375" style="20" customWidth="1"/>
    <col min="7184" max="7184" width="14.42578125" style="20" customWidth="1"/>
    <col min="7185" max="7185" width="15" style="20" customWidth="1"/>
    <col min="7186" max="7186" width="14.5703125" style="20" customWidth="1"/>
    <col min="7187" max="7187" width="14.85546875" style="20" customWidth="1"/>
    <col min="7188" max="7188" width="15" style="20" customWidth="1"/>
    <col min="7189" max="7199" width="16.140625" style="20" customWidth="1"/>
    <col min="7200" max="7200" width="58.140625" style="20" customWidth="1"/>
    <col min="7201" max="7201" width="3.7109375" style="20" customWidth="1"/>
    <col min="7202" max="7202" width="18.85546875" style="20" customWidth="1"/>
    <col min="7203" max="7424" width="9.140625" style="20"/>
    <col min="7425" max="7425" width="51.42578125" style="20" customWidth="1"/>
    <col min="7426" max="7426" width="15.28515625" style="20" customWidth="1"/>
    <col min="7427" max="7427" width="17.140625" style="20" customWidth="1"/>
    <col min="7428" max="7428" width="13.85546875" style="20" customWidth="1"/>
    <col min="7429" max="7429" width="15.42578125" style="20" customWidth="1"/>
    <col min="7430" max="7431" width="13.42578125" style="20" customWidth="1"/>
    <col min="7432" max="7432" width="17.42578125" style="20" customWidth="1"/>
    <col min="7433" max="7433" width="14.7109375" style="20" customWidth="1"/>
    <col min="7434" max="7434" width="13.5703125" style="20" customWidth="1"/>
    <col min="7435" max="7435" width="15.140625" style="20" customWidth="1"/>
    <col min="7436" max="7436" width="14.7109375" style="20" customWidth="1"/>
    <col min="7437" max="7437" width="15.140625" style="20" customWidth="1"/>
    <col min="7438" max="7438" width="14.140625" style="20" customWidth="1"/>
    <col min="7439" max="7439" width="14.7109375" style="20" customWidth="1"/>
    <col min="7440" max="7440" width="14.42578125" style="20" customWidth="1"/>
    <col min="7441" max="7441" width="15" style="20" customWidth="1"/>
    <col min="7442" max="7442" width="14.5703125" style="20" customWidth="1"/>
    <col min="7443" max="7443" width="14.85546875" style="20" customWidth="1"/>
    <col min="7444" max="7444" width="15" style="20" customWidth="1"/>
    <col min="7445" max="7455" width="16.140625" style="20" customWidth="1"/>
    <col min="7456" max="7456" width="58.140625" style="20" customWidth="1"/>
    <col min="7457" max="7457" width="3.7109375" style="20" customWidth="1"/>
    <col min="7458" max="7458" width="18.85546875" style="20" customWidth="1"/>
    <col min="7459" max="7680" width="9.140625" style="20"/>
    <col min="7681" max="7681" width="51.42578125" style="20" customWidth="1"/>
    <col min="7682" max="7682" width="15.28515625" style="20" customWidth="1"/>
    <col min="7683" max="7683" width="17.140625" style="20" customWidth="1"/>
    <col min="7684" max="7684" width="13.85546875" style="20" customWidth="1"/>
    <col min="7685" max="7685" width="15.42578125" style="20" customWidth="1"/>
    <col min="7686" max="7687" width="13.42578125" style="20" customWidth="1"/>
    <col min="7688" max="7688" width="17.42578125" style="20" customWidth="1"/>
    <col min="7689" max="7689" width="14.7109375" style="20" customWidth="1"/>
    <col min="7690" max="7690" width="13.5703125" style="20" customWidth="1"/>
    <col min="7691" max="7691" width="15.140625" style="20" customWidth="1"/>
    <col min="7692" max="7692" width="14.7109375" style="20" customWidth="1"/>
    <col min="7693" max="7693" width="15.140625" style="20" customWidth="1"/>
    <col min="7694" max="7694" width="14.140625" style="20" customWidth="1"/>
    <col min="7695" max="7695" width="14.7109375" style="20" customWidth="1"/>
    <col min="7696" max="7696" width="14.42578125" style="20" customWidth="1"/>
    <col min="7697" max="7697" width="15" style="20" customWidth="1"/>
    <col min="7698" max="7698" width="14.5703125" style="20" customWidth="1"/>
    <col min="7699" max="7699" width="14.85546875" style="20" customWidth="1"/>
    <col min="7700" max="7700" width="15" style="20" customWidth="1"/>
    <col min="7701" max="7711" width="16.140625" style="20" customWidth="1"/>
    <col min="7712" max="7712" width="58.140625" style="20" customWidth="1"/>
    <col min="7713" max="7713" width="3.7109375" style="20" customWidth="1"/>
    <col min="7714" max="7714" width="18.85546875" style="20" customWidth="1"/>
    <col min="7715" max="7936" width="9.140625" style="20"/>
    <col min="7937" max="7937" width="51.42578125" style="20" customWidth="1"/>
    <col min="7938" max="7938" width="15.28515625" style="20" customWidth="1"/>
    <col min="7939" max="7939" width="17.140625" style="20" customWidth="1"/>
    <col min="7940" max="7940" width="13.85546875" style="20" customWidth="1"/>
    <col min="7941" max="7941" width="15.42578125" style="20" customWidth="1"/>
    <col min="7942" max="7943" width="13.42578125" style="20" customWidth="1"/>
    <col min="7944" max="7944" width="17.42578125" style="20" customWidth="1"/>
    <col min="7945" max="7945" width="14.7109375" style="20" customWidth="1"/>
    <col min="7946" max="7946" width="13.5703125" style="20" customWidth="1"/>
    <col min="7947" max="7947" width="15.140625" style="20" customWidth="1"/>
    <col min="7948" max="7948" width="14.7109375" style="20" customWidth="1"/>
    <col min="7949" max="7949" width="15.140625" style="20" customWidth="1"/>
    <col min="7950" max="7950" width="14.140625" style="20" customWidth="1"/>
    <col min="7951" max="7951" width="14.7109375" style="20" customWidth="1"/>
    <col min="7952" max="7952" width="14.42578125" style="20" customWidth="1"/>
    <col min="7953" max="7953" width="15" style="20" customWidth="1"/>
    <col min="7954" max="7954" width="14.5703125" style="20" customWidth="1"/>
    <col min="7955" max="7955" width="14.85546875" style="20" customWidth="1"/>
    <col min="7956" max="7956" width="15" style="20" customWidth="1"/>
    <col min="7957" max="7967" width="16.140625" style="20" customWidth="1"/>
    <col min="7968" max="7968" width="58.140625" style="20" customWidth="1"/>
    <col min="7969" max="7969" width="3.7109375" style="20" customWidth="1"/>
    <col min="7970" max="7970" width="18.85546875" style="20" customWidth="1"/>
    <col min="7971" max="8192" width="9.140625" style="20"/>
    <col min="8193" max="8193" width="51.42578125" style="20" customWidth="1"/>
    <col min="8194" max="8194" width="15.28515625" style="20" customWidth="1"/>
    <col min="8195" max="8195" width="17.140625" style="20" customWidth="1"/>
    <col min="8196" max="8196" width="13.85546875" style="20" customWidth="1"/>
    <col min="8197" max="8197" width="15.42578125" style="20" customWidth="1"/>
    <col min="8198" max="8199" width="13.42578125" style="20" customWidth="1"/>
    <col min="8200" max="8200" width="17.42578125" style="20" customWidth="1"/>
    <col min="8201" max="8201" width="14.7109375" style="20" customWidth="1"/>
    <col min="8202" max="8202" width="13.5703125" style="20" customWidth="1"/>
    <col min="8203" max="8203" width="15.140625" style="20" customWidth="1"/>
    <col min="8204" max="8204" width="14.7109375" style="20" customWidth="1"/>
    <col min="8205" max="8205" width="15.140625" style="20" customWidth="1"/>
    <col min="8206" max="8206" width="14.140625" style="20" customWidth="1"/>
    <col min="8207" max="8207" width="14.7109375" style="20" customWidth="1"/>
    <col min="8208" max="8208" width="14.42578125" style="20" customWidth="1"/>
    <col min="8209" max="8209" width="15" style="20" customWidth="1"/>
    <col min="8210" max="8210" width="14.5703125" style="20" customWidth="1"/>
    <col min="8211" max="8211" width="14.85546875" style="20" customWidth="1"/>
    <col min="8212" max="8212" width="15" style="20" customWidth="1"/>
    <col min="8213" max="8223" width="16.140625" style="20" customWidth="1"/>
    <col min="8224" max="8224" width="58.140625" style="20" customWidth="1"/>
    <col min="8225" max="8225" width="3.7109375" style="20" customWidth="1"/>
    <col min="8226" max="8226" width="18.85546875" style="20" customWidth="1"/>
    <col min="8227" max="8448" width="9.140625" style="20"/>
    <col min="8449" max="8449" width="51.42578125" style="20" customWidth="1"/>
    <col min="8450" max="8450" width="15.28515625" style="20" customWidth="1"/>
    <col min="8451" max="8451" width="17.140625" style="20" customWidth="1"/>
    <col min="8452" max="8452" width="13.85546875" style="20" customWidth="1"/>
    <col min="8453" max="8453" width="15.42578125" style="20" customWidth="1"/>
    <col min="8454" max="8455" width="13.42578125" style="20" customWidth="1"/>
    <col min="8456" max="8456" width="17.42578125" style="20" customWidth="1"/>
    <col min="8457" max="8457" width="14.7109375" style="20" customWidth="1"/>
    <col min="8458" max="8458" width="13.5703125" style="20" customWidth="1"/>
    <col min="8459" max="8459" width="15.140625" style="20" customWidth="1"/>
    <col min="8460" max="8460" width="14.7109375" style="20" customWidth="1"/>
    <col min="8461" max="8461" width="15.140625" style="20" customWidth="1"/>
    <col min="8462" max="8462" width="14.140625" style="20" customWidth="1"/>
    <col min="8463" max="8463" width="14.7109375" style="20" customWidth="1"/>
    <col min="8464" max="8464" width="14.42578125" style="20" customWidth="1"/>
    <col min="8465" max="8465" width="15" style="20" customWidth="1"/>
    <col min="8466" max="8466" width="14.5703125" style="20" customWidth="1"/>
    <col min="8467" max="8467" width="14.85546875" style="20" customWidth="1"/>
    <col min="8468" max="8468" width="15" style="20" customWidth="1"/>
    <col min="8469" max="8479" width="16.140625" style="20" customWidth="1"/>
    <col min="8480" max="8480" width="58.140625" style="20" customWidth="1"/>
    <col min="8481" max="8481" width="3.7109375" style="20" customWidth="1"/>
    <col min="8482" max="8482" width="18.85546875" style="20" customWidth="1"/>
    <col min="8483" max="8704" width="9.140625" style="20"/>
    <col min="8705" max="8705" width="51.42578125" style="20" customWidth="1"/>
    <col min="8706" max="8706" width="15.28515625" style="20" customWidth="1"/>
    <col min="8707" max="8707" width="17.140625" style="20" customWidth="1"/>
    <col min="8708" max="8708" width="13.85546875" style="20" customWidth="1"/>
    <col min="8709" max="8709" width="15.42578125" style="20" customWidth="1"/>
    <col min="8710" max="8711" width="13.42578125" style="20" customWidth="1"/>
    <col min="8712" max="8712" width="17.42578125" style="20" customWidth="1"/>
    <col min="8713" max="8713" width="14.7109375" style="20" customWidth="1"/>
    <col min="8714" max="8714" width="13.5703125" style="20" customWidth="1"/>
    <col min="8715" max="8715" width="15.140625" style="20" customWidth="1"/>
    <col min="8716" max="8716" width="14.7109375" style="20" customWidth="1"/>
    <col min="8717" max="8717" width="15.140625" style="20" customWidth="1"/>
    <col min="8718" max="8718" width="14.140625" style="20" customWidth="1"/>
    <col min="8719" max="8719" width="14.7109375" style="20" customWidth="1"/>
    <col min="8720" max="8720" width="14.42578125" style="20" customWidth="1"/>
    <col min="8721" max="8721" width="15" style="20" customWidth="1"/>
    <col min="8722" max="8722" width="14.5703125" style="20" customWidth="1"/>
    <col min="8723" max="8723" width="14.85546875" style="20" customWidth="1"/>
    <col min="8724" max="8724" width="15" style="20" customWidth="1"/>
    <col min="8725" max="8735" width="16.140625" style="20" customWidth="1"/>
    <col min="8736" max="8736" width="58.140625" style="20" customWidth="1"/>
    <col min="8737" max="8737" width="3.7109375" style="20" customWidth="1"/>
    <col min="8738" max="8738" width="18.85546875" style="20" customWidth="1"/>
    <col min="8739" max="8960" width="9.140625" style="20"/>
    <col min="8961" max="8961" width="51.42578125" style="20" customWidth="1"/>
    <col min="8962" max="8962" width="15.28515625" style="20" customWidth="1"/>
    <col min="8963" max="8963" width="17.140625" style="20" customWidth="1"/>
    <col min="8964" max="8964" width="13.85546875" style="20" customWidth="1"/>
    <col min="8965" max="8965" width="15.42578125" style="20" customWidth="1"/>
    <col min="8966" max="8967" width="13.42578125" style="20" customWidth="1"/>
    <col min="8968" max="8968" width="17.42578125" style="20" customWidth="1"/>
    <col min="8969" max="8969" width="14.7109375" style="20" customWidth="1"/>
    <col min="8970" max="8970" width="13.5703125" style="20" customWidth="1"/>
    <col min="8971" max="8971" width="15.140625" style="20" customWidth="1"/>
    <col min="8972" max="8972" width="14.7109375" style="20" customWidth="1"/>
    <col min="8973" max="8973" width="15.140625" style="20" customWidth="1"/>
    <col min="8974" max="8974" width="14.140625" style="20" customWidth="1"/>
    <col min="8975" max="8975" width="14.7109375" style="20" customWidth="1"/>
    <col min="8976" max="8976" width="14.42578125" style="20" customWidth="1"/>
    <col min="8977" max="8977" width="15" style="20" customWidth="1"/>
    <col min="8978" max="8978" width="14.5703125" style="20" customWidth="1"/>
    <col min="8979" max="8979" width="14.85546875" style="20" customWidth="1"/>
    <col min="8980" max="8980" width="15" style="20" customWidth="1"/>
    <col min="8981" max="8991" width="16.140625" style="20" customWidth="1"/>
    <col min="8992" max="8992" width="58.140625" style="20" customWidth="1"/>
    <col min="8993" max="8993" width="3.7109375" style="20" customWidth="1"/>
    <col min="8994" max="8994" width="18.85546875" style="20" customWidth="1"/>
    <col min="8995" max="9216" width="9.140625" style="20"/>
    <col min="9217" max="9217" width="51.42578125" style="20" customWidth="1"/>
    <col min="9218" max="9218" width="15.28515625" style="20" customWidth="1"/>
    <col min="9219" max="9219" width="17.140625" style="20" customWidth="1"/>
    <col min="9220" max="9220" width="13.85546875" style="20" customWidth="1"/>
    <col min="9221" max="9221" width="15.42578125" style="20" customWidth="1"/>
    <col min="9222" max="9223" width="13.42578125" style="20" customWidth="1"/>
    <col min="9224" max="9224" width="17.42578125" style="20" customWidth="1"/>
    <col min="9225" max="9225" width="14.7109375" style="20" customWidth="1"/>
    <col min="9226" max="9226" width="13.5703125" style="20" customWidth="1"/>
    <col min="9227" max="9227" width="15.140625" style="20" customWidth="1"/>
    <col min="9228" max="9228" width="14.7109375" style="20" customWidth="1"/>
    <col min="9229" max="9229" width="15.140625" style="20" customWidth="1"/>
    <col min="9230" max="9230" width="14.140625" style="20" customWidth="1"/>
    <col min="9231" max="9231" width="14.7109375" style="20" customWidth="1"/>
    <col min="9232" max="9232" width="14.42578125" style="20" customWidth="1"/>
    <col min="9233" max="9233" width="15" style="20" customWidth="1"/>
    <col min="9234" max="9234" width="14.5703125" style="20" customWidth="1"/>
    <col min="9235" max="9235" width="14.85546875" style="20" customWidth="1"/>
    <col min="9236" max="9236" width="15" style="20" customWidth="1"/>
    <col min="9237" max="9247" width="16.140625" style="20" customWidth="1"/>
    <col min="9248" max="9248" width="58.140625" style="20" customWidth="1"/>
    <col min="9249" max="9249" width="3.7109375" style="20" customWidth="1"/>
    <col min="9250" max="9250" width="18.85546875" style="20" customWidth="1"/>
    <col min="9251" max="9472" width="9.140625" style="20"/>
    <col min="9473" max="9473" width="51.42578125" style="20" customWidth="1"/>
    <col min="9474" max="9474" width="15.28515625" style="20" customWidth="1"/>
    <col min="9475" max="9475" width="17.140625" style="20" customWidth="1"/>
    <col min="9476" max="9476" width="13.85546875" style="20" customWidth="1"/>
    <col min="9477" max="9477" width="15.42578125" style="20" customWidth="1"/>
    <col min="9478" max="9479" width="13.42578125" style="20" customWidth="1"/>
    <col min="9480" max="9480" width="17.42578125" style="20" customWidth="1"/>
    <col min="9481" max="9481" width="14.7109375" style="20" customWidth="1"/>
    <col min="9482" max="9482" width="13.5703125" style="20" customWidth="1"/>
    <col min="9483" max="9483" width="15.140625" style="20" customWidth="1"/>
    <col min="9484" max="9484" width="14.7109375" style="20" customWidth="1"/>
    <col min="9485" max="9485" width="15.140625" style="20" customWidth="1"/>
    <col min="9486" max="9486" width="14.140625" style="20" customWidth="1"/>
    <col min="9487" max="9487" width="14.7109375" style="20" customWidth="1"/>
    <col min="9488" max="9488" width="14.42578125" style="20" customWidth="1"/>
    <col min="9489" max="9489" width="15" style="20" customWidth="1"/>
    <col min="9490" max="9490" width="14.5703125" style="20" customWidth="1"/>
    <col min="9491" max="9491" width="14.85546875" style="20" customWidth="1"/>
    <col min="9492" max="9492" width="15" style="20" customWidth="1"/>
    <col min="9493" max="9503" width="16.140625" style="20" customWidth="1"/>
    <col min="9504" max="9504" width="58.140625" style="20" customWidth="1"/>
    <col min="9505" max="9505" width="3.7109375" style="20" customWidth="1"/>
    <col min="9506" max="9506" width="18.85546875" style="20" customWidth="1"/>
    <col min="9507" max="9728" width="9.140625" style="20"/>
    <col min="9729" max="9729" width="51.42578125" style="20" customWidth="1"/>
    <col min="9730" max="9730" width="15.28515625" style="20" customWidth="1"/>
    <col min="9731" max="9731" width="17.140625" style="20" customWidth="1"/>
    <col min="9732" max="9732" width="13.85546875" style="20" customWidth="1"/>
    <col min="9733" max="9733" width="15.42578125" style="20" customWidth="1"/>
    <col min="9734" max="9735" width="13.42578125" style="20" customWidth="1"/>
    <col min="9736" max="9736" width="17.42578125" style="20" customWidth="1"/>
    <col min="9737" max="9737" width="14.7109375" style="20" customWidth="1"/>
    <col min="9738" max="9738" width="13.5703125" style="20" customWidth="1"/>
    <col min="9739" max="9739" width="15.140625" style="20" customWidth="1"/>
    <col min="9740" max="9740" width="14.7109375" style="20" customWidth="1"/>
    <col min="9741" max="9741" width="15.140625" style="20" customWidth="1"/>
    <col min="9742" max="9742" width="14.140625" style="20" customWidth="1"/>
    <col min="9743" max="9743" width="14.7109375" style="20" customWidth="1"/>
    <col min="9744" max="9744" width="14.42578125" style="20" customWidth="1"/>
    <col min="9745" max="9745" width="15" style="20" customWidth="1"/>
    <col min="9746" max="9746" width="14.5703125" style="20" customWidth="1"/>
    <col min="9747" max="9747" width="14.85546875" style="20" customWidth="1"/>
    <col min="9748" max="9748" width="15" style="20" customWidth="1"/>
    <col min="9749" max="9759" width="16.140625" style="20" customWidth="1"/>
    <col min="9760" max="9760" width="58.140625" style="20" customWidth="1"/>
    <col min="9761" max="9761" width="3.7109375" style="20" customWidth="1"/>
    <col min="9762" max="9762" width="18.85546875" style="20" customWidth="1"/>
    <col min="9763" max="9984" width="9.140625" style="20"/>
    <col min="9985" max="9985" width="51.42578125" style="20" customWidth="1"/>
    <col min="9986" max="9986" width="15.28515625" style="20" customWidth="1"/>
    <col min="9987" max="9987" width="17.140625" style="20" customWidth="1"/>
    <col min="9988" max="9988" width="13.85546875" style="20" customWidth="1"/>
    <col min="9989" max="9989" width="15.42578125" style="20" customWidth="1"/>
    <col min="9990" max="9991" width="13.42578125" style="20" customWidth="1"/>
    <col min="9992" max="9992" width="17.42578125" style="20" customWidth="1"/>
    <col min="9993" max="9993" width="14.7109375" style="20" customWidth="1"/>
    <col min="9994" max="9994" width="13.5703125" style="20" customWidth="1"/>
    <col min="9995" max="9995" width="15.140625" style="20" customWidth="1"/>
    <col min="9996" max="9996" width="14.7109375" style="20" customWidth="1"/>
    <col min="9997" max="9997" width="15.140625" style="20" customWidth="1"/>
    <col min="9998" max="9998" width="14.140625" style="20" customWidth="1"/>
    <col min="9999" max="9999" width="14.7109375" style="20" customWidth="1"/>
    <col min="10000" max="10000" width="14.42578125" style="20" customWidth="1"/>
    <col min="10001" max="10001" width="15" style="20" customWidth="1"/>
    <col min="10002" max="10002" width="14.5703125" style="20" customWidth="1"/>
    <col min="10003" max="10003" width="14.85546875" style="20" customWidth="1"/>
    <col min="10004" max="10004" width="15" style="20" customWidth="1"/>
    <col min="10005" max="10015" width="16.140625" style="20" customWidth="1"/>
    <col min="10016" max="10016" width="58.140625" style="20" customWidth="1"/>
    <col min="10017" max="10017" width="3.7109375" style="20" customWidth="1"/>
    <col min="10018" max="10018" width="18.85546875" style="20" customWidth="1"/>
    <col min="10019" max="10240" width="9.140625" style="20"/>
    <col min="10241" max="10241" width="51.42578125" style="20" customWidth="1"/>
    <col min="10242" max="10242" width="15.28515625" style="20" customWidth="1"/>
    <col min="10243" max="10243" width="17.140625" style="20" customWidth="1"/>
    <col min="10244" max="10244" width="13.85546875" style="20" customWidth="1"/>
    <col min="10245" max="10245" width="15.42578125" style="20" customWidth="1"/>
    <col min="10246" max="10247" width="13.42578125" style="20" customWidth="1"/>
    <col min="10248" max="10248" width="17.42578125" style="20" customWidth="1"/>
    <col min="10249" max="10249" width="14.7109375" style="20" customWidth="1"/>
    <col min="10250" max="10250" width="13.5703125" style="20" customWidth="1"/>
    <col min="10251" max="10251" width="15.140625" style="20" customWidth="1"/>
    <col min="10252" max="10252" width="14.7109375" style="20" customWidth="1"/>
    <col min="10253" max="10253" width="15.140625" style="20" customWidth="1"/>
    <col min="10254" max="10254" width="14.140625" style="20" customWidth="1"/>
    <col min="10255" max="10255" width="14.7109375" style="20" customWidth="1"/>
    <col min="10256" max="10256" width="14.42578125" style="20" customWidth="1"/>
    <col min="10257" max="10257" width="15" style="20" customWidth="1"/>
    <col min="10258" max="10258" width="14.5703125" style="20" customWidth="1"/>
    <col min="10259" max="10259" width="14.85546875" style="20" customWidth="1"/>
    <col min="10260" max="10260" width="15" style="20" customWidth="1"/>
    <col min="10261" max="10271" width="16.140625" style="20" customWidth="1"/>
    <col min="10272" max="10272" width="58.140625" style="20" customWidth="1"/>
    <col min="10273" max="10273" width="3.7109375" style="20" customWidth="1"/>
    <col min="10274" max="10274" width="18.85546875" style="20" customWidth="1"/>
    <col min="10275" max="10496" width="9.140625" style="20"/>
    <col min="10497" max="10497" width="51.42578125" style="20" customWidth="1"/>
    <col min="10498" max="10498" width="15.28515625" style="20" customWidth="1"/>
    <col min="10499" max="10499" width="17.140625" style="20" customWidth="1"/>
    <col min="10500" max="10500" width="13.85546875" style="20" customWidth="1"/>
    <col min="10501" max="10501" width="15.42578125" style="20" customWidth="1"/>
    <col min="10502" max="10503" width="13.42578125" style="20" customWidth="1"/>
    <col min="10504" max="10504" width="17.42578125" style="20" customWidth="1"/>
    <col min="10505" max="10505" width="14.7109375" style="20" customWidth="1"/>
    <col min="10506" max="10506" width="13.5703125" style="20" customWidth="1"/>
    <col min="10507" max="10507" width="15.140625" style="20" customWidth="1"/>
    <col min="10508" max="10508" width="14.7109375" style="20" customWidth="1"/>
    <col min="10509" max="10509" width="15.140625" style="20" customWidth="1"/>
    <col min="10510" max="10510" width="14.140625" style="20" customWidth="1"/>
    <col min="10511" max="10511" width="14.7109375" style="20" customWidth="1"/>
    <col min="10512" max="10512" width="14.42578125" style="20" customWidth="1"/>
    <col min="10513" max="10513" width="15" style="20" customWidth="1"/>
    <col min="10514" max="10514" width="14.5703125" style="20" customWidth="1"/>
    <col min="10515" max="10515" width="14.85546875" style="20" customWidth="1"/>
    <col min="10516" max="10516" width="15" style="20" customWidth="1"/>
    <col min="10517" max="10527" width="16.140625" style="20" customWidth="1"/>
    <col min="10528" max="10528" width="58.140625" style="20" customWidth="1"/>
    <col min="10529" max="10529" width="3.7109375" style="20" customWidth="1"/>
    <col min="10530" max="10530" width="18.85546875" style="20" customWidth="1"/>
    <col min="10531" max="10752" width="9.140625" style="20"/>
    <col min="10753" max="10753" width="51.42578125" style="20" customWidth="1"/>
    <col min="10754" max="10754" width="15.28515625" style="20" customWidth="1"/>
    <col min="10755" max="10755" width="17.140625" style="20" customWidth="1"/>
    <col min="10756" max="10756" width="13.85546875" style="20" customWidth="1"/>
    <col min="10757" max="10757" width="15.42578125" style="20" customWidth="1"/>
    <col min="10758" max="10759" width="13.42578125" style="20" customWidth="1"/>
    <col min="10760" max="10760" width="17.42578125" style="20" customWidth="1"/>
    <col min="10761" max="10761" width="14.7109375" style="20" customWidth="1"/>
    <col min="10762" max="10762" width="13.5703125" style="20" customWidth="1"/>
    <col min="10763" max="10763" width="15.140625" style="20" customWidth="1"/>
    <col min="10764" max="10764" width="14.7109375" style="20" customWidth="1"/>
    <col min="10765" max="10765" width="15.140625" style="20" customWidth="1"/>
    <col min="10766" max="10766" width="14.140625" style="20" customWidth="1"/>
    <col min="10767" max="10767" width="14.7109375" style="20" customWidth="1"/>
    <col min="10768" max="10768" width="14.42578125" style="20" customWidth="1"/>
    <col min="10769" max="10769" width="15" style="20" customWidth="1"/>
    <col min="10770" max="10770" width="14.5703125" style="20" customWidth="1"/>
    <col min="10771" max="10771" width="14.85546875" style="20" customWidth="1"/>
    <col min="10772" max="10772" width="15" style="20" customWidth="1"/>
    <col min="10773" max="10783" width="16.140625" style="20" customWidth="1"/>
    <col min="10784" max="10784" width="58.140625" style="20" customWidth="1"/>
    <col min="10785" max="10785" width="3.7109375" style="20" customWidth="1"/>
    <col min="10786" max="10786" width="18.85546875" style="20" customWidth="1"/>
    <col min="10787" max="11008" width="9.140625" style="20"/>
    <col min="11009" max="11009" width="51.42578125" style="20" customWidth="1"/>
    <col min="11010" max="11010" width="15.28515625" style="20" customWidth="1"/>
    <col min="11011" max="11011" width="17.140625" style="20" customWidth="1"/>
    <col min="11012" max="11012" width="13.85546875" style="20" customWidth="1"/>
    <col min="11013" max="11013" width="15.42578125" style="20" customWidth="1"/>
    <col min="11014" max="11015" width="13.42578125" style="20" customWidth="1"/>
    <col min="11016" max="11016" width="17.42578125" style="20" customWidth="1"/>
    <col min="11017" max="11017" width="14.7109375" style="20" customWidth="1"/>
    <col min="11018" max="11018" width="13.5703125" style="20" customWidth="1"/>
    <col min="11019" max="11019" width="15.140625" style="20" customWidth="1"/>
    <col min="11020" max="11020" width="14.7109375" style="20" customWidth="1"/>
    <col min="11021" max="11021" width="15.140625" style="20" customWidth="1"/>
    <col min="11022" max="11022" width="14.140625" style="20" customWidth="1"/>
    <col min="11023" max="11023" width="14.7109375" style="20" customWidth="1"/>
    <col min="11024" max="11024" width="14.42578125" style="20" customWidth="1"/>
    <col min="11025" max="11025" width="15" style="20" customWidth="1"/>
    <col min="11026" max="11026" width="14.5703125" style="20" customWidth="1"/>
    <col min="11027" max="11027" width="14.85546875" style="20" customWidth="1"/>
    <col min="11028" max="11028" width="15" style="20" customWidth="1"/>
    <col min="11029" max="11039" width="16.140625" style="20" customWidth="1"/>
    <col min="11040" max="11040" width="58.140625" style="20" customWidth="1"/>
    <col min="11041" max="11041" width="3.7109375" style="20" customWidth="1"/>
    <col min="11042" max="11042" width="18.85546875" style="20" customWidth="1"/>
    <col min="11043" max="11264" width="9.140625" style="20"/>
    <col min="11265" max="11265" width="51.42578125" style="20" customWidth="1"/>
    <col min="11266" max="11266" width="15.28515625" style="20" customWidth="1"/>
    <col min="11267" max="11267" width="17.140625" style="20" customWidth="1"/>
    <col min="11268" max="11268" width="13.85546875" style="20" customWidth="1"/>
    <col min="11269" max="11269" width="15.42578125" style="20" customWidth="1"/>
    <col min="11270" max="11271" width="13.42578125" style="20" customWidth="1"/>
    <col min="11272" max="11272" width="17.42578125" style="20" customWidth="1"/>
    <col min="11273" max="11273" width="14.7109375" style="20" customWidth="1"/>
    <col min="11274" max="11274" width="13.5703125" style="20" customWidth="1"/>
    <col min="11275" max="11275" width="15.140625" style="20" customWidth="1"/>
    <col min="11276" max="11276" width="14.7109375" style="20" customWidth="1"/>
    <col min="11277" max="11277" width="15.140625" style="20" customWidth="1"/>
    <col min="11278" max="11278" width="14.140625" style="20" customWidth="1"/>
    <col min="11279" max="11279" width="14.7109375" style="20" customWidth="1"/>
    <col min="11280" max="11280" width="14.42578125" style="20" customWidth="1"/>
    <col min="11281" max="11281" width="15" style="20" customWidth="1"/>
    <col min="11282" max="11282" width="14.5703125" style="20" customWidth="1"/>
    <col min="11283" max="11283" width="14.85546875" style="20" customWidth="1"/>
    <col min="11284" max="11284" width="15" style="20" customWidth="1"/>
    <col min="11285" max="11295" width="16.140625" style="20" customWidth="1"/>
    <col min="11296" max="11296" width="58.140625" style="20" customWidth="1"/>
    <col min="11297" max="11297" width="3.7109375" style="20" customWidth="1"/>
    <col min="11298" max="11298" width="18.85546875" style="20" customWidth="1"/>
    <col min="11299" max="11520" width="9.140625" style="20"/>
    <col min="11521" max="11521" width="51.42578125" style="20" customWidth="1"/>
    <col min="11522" max="11522" width="15.28515625" style="20" customWidth="1"/>
    <col min="11523" max="11523" width="17.140625" style="20" customWidth="1"/>
    <col min="11524" max="11524" width="13.85546875" style="20" customWidth="1"/>
    <col min="11525" max="11525" width="15.42578125" style="20" customWidth="1"/>
    <col min="11526" max="11527" width="13.42578125" style="20" customWidth="1"/>
    <col min="11528" max="11528" width="17.42578125" style="20" customWidth="1"/>
    <col min="11529" max="11529" width="14.7109375" style="20" customWidth="1"/>
    <col min="11530" max="11530" width="13.5703125" style="20" customWidth="1"/>
    <col min="11531" max="11531" width="15.140625" style="20" customWidth="1"/>
    <col min="11532" max="11532" width="14.7109375" style="20" customWidth="1"/>
    <col min="11533" max="11533" width="15.140625" style="20" customWidth="1"/>
    <col min="11534" max="11534" width="14.140625" style="20" customWidth="1"/>
    <col min="11535" max="11535" width="14.7109375" style="20" customWidth="1"/>
    <col min="11536" max="11536" width="14.42578125" style="20" customWidth="1"/>
    <col min="11537" max="11537" width="15" style="20" customWidth="1"/>
    <col min="11538" max="11538" width="14.5703125" style="20" customWidth="1"/>
    <col min="11539" max="11539" width="14.85546875" style="20" customWidth="1"/>
    <col min="11540" max="11540" width="15" style="20" customWidth="1"/>
    <col min="11541" max="11551" width="16.140625" style="20" customWidth="1"/>
    <col min="11552" max="11552" width="58.140625" style="20" customWidth="1"/>
    <col min="11553" max="11553" width="3.7109375" style="20" customWidth="1"/>
    <col min="11554" max="11554" width="18.85546875" style="20" customWidth="1"/>
    <col min="11555" max="11776" width="9.140625" style="20"/>
    <col min="11777" max="11777" width="51.42578125" style="20" customWidth="1"/>
    <col min="11778" max="11778" width="15.28515625" style="20" customWidth="1"/>
    <col min="11779" max="11779" width="17.140625" style="20" customWidth="1"/>
    <col min="11780" max="11780" width="13.85546875" style="20" customWidth="1"/>
    <col min="11781" max="11781" width="15.42578125" style="20" customWidth="1"/>
    <col min="11782" max="11783" width="13.42578125" style="20" customWidth="1"/>
    <col min="11784" max="11784" width="17.42578125" style="20" customWidth="1"/>
    <col min="11785" max="11785" width="14.7109375" style="20" customWidth="1"/>
    <col min="11786" max="11786" width="13.5703125" style="20" customWidth="1"/>
    <col min="11787" max="11787" width="15.140625" style="20" customWidth="1"/>
    <col min="11788" max="11788" width="14.7109375" style="20" customWidth="1"/>
    <col min="11789" max="11789" width="15.140625" style="20" customWidth="1"/>
    <col min="11790" max="11790" width="14.140625" style="20" customWidth="1"/>
    <col min="11791" max="11791" width="14.7109375" style="20" customWidth="1"/>
    <col min="11792" max="11792" width="14.42578125" style="20" customWidth="1"/>
    <col min="11793" max="11793" width="15" style="20" customWidth="1"/>
    <col min="11794" max="11794" width="14.5703125" style="20" customWidth="1"/>
    <col min="11795" max="11795" width="14.85546875" style="20" customWidth="1"/>
    <col min="11796" max="11796" width="15" style="20" customWidth="1"/>
    <col min="11797" max="11807" width="16.140625" style="20" customWidth="1"/>
    <col min="11808" max="11808" width="58.140625" style="20" customWidth="1"/>
    <col min="11809" max="11809" width="3.7109375" style="20" customWidth="1"/>
    <col min="11810" max="11810" width="18.85546875" style="20" customWidth="1"/>
    <col min="11811" max="12032" width="9.140625" style="20"/>
    <col min="12033" max="12033" width="51.42578125" style="20" customWidth="1"/>
    <col min="12034" max="12034" width="15.28515625" style="20" customWidth="1"/>
    <col min="12035" max="12035" width="17.140625" style="20" customWidth="1"/>
    <col min="12036" max="12036" width="13.85546875" style="20" customWidth="1"/>
    <col min="12037" max="12037" width="15.42578125" style="20" customWidth="1"/>
    <col min="12038" max="12039" width="13.42578125" style="20" customWidth="1"/>
    <col min="12040" max="12040" width="17.42578125" style="20" customWidth="1"/>
    <col min="12041" max="12041" width="14.7109375" style="20" customWidth="1"/>
    <col min="12042" max="12042" width="13.5703125" style="20" customWidth="1"/>
    <col min="12043" max="12043" width="15.140625" style="20" customWidth="1"/>
    <col min="12044" max="12044" width="14.7109375" style="20" customWidth="1"/>
    <col min="12045" max="12045" width="15.140625" style="20" customWidth="1"/>
    <col min="12046" max="12046" width="14.140625" style="20" customWidth="1"/>
    <col min="12047" max="12047" width="14.7109375" style="20" customWidth="1"/>
    <col min="12048" max="12048" width="14.42578125" style="20" customWidth="1"/>
    <col min="12049" max="12049" width="15" style="20" customWidth="1"/>
    <col min="12050" max="12050" width="14.5703125" style="20" customWidth="1"/>
    <col min="12051" max="12051" width="14.85546875" style="20" customWidth="1"/>
    <col min="12052" max="12052" width="15" style="20" customWidth="1"/>
    <col min="12053" max="12063" width="16.140625" style="20" customWidth="1"/>
    <col min="12064" max="12064" width="58.140625" style="20" customWidth="1"/>
    <col min="12065" max="12065" width="3.7109375" style="20" customWidth="1"/>
    <col min="12066" max="12066" width="18.85546875" style="20" customWidth="1"/>
    <col min="12067" max="12288" width="9.140625" style="20"/>
    <col min="12289" max="12289" width="51.42578125" style="20" customWidth="1"/>
    <col min="12290" max="12290" width="15.28515625" style="20" customWidth="1"/>
    <col min="12291" max="12291" width="17.140625" style="20" customWidth="1"/>
    <col min="12292" max="12292" width="13.85546875" style="20" customWidth="1"/>
    <col min="12293" max="12293" width="15.42578125" style="20" customWidth="1"/>
    <col min="12294" max="12295" width="13.42578125" style="20" customWidth="1"/>
    <col min="12296" max="12296" width="17.42578125" style="20" customWidth="1"/>
    <col min="12297" max="12297" width="14.7109375" style="20" customWidth="1"/>
    <col min="12298" max="12298" width="13.5703125" style="20" customWidth="1"/>
    <col min="12299" max="12299" width="15.140625" style="20" customWidth="1"/>
    <col min="12300" max="12300" width="14.7109375" style="20" customWidth="1"/>
    <col min="12301" max="12301" width="15.140625" style="20" customWidth="1"/>
    <col min="12302" max="12302" width="14.140625" style="20" customWidth="1"/>
    <col min="12303" max="12303" width="14.7109375" style="20" customWidth="1"/>
    <col min="12304" max="12304" width="14.42578125" style="20" customWidth="1"/>
    <col min="12305" max="12305" width="15" style="20" customWidth="1"/>
    <col min="12306" max="12306" width="14.5703125" style="20" customWidth="1"/>
    <col min="12307" max="12307" width="14.85546875" style="20" customWidth="1"/>
    <col min="12308" max="12308" width="15" style="20" customWidth="1"/>
    <col min="12309" max="12319" width="16.140625" style="20" customWidth="1"/>
    <col min="12320" max="12320" width="58.140625" style="20" customWidth="1"/>
    <col min="12321" max="12321" width="3.7109375" style="20" customWidth="1"/>
    <col min="12322" max="12322" width="18.85546875" style="20" customWidth="1"/>
    <col min="12323" max="12544" width="9.140625" style="20"/>
    <col min="12545" max="12545" width="51.42578125" style="20" customWidth="1"/>
    <col min="12546" max="12546" width="15.28515625" style="20" customWidth="1"/>
    <col min="12547" max="12547" width="17.140625" style="20" customWidth="1"/>
    <col min="12548" max="12548" width="13.85546875" style="20" customWidth="1"/>
    <col min="12549" max="12549" width="15.42578125" style="20" customWidth="1"/>
    <col min="12550" max="12551" width="13.42578125" style="20" customWidth="1"/>
    <col min="12552" max="12552" width="17.42578125" style="20" customWidth="1"/>
    <col min="12553" max="12553" width="14.7109375" style="20" customWidth="1"/>
    <col min="12554" max="12554" width="13.5703125" style="20" customWidth="1"/>
    <col min="12555" max="12555" width="15.140625" style="20" customWidth="1"/>
    <col min="12556" max="12556" width="14.7109375" style="20" customWidth="1"/>
    <col min="12557" max="12557" width="15.140625" style="20" customWidth="1"/>
    <col min="12558" max="12558" width="14.140625" style="20" customWidth="1"/>
    <col min="12559" max="12559" width="14.7109375" style="20" customWidth="1"/>
    <col min="12560" max="12560" width="14.42578125" style="20" customWidth="1"/>
    <col min="12561" max="12561" width="15" style="20" customWidth="1"/>
    <col min="12562" max="12562" width="14.5703125" style="20" customWidth="1"/>
    <col min="12563" max="12563" width="14.85546875" style="20" customWidth="1"/>
    <col min="12564" max="12564" width="15" style="20" customWidth="1"/>
    <col min="12565" max="12575" width="16.140625" style="20" customWidth="1"/>
    <col min="12576" max="12576" width="58.140625" style="20" customWidth="1"/>
    <col min="12577" max="12577" width="3.7109375" style="20" customWidth="1"/>
    <col min="12578" max="12578" width="18.85546875" style="20" customWidth="1"/>
    <col min="12579" max="12800" width="9.140625" style="20"/>
    <col min="12801" max="12801" width="51.42578125" style="20" customWidth="1"/>
    <col min="12802" max="12802" width="15.28515625" style="20" customWidth="1"/>
    <col min="12803" max="12803" width="17.140625" style="20" customWidth="1"/>
    <col min="12804" max="12804" width="13.85546875" style="20" customWidth="1"/>
    <col min="12805" max="12805" width="15.42578125" style="20" customWidth="1"/>
    <col min="12806" max="12807" width="13.42578125" style="20" customWidth="1"/>
    <col min="12808" max="12808" width="17.42578125" style="20" customWidth="1"/>
    <col min="12809" max="12809" width="14.7109375" style="20" customWidth="1"/>
    <col min="12810" max="12810" width="13.5703125" style="20" customWidth="1"/>
    <col min="12811" max="12811" width="15.140625" style="20" customWidth="1"/>
    <col min="12812" max="12812" width="14.7109375" style="20" customWidth="1"/>
    <col min="12813" max="12813" width="15.140625" style="20" customWidth="1"/>
    <col min="12814" max="12814" width="14.140625" style="20" customWidth="1"/>
    <col min="12815" max="12815" width="14.7109375" style="20" customWidth="1"/>
    <col min="12816" max="12816" width="14.42578125" style="20" customWidth="1"/>
    <col min="12817" max="12817" width="15" style="20" customWidth="1"/>
    <col min="12818" max="12818" width="14.5703125" style="20" customWidth="1"/>
    <col min="12819" max="12819" width="14.85546875" style="20" customWidth="1"/>
    <col min="12820" max="12820" width="15" style="20" customWidth="1"/>
    <col min="12821" max="12831" width="16.140625" style="20" customWidth="1"/>
    <col min="12832" max="12832" width="58.140625" style="20" customWidth="1"/>
    <col min="12833" max="12833" width="3.7109375" style="20" customWidth="1"/>
    <col min="12834" max="12834" width="18.85546875" style="20" customWidth="1"/>
    <col min="12835" max="13056" width="9.140625" style="20"/>
    <col min="13057" max="13057" width="51.42578125" style="20" customWidth="1"/>
    <col min="13058" max="13058" width="15.28515625" style="20" customWidth="1"/>
    <col min="13059" max="13059" width="17.140625" style="20" customWidth="1"/>
    <col min="13060" max="13060" width="13.85546875" style="20" customWidth="1"/>
    <col min="13061" max="13061" width="15.42578125" style="20" customWidth="1"/>
    <col min="13062" max="13063" width="13.42578125" style="20" customWidth="1"/>
    <col min="13064" max="13064" width="17.42578125" style="20" customWidth="1"/>
    <col min="13065" max="13065" width="14.7109375" style="20" customWidth="1"/>
    <col min="13066" max="13066" width="13.5703125" style="20" customWidth="1"/>
    <col min="13067" max="13067" width="15.140625" style="20" customWidth="1"/>
    <col min="13068" max="13068" width="14.7109375" style="20" customWidth="1"/>
    <col min="13069" max="13069" width="15.140625" style="20" customWidth="1"/>
    <col min="13070" max="13070" width="14.140625" style="20" customWidth="1"/>
    <col min="13071" max="13071" width="14.7109375" style="20" customWidth="1"/>
    <col min="13072" max="13072" width="14.42578125" style="20" customWidth="1"/>
    <col min="13073" max="13073" width="15" style="20" customWidth="1"/>
    <col min="13074" max="13074" width="14.5703125" style="20" customWidth="1"/>
    <col min="13075" max="13075" width="14.85546875" style="20" customWidth="1"/>
    <col min="13076" max="13076" width="15" style="20" customWidth="1"/>
    <col min="13077" max="13087" width="16.140625" style="20" customWidth="1"/>
    <col min="13088" max="13088" width="58.140625" style="20" customWidth="1"/>
    <col min="13089" max="13089" width="3.7109375" style="20" customWidth="1"/>
    <col min="13090" max="13090" width="18.85546875" style="20" customWidth="1"/>
    <col min="13091" max="13312" width="9.140625" style="20"/>
    <col min="13313" max="13313" width="51.42578125" style="20" customWidth="1"/>
    <col min="13314" max="13314" width="15.28515625" style="20" customWidth="1"/>
    <col min="13315" max="13315" width="17.140625" style="20" customWidth="1"/>
    <col min="13316" max="13316" width="13.85546875" style="20" customWidth="1"/>
    <col min="13317" max="13317" width="15.42578125" style="20" customWidth="1"/>
    <col min="13318" max="13319" width="13.42578125" style="20" customWidth="1"/>
    <col min="13320" max="13320" width="17.42578125" style="20" customWidth="1"/>
    <col min="13321" max="13321" width="14.7109375" style="20" customWidth="1"/>
    <col min="13322" max="13322" width="13.5703125" style="20" customWidth="1"/>
    <col min="13323" max="13323" width="15.140625" style="20" customWidth="1"/>
    <col min="13324" max="13324" width="14.7109375" style="20" customWidth="1"/>
    <col min="13325" max="13325" width="15.140625" style="20" customWidth="1"/>
    <col min="13326" max="13326" width="14.140625" style="20" customWidth="1"/>
    <col min="13327" max="13327" width="14.7109375" style="20" customWidth="1"/>
    <col min="13328" max="13328" width="14.42578125" style="20" customWidth="1"/>
    <col min="13329" max="13329" width="15" style="20" customWidth="1"/>
    <col min="13330" max="13330" width="14.5703125" style="20" customWidth="1"/>
    <col min="13331" max="13331" width="14.85546875" style="20" customWidth="1"/>
    <col min="13332" max="13332" width="15" style="20" customWidth="1"/>
    <col min="13333" max="13343" width="16.140625" style="20" customWidth="1"/>
    <col min="13344" max="13344" width="58.140625" style="20" customWidth="1"/>
    <col min="13345" max="13345" width="3.7109375" style="20" customWidth="1"/>
    <col min="13346" max="13346" width="18.85546875" style="20" customWidth="1"/>
    <col min="13347" max="13568" width="9.140625" style="20"/>
    <col min="13569" max="13569" width="51.42578125" style="20" customWidth="1"/>
    <col min="13570" max="13570" width="15.28515625" style="20" customWidth="1"/>
    <col min="13571" max="13571" width="17.140625" style="20" customWidth="1"/>
    <col min="13572" max="13572" width="13.85546875" style="20" customWidth="1"/>
    <col min="13573" max="13573" width="15.42578125" style="20" customWidth="1"/>
    <col min="13574" max="13575" width="13.42578125" style="20" customWidth="1"/>
    <col min="13576" max="13576" width="17.42578125" style="20" customWidth="1"/>
    <col min="13577" max="13577" width="14.7109375" style="20" customWidth="1"/>
    <col min="13578" max="13578" width="13.5703125" style="20" customWidth="1"/>
    <col min="13579" max="13579" width="15.140625" style="20" customWidth="1"/>
    <col min="13580" max="13580" width="14.7109375" style="20" customWidth="1"/>
    <col min="13581" max="13581" width="15.140625" style="20" customWidth="1"/>
    <col min="13582" max="13582" width="14.140625" style="20" customWidth="1"/>
    <col min="13583" max="13583" width="14.7109375" style="20" customWidth="1"/>
    <col min="13584" max="13584" width="14.42578125" style="20" customWidth="1"/>
    <col min="13585" max="13585" width="15" style="20" customWidth="1"/>
    <col min="13586" max="13586" width="14.5703125" style="20" customWidth="1"/>
    <col min="13587" max="13587" width="14.85546875" style="20" customWidth="1"/>
    <col min="13588" max="13588" width="15" style="20" customWidth="1"/>
    <col min="13589" max="13599" width="16.140625" style="20" customWidth="1"/>
    <col min="13600" max="13600" width="58.140625" style="20" customWidth="1"/>
    <col min="13601" max="13601" width="3.7109375" style="20" customWidth="1"/>
    <col min="13602" max="13602" width="18.85546875" style="20" customWidth="1"/>
    <col min="13603" max="13824" width="9.140625" style="20"/>
    <col min="13825" max="13825" width="51.42578125" style="20" customWidth="1"/>
    <col min="13826" max="13826" width="15.28515625" style="20" customWidth="1"/>
    <col min="13827" max="13827" width="17.140625" style="20" customWidth="1"/>
    <col min="13828" max="13828" width="13.85546875" style="20" customWidth="1"/>
    <col min="13829" max="13829" width="15.42578125" style="20" customWidth="1"/>
    <col min="13830" max="13831" width="13.42578125" style="20" customWidth="1"/>
    <col min="13832" max="13832" width="17.42578125" style="20" customWidth="1"/>
    <col min="13833" max="13833" width="14.7109375" style="20" customWidth="1"/>
    <col min="13834" max="13834" width="13.5703125" style="20" customWidth="1"/>
    <col min="13835" max="13835" width="15.140625" style="20" customWidth="1"/>
    <col min="13836" max="13836" width="14.7109375" style="20" customWidth="1"/>
    <col min="13837" max="13837" width="15.140625" style="20" customWidth="1"/>
    <col min="13838" max="13838" width="14.140625" style="20" customWidth="1"/>
    <col min="13839" max="13839" width="14.7109375" style="20" customWidth="1"/>
    <col min="13840" max="13840" width="14.42578125" style="20" customWidth="1"/>
    <col min="13841" max="13841" width="15" style="20" customWidth="1"/>
    <col min="13842" max="13842" width="14.5703125" style="20" customWidth="1"/>
    <col min="13843" max="13843" width="14.85546875" style="20" customWidth="1"/>
    <col min="13844" max="13844" width="15" style="20" customWidth="1"/>
    <col min="13845" max="13855" width="16.140625" style="20" customWidth="1"/>
    <col min="13856" max="13856" width="58.140625" style="20" customWidth="1"/>
    <col min="13857" max="13857" width="3.7109375" style="20" customWidth="1"/>
    <col min="13858" max="13858" width="18.85546875" style="20" customWidth="1"/>
    <col min="13859" max="14080" width="9.140625" style="20"/>
    <col min="14081" max="14081" width="51.42578125" style="20" customWidth="1"/>
    <col min="14082" max="14082" width="15.28515625" style="20" customWidth="1"/>
    <col min="14083" max="14083" width="17.140625" style="20" customWidth="1"/>
    <col min="14084" max="14084" width="13.85546875" style="20" customWidth="1"/>
    <col min="14085" max="14085" width="15.42578125" style="20" customWidth="1"/>
    <col min="14086" max="14087" width="13.42578125" style="20" customWidth="1"/>
    <col min="14088" max="14088" width="17.42578125" style="20" customWidth="1"/>
    <col min="14089" max="14089" width="14.7109375" style="20" customWidth="1"/>
    <col min="14090" max="14090" width="13.5703125" style="20" customWidth="1"/>
    <col min="14091" max="14091" width="15.140625" style="20" customWidth="1"/>
    <col min="14092" max="14092" width="14.7109375" style="20" customWidth="1"/>
    <col min="14093" max="14093" width="15.140625" style="20" customWidth="1"/>
    <col min="14094" max="14094" width="14.140625" style="20" customWidth="1"/>
    <col min="14095" max="14095" width="14.7109375" style="20" customWidth="1"/>
    <col min="14096" max="14096" width="14.42578125" style="20" customWidth="1"/>
    <col min="14097" max="14097" width="15" style="20" customWidth="1"/>
    <col min="14098" max="14098" width="14.5703125" style="20" customWidth="1"/>
    <col min="14099" max="14099" width="14.85546875" style="20" customWidth="1"/>
    <col min="14100" max="14100" width="15" style="20" customWidth="1"/>
    <col min="14101" max="14111" width="16.140625" style="20" customWidth="1"/>
    <col min="14112" max="14112" width="58.140625" style="20" customWidth="1"/>
    <col min="14113" max="14113" width="3.7109375" style="20" customWidth="1"/>
    <col min="14114" max="14114" width="18.85546875" style="20" customWidth="1"/>
    <col min="14115" max="14336" width="9.140625" style="20"/>
    <col min="14337" max="14337" width="51.42578125" style="20" customWidth="1"/>
    <col min="14338" max="14338" width="15.28515625" style="20" customWidth="1"/>
    <col min="14339" max="14339" width="17.140625" style="20" customWidth="1"/>
    <col min="14340" max="14340" width="13.85546875" style="20" customWidth="1"/>
    <col min="14341" max="14341" width="15.42578125" style="20" customWidth="1"/>
    <col min="14342" max="14343" width="13.42578125" style="20" customWidth="1"/>
    <col min="14344" max="14344" width="17.42578125" style="20" customWidth="1"/>
    <col min="14345" max="14345" width="14.7109375" style="20" customWidth="1"/>
    <col min="14346" max="14346" width="13.5703125" style="20" customWidth="1"/>
    <col min="14347" max="14347" width="15.140625" style="20" customWidth="1"/>
    <col min="14348" max="14348" width="14.7109375" style="20" customWidth="1"/>
    <col min="14349" max="14349" width="15.140625" style="20" customWidth="1"/>
    <col min="14350" max="14350" width="14.140625" style="20" customWidth="1"/>
    <col min="14351" max="14351" width="14.7109375" style="20" customWidth="1"/>
    <col min="14352" max="14352" width="14.42578125" style="20" customWidth="1"/>
    <col min="14353" max="14353" width="15" style="20" customWidth="1"/>
    <col min="14354" max="14354" width="14.5703125" style="20" customWidth="1"/>
    <col min="14355" max="14355" width="14.85546875" style="20" customWidth="1"/>
    <col min="14356" max="14356" width="15" style="20" customWidth="1"/>
    <col min="14357" max="14367" width="16.140625" style="20" customWidth="1"/>
    <col min="14368" max="14368" width="58.140625" style="20" customWidth="1"/>
    <col min="14369" max="14369" width="3.7109375" style="20" customWidth="1"/>
    <col min="14370" max="14370" width="18.85546875" style="20" customWidth="1"/>
    <col min="14371" max="14592" width="9.140625" style="20"/>
    <col min="14593" max="14593" width="51.42578125" style="20" customWidth="1"/>
    <col min="14594" max="14594" width="15.28515625" style="20" customWidth="1"/>
    <col min="14595" max="14595" width="17.140625" style="20" customWidth="1"/>
    <col min="14596" max="14596" width="13.85546875" style="20" customWidth="1"/>
    <col min="14597" max="14597" width="15.42578125" style="20" customWidth="1"/>
    <col min="14598" max="14599" width="13.42578125" style="20" customWidth="1"/>
    <col min="14600" max="14600" width="17.42578125" style="20" customWidth="1"/>
    <col min="14601" max="14601" width="14.7109375" style="20" customWidth="1"/>
    <col min="14602" max="14602" width="13.5703125" style="20" customWidth="1"/>
    <col min="14603" max="14603" width="15.140625" style="20" customWidth="1"/>
    <col min="14604" max="14604" width="14.7109375" style="20" customWidth="1"/>
    <col min="14605" max="14605" width="15.140625" style="20" customWidth="1"/>
    <col min="14606" max="14606" width="14.140625" style="20" customWidth="1"/>
    <col min="14607" max="14607" width="14.7109375" style="20" customWidth="1"/>
    <col min="14608" max="14608" width="14.42578125" style="20" customWidth="1"/>
    <col min="14609" max="14609" width="15" style="20" customWidth="1"/>
    <col min="14610" max="14610" width="14.5703125" style="20" customWidth="1"/>
    <col min="14611" max="14611" width="14.85546875" style="20" customWidth="1"/>
    <col min="14612" max="14612" width="15" style="20" customWidth="1"/>
    <col min="14613" max="14623" width="16.140625" style="20" customWidth="1"/>
    <col min="14624" max="14624" width="58.140625" style="20" customWidth="1"/>
    <col min="14625" max="14625" width="3.7109375" style="20" customWidth="1"/>
    <col min="14626" max="14626" width="18.85546875" style="20" customWidth="1"/>
    <col min="14627" max="14848" width="9.140625" style="20"/>
    <col min="14849" max="14849" width="51.42578125" style="20" customWidth="1"/>
    <col min="14850" max="14850" width="15.28515625" style="20" customWidth="1"/>
    <col min="14851" max="14851" width="17.140625" style="20" customWidth="1"/>
    <col min="14852" max="14852" width="13.85546875" style="20" customWidth="1"/>
    <col min="14853" max="14853" width="15.42578125" style="20" customWidth="1"/>
    <col min="14854" max="14855" width="13.42578125" style="20" customWidth="1"/>
    <col min="14856" max="14856" width="17.42578125" style="20" customWidth="1"/>
    <col min="14857" max="14857" width="14.7109375" style="20" customWidth="1"/>
    <col min="14858" max="14858" width="13.5703125" style="20" customWidth="1"/>
    <col min="14859" max="14859" width="15.140625" style="20" customWidth="1"/>
    <col min="14860" max="14860" width="14.7109375" style="20" customWidth="1"/>
    <col min="14861" max="14861" width="15.140625" style="20" customWidth="1"/>
    <col min="14862" max="14862" width="14.140625" style="20" customWidth="1"/>
    <col min="14863" max="14863" width="14.7109375" style="20" customWidth="1"/>
    <col min="14864" max="14864" width="14.42578125" style="20" customWidth="1"/>
    <col min="14865" max="14865" width="15" style="20" customWidth="1"/>
    <col min="14866" max="14866" width="14.5703125" style="20" customWidth="1"/>
    <col min="14867" max="14867" width="14.85546875" style="20" customWidth="1"/>
    <col min="14868" max="14868" width="15" style="20" customWidth="1"/>
    <col min="14869" max="14879" width="16.140625" style="20" customWidth="1"/>
    <col min="14880" max="14880" width="58.140625" style="20" customWidth="1"/>
    <col min="14881" max="14881" width="3.7109375" style="20" customWidth="1"/>
    <col min="14882" max="14882" width="18.85546875" style="20" customWidth="1"/>
    <col min="14883" max="15104" width="9.140625" style="20"/>
    <col min="15105" max="15105" width="51.42578125" style="20" customWidth="1"/>
    <col min="15106" max="15106" width="15.28515625" style="20" customWidth="1"/>
    <col min="15107" max="15107" width="17.140625" style="20" customWidth="1"/>
    <col min="15108" max="15108" width="13.85546875" style="20" customWidth="1"/>
    <col min="15109" max="15109" width="15.42578125" style="20" customWidth="1"/>
    <col min="15110" max="15111" width="13.42578125" style="20" customWidth="1"/>
    <col min="15112" max="15112" width="17.42578125" style="20" customWidth="1"/>
    <col min="15113" max="15113" width="14.7109375" style="20" customWidth="1"/>
    <col min="15114" max="15114" width="13.5703125" style="20" customWidth="1"/>
    <col min="15115" max="15115" width="15.140625" style="20" customWidth="1"/>
    <col min="15116" max="15116" width="14.7109375" style="20" customWidth="1"/>
    <col min="15117" max="15117" width="15.140625" style="20" customWidth="1"/>
    <col min="15118" max="15118" width="14.140625" style="20" customWidth="1"/>
    <col min="15119" max="15119" width="14.7109375" style="20" customWidth="1"/>
    <col min="15120" max="15120" width="14.42578125" style="20" customWidth="1"/>
    <col min="15121" max="15121" width="15" style="20" customWidth="1"/>
    <col min="15122" max="15122" width="14.5703125" style="20" customWidth="1"/>
    <col min="15123" max="15123" width="14.85546875" style="20" customWidth="1"/>
    <col min="15124" max="15124" width="15" style="20" customWidth="1"/>
    <col min="15125" max="15135" width="16.140625" style="20" customWidth="1"/>
    <col min="15136" max="15136" width="58.140625" style="20" customWidth="1"/>
    <col min="15137" max="15137" width="3.7109375" style="20" customWidth="1"/>
    <col min="15138" max="15138" width="18.85546875" style="20" customWidth="1"/>
    <col min="15139" max="15360" width="9.140625" style="20"/>
    <col min="15361" max="15361" width="51.42578125" style="20" customWidth="1"/>
    <col min="15362" max="15362" width="15.28515625" style="20" customWidth="1"/>
    <col min="15363" max="15363" width="17.140625" style="20" customWidth="1"/>
    <col min="15364" max="15364" width="13.85546875" style="20" customWidth="1"/>
    <col min="15365" max="15365" width="15.42578125" style="20" customWidth="1"/>
    <col min="15366" max="15367" width="13.42578125" style="20" customWidth="1"/>
    <col min="15368" max="15368" width="17.42578125" style="20" customWidth="1"/>
    <col min="15369" max="15369" width="14.7109375" style="20" customWidth="1"/>
    <col min="15370" max="15370" width="13.5703125" style="20" customWidth="1"/>
    <col min="15371" max="15371" width="15.140625" style="20" customWidth="1"/>
    <col min="15372" max="15372" width="14.7109375" style="20" customWidth="1"/>
    <col min="15373" max="15373" width="15.140625" style="20" customWidth="1"/>
    <col min="15374" max="15374" width="14.140625" style="20" customWidth="1"/>
    <col min="15375" max="15375" width="14.7109375" style="20" customWidth="1"/>
    <col min="15376" max="15376" width="14.42578125" style="20" customWidth="1"/>
    <col min="15377" max="15377" width="15" style="20" customWidth="1"/>
    <col min="15378" max="15378" width="14.5703125" style="20" customWidth="1"/>
    <col min="15379" max="15379" width="14.85546875" style="20" customWidth="1"/>
    <col min="15380" max="15380" width="15" style="20" customWidth="1"/>
    <col min="15381" max="15391" width="16.140625" style="20" customWidth="1"/>
    <col min="15392" max="15392" width="58.140625" style="20" customWidth="1"/>
    <col min="15393" max="15393" width="3.7109375" style="20" customWidth="1"/>
    <col min="15394" max="15394" width="18.85546875" style="20" customWidth="1"/>
    <col min="15395" max="15616" width="9.140625" style="20"/>
    <col min="15617" max="15617" width="51.42578125" style="20" customWidth="1"/>
    <col min="15618" max="15618" width="15.28515625" style="20" customWidth="1"/>
    <col min="15619" max="15619" width="17.140625" style="20" customWidth="1"/>
    <col min="15620" max="15620" width="13.85546875" style="20" customWidth="1"/>
    <col min="15621" max="15621" width="15.42578125" style="20" customWidth="1"/>
    <col min="15622" max="15623" width="13.42578125" style="20" customWidth="1"/>
    <col min="15624" max="15624" width="17.42578125" style="20" customWidth="1"/>
    <col min="15625" max="15625" width="14.7109375" style="20" customWidth="1"/>
    <col min="15626" max="15626" width="13.5703125" style="20" customWidth="1"/>
    <col min="15627" max="15627" width="15.140625" style="20" customWidth="1"/>
    <col min="15628" max="15628" width="14.7109375" style="20" customWidth="1"/>
    <col min="15629" max="15629" width="15.140625" style="20" customWidth="1"/>
    <col min="15630" max="15630" width="14.140625" style="20" customWidth="1"/>
    <col min="15631" max="15631" width="14.7109375" style="20" customWidth="1"/>
    <col min="15632" max="15632" width="14.42578125" style="20" customWidth="1"/>
    <col min="15633" max="15633" width="15" style="20" customWidth="1"/>
    <col min="15634" max="15634" width="14.5703125" style="20" customWidth="1"/>
    <col min="15635" max="15635" width="14.85546875" style="20" customWidth="1"/>
    <col min="15636" max="15636" width="15" style="20" customWidth="1"/>
    <col min="15637" max="15647" width="16.140625" style="20" customWidth="1"/>
    <col min="15648" max="15648" width="58.140625" style="20" customWidth="1"/>
    <col min="15649" max="15649" width="3.7109375" style="20" customWidth="1"/>
    <col min="15650" max="15650" width="18.85546875" style="20" customWidth="1"/>
    <col min="15651" max="15872" width="9.140625" style="20"/>
    <col min="15873" max="15873" width="51.42578125" style="20" customWidth="1"/>
    <col min="15874" max="15874" width="15.28515625" style="20" customWidth="1"/>
    <col min="15875" max="15875" width="17.140625" style="20" customWidth="1"/>
    <col min="15876" max="15876" width="13.85546875" style="20" customWidth="1"/>
    <col min="15877" max="15877" width="15.42578125" style="20" customWidth="1"/>
    <col min="15878" max="15879" width="13.42578125" style="20" customWidth="1"/>
    <col min="15880" max="15880" width="17.42578125" style="20" customWidth="1"/>
    <col min="15881" max="15881" width="14.7109375" style="20" customWidth="1"/>
    <col min="15882" max="15882" width="13.5703125" style="20" customWidth="1"/>
    <col min="15883" max="15883" width="15.140625" style="20" customWidth="1"/>
    <col min="15884" max="15884" width="14.7109375" style="20" customWidth="1"/>
    <col min="15885" max="15885" width="15.140625" style="20" customWidth="1"/>
    <col min="15886" max="15886" width="14.140625" style="20" customWidth="1"/>
    <col min="15887" max="15887" width="14.7109375" style="20" customWidth="1"/>
    <col min="15888" max="15888" width="14.42578125" style="20" customWidth="1"/>
    <col min="15889" max="15889" width="15" style="20" customWidth="1"/>
    <col min="15890" max="15890" width="14.5703125" style="20" customWidth="1"/>
    <col min="15891" max="15891" width="14.85546875" style="20" customWidth="1"/>
    <col min="15892" max="15892" width="15" style="20" customWidth="1"/>
    <col min="15893" max="15903" width="16.140625" style="20" customWidth="1"/>
    <col min="15904" max="15904" width="58.140625" style="20" customWidth="1"/>
    <col min="15905" max="15905" width="3.7109375" style="20" customWidth="1"/>
    <col min="15906" max="15906" width="18.85546875" style="20" customWidth="1"/>
    <col min="15907" max="16128" width="9.140625" style="20"/>
    <col min="16129" max="16129" width="51.42578125" style="20" customWidth="1"/>
    <col min="16130" max="16130" width="15.28515625" style="20" customWidth="1"/>
    <col min="16131" max="16131" width="17.140625" style="20" customWidth="1"/>
    <col min="16132" max="16132" width="13.85546875" style="20" customWidth="1"/>
    <col min="16133" max="16133" width="15.42578125" style="20" customWidth="1"/>
    <col min="16134" max="16135" width="13.42578125" style="20" customWidth="1"/>
    <col min="16136" max="16136" width="17.42578125" style="20" customWidth="1"/>
    <col min="16137" max="16137" width="14.7109375" style="20" customWidth="1"/>
    <col min="16138" max="16138" width="13.5703125" style="20" customWidth="1"/>
    <col min="16139" max="16139" width="15.140625" style="20" customWidth="1"/>
    <col min="16140" max="16140" width="14.7109375" style="20" customWidth="1"/>
    <col min="16141" max="16141" width="15.140625" style="20" customWidth="1"/>
    <col min="16142" max="16142" width="14.140625" style="20" customWidth="1"/>
    <col min="16143" max="16143" width="14.7109375" style="20" customWidth="1"/>
    <col min="16144" max="16144" width="14.42578125" style="20" customWidth="1"/>
    <col min="16145" max="16145" width="15" style="20" customWidth="1"/>
    <col min="16146" max="16146" width="14.5703125" style="20" customWidth="1"/>
    <col min="16147" max="16147" width="14.85546875" style="20" customWidth="1"/>
    <col min="16148" max="16148" width="15" style="20" customWidth="1"/>
    <col min="16149" max="16159" width="16.140625" style="20" customWidth="1"/>
    <col min="16160" max="16160" width="58.140625" style="20" customWidth="1"/>
    <col min="16161" max="16161" width="3.7109375" style="20" customWidth="1"/>
    <col min="16162" max="16162" width="18.85546875" style="20" customWidth="1"/>
    <col min="16163" max="16384" width="9.140625" style="20"/>
  </cols>
  <sheetData>
    <row r="1" spans="1:35" ht="26.25" customHeight="1" x14ac:dyDescent="0.25">
      <c r="A1" s="22"/>
      <c r="O1" s="23"/>
      <c r="P1" s="23"/>
      <c r="Q1" s="23"/>
      <c r="R1" s="23"/>
      <c r="S1" s="23"/>
      <c r="V1" s="57"/>
      <c r="W1" s="57"/>
      <c r="X1" s="57"/>
      <c r="Y1" s="57"/>
      <c r="Z1" s="92"/>
      <c r="AA1" s="92"/>
      <c r="AB1" s="92"/>
      <c r="AC1" s="92"/>
      <c r="AD1" s="92"/>
      <c r="AF1" s="24"/>
    </row>
    <row r="2" spans="1:35" ht="26.25" customHeight="1" x14ac:dyDescent="0.25">
      <c r="A2" s="287" t="s">
        <v>187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</row>
    <row r="3" spans="1:35" s="26" customFormat="1" ht="31.5" customHeight="1" x14ac:dyDescent="0.35">
      <c r="A3" s="267" t="s">
        <v>169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5"/>
      <c r="V3" s="25"/>
      <c r="W3" s="25"/>
      <c r="X3" s="25"/>
      <c r="Y3" s="25"/>
      <c r="Z3" s="25"/>
      <c r="AA3" s="25"/>
      <c r="AB3" s="290"/>
      <c r="AC3" s="290"/>
      <c r="AD3" s="290"/>
      <c r="AE3" s="25"/>
      <c r="AF3" s="27" t="s">
        <v>81</v>
      </c>
      <c r="AH3" s="21"/>
    </row>
    <row r="4" spans="1:35" s="28" customFormat="1" ht="18.75" customHeight="1" x14ac:dyDescent="0.25">
      <c r="A4" s="278" t="s">
        <v>0</v>
      </c>
      <c r="B4" s="280" t="s">
        <v>146</v>
      </c>
      <c r="C4" s="282" t="s">
        <v>82</v>
      </c>
      <c r="D4" s="282" t="s">
        <v>83</v>
      </c>
      <c r="E4" s="282" t="s">
        <v>84</v>
      </c>
      <c r="F4" s="282" t="s">
        <v>85</v>
      </c>
      <c r="G4" s="282"/>
      <c r="H4" s="288" t="s">
        <v>86</v>
      </c>
      <c r="I4" s="289"/>
      <c r="J4" s="288" t="s">
        <v>87</v>
      </c>
      <c r="K4" s="289"/>
      <c r="L4" s="288" t="s">
        <v>88</v>
      </c>
      <c r="M4" s="289"/>
      <c r="N4" s="288" t="s">
        <v>89</v>
      </c>
      <c r="O4" s="289"/>
      <c r="P4" s="288" t="s">
        <v>90</v>
      </c>
      <c r="Q4" s="289"/>
      <c r="R4" s="288" t="s">
        <v>91</v>
      </c>
      <c r="S4" s="289"/>
      <c r="T4" s="288" t="s">
        <v>92</v>
      </c>
      <c r="U4" s="289"/>
      <c r="V4" s="288" t="s">
        <v>93</v>
      </c>
      <c r="W4" s="289"/>
      <c r="X4" s="288" t="s">
        <v>94</v>
      </c>
      <c r="Y4" s="289"/>
      <c r="Z4" s="288" t="s">
        <v>95</v>
      </c>
      <c r="AA4" s="289"/>
      <c r="AB4" s="288" t="s">
        <v>96</v>
      </c>
      <c r="AC4" s="289"/>
      <c r="AD4" s="288" t="s">
        <v>97</v>
      </c>
      <c r="AE4" s="289"/>
      <c r="AF4" s="268" t="s">
        <v>98</v>
      </c>
      <c r="AH4" s="29"/>
    </row>
    <row r="5" spans="1:35" s="31" customFormat="1" ht="72" customHeight="1" x14ac:dyDescent="0.25">
      <c r="A5" s="279"/>
      <c r="B5" s="281"/>
      <c r="C5" s="282"/>
      <c r="D5" s="283"/>
      <c r="E5" s="282"/>
      <c r="F5" s="63" t="s">
        <v>99</v>
      </c>
      <c r="G5" s="63" t="s">
        <v>100</v>
      </c>
      <c r="H5" s="30" t="s">
        <v>153</v>
      </c>
      <c r="I5" s="30" t="s">
        <v>101</v>
      </c>
      <c r="J5" s="30" t="s">
        <v>153</v>
      </c>
      <c r="K5" s="30" t="s">
        <v>101</v>
      </c>
      <c r="L5" s="30" t="s">
        <v>153</v>
      </c>
      <c r="M5" s="30" t="s">
        <v>101</v>
      </c>
      <c r="N5" s="30" t="s">
        <v>153</v>
      </c>
      <c r="O5" s="30" t="s">
        <v>101</v>
      </c>
      <c r="P5" s="30" t="s">
        <v>153</v>
      </c>
      <c r="Q5" s="30" t="s">
        <v>101</v>
      </c>
      <c r="R5" s="30" t="s">
        <v>153</v>
      </c>
      <c r="S5" s="30" t="s">
        <v>101</v>
      </c>
      <c r="T5" s="30" t="s">
        <v>153</v>
      </c>
      <c r="U5" s="30" t="s">
        <v>101</v>
      </c>
      <c r="V5" s="30" t="s">
        <v>153</v>
      </c>
      <c r="W5" s="30" t="s">
        <v>101</v>
      </c>
      <c r="X5" s="30" t="s">
        <v>153</v>
      </c>
      <c r="Y5" s="30" t="s">
        <v>101</v>
      </c>
      <c r="Z5" s="30" t="s">
        <v>153</v>
      </c>
      <c r="AA5" s="30" t="s">
        <v>101</v>
      </c>
      <c r="AB5" s="30" t="s">
        <v>153</v>
      </c>
      <c r="AC5" s="30" t="s">
        <v>101</v>
      </c>
      <c r="AD5" s="30" t="s">
        <v>153</v>
      </c>
      <c r="AE5" s="30" t="s">
        <v>101</v>
      </c>
      <c r="AF5" s="268"/>
      <c r="AH5" s="29"/>
    </row>
    <row r="6" spans="1:35" s="33" customFormat="1" ht="17.25" customHeight="1" x14ac:dyDescent="0.25">
      <c r="A6" s="81">
        <v>1</v>
      </c>
      <c r="B6" s="81">
        <v>2</v>
      </c>
      <c r="C6" s="81">
        <v>3</v>
      </c>
      <c r="D6" s="81">
        <v>4</v>
      </c>
      <c r="E6" s="81">
        <v>5</v>
      </c>
      <c r="F6" s="81">
        <v>6</v>
      </c>
      <c r="G6" s="81">
        <v>7</v>
      </c>
      <c r="H6" s="81">
        <v>8</v>
      </c>
      <c r="I6" s="81">
        <v>9</v>
      </c>
      <c r="J6" s="81">
        <v>10</v>
      </c>
      <c r="K6" s="81">
        <v>11</v>
      </c>
      <c r="L6" s="81">
        <v>12</v>
      </c>
      <c r="M6" s="81">
        <v>13</v>
      </c>
      <c r="N6" s="81">
        <v>14</v>
      </c>
      <c r="O6" s="81">
        <v>15</v>
      </c>
      <c r="P6" s="81">
        <v>16</v>
      </c>
      <c r="Q6" s="81">
        <v>17</v>
      </c>
      <c r="R6" s="81">
        <v>18</v>
      </c>
      <c r="S6" s="81">
        <v>19</v>
      </c>
      <c r="T6" s="81">
        <v>20</v>
      </c>
      <c r="U6" s="81">
        <v>21</v>
      </c>
      <c r="V6" s="81">
        <v>22</v>
      </c>
      <c r="W6" s="81">
        <v>23</v>
      </c>
      <c r="X6" s="81">
        <v>24</v>
      </c>
      <c r="Y6" s="81">
        <v>25</v>
      </c>
      <c r="Z6" s="81">
        <v>26</v>
      </c>
      <c r="AA6" s="81">
        <v>27</v>
      </c>
      <c r="AB6" s="81">
        <v>28</v>
      </c>
      <c r="AC6" s="81">
        <v>29</v>
      </c>
      <c r="AD6" s="81">
        <v>30</v>
      </c>
      <c r="AE6" s="84">
        <v>31</v>
      </c>
      <c r="AF6" s="32">
        <v>32</v>
      </c>
      <c r="AH6" s="34"/>
    </row>
    <row r="7" spans="1:35" s="37" customFormat="1" ht="40.5" customHeight="1" x14ac:dyDescent="0.2">
      <c r="A7" s="90" t="s">
        <v>102</v>
      </c>
      <c r="B7" s="137">
        <f>B9+B114</f>
        <v>21742.295330000004</v>
      </c>
      <c r="C7" s="137">
        <f>C9+C114</f>
        <v>3125.3476900000001</v>
      </c>
      <c r="D7" s="137">
        <f>D9+D114</f>
        <v>3125.0923500000004</v>
      </c>
      <c r="E7" s="137">
        <f>E9+E114</f>
        <v>1844.6764499999999</v>
      </c>
      <c r="F7" s="123">
        <f>E7/B7</f>
        <v>8.4842764850807481E-2</v>
      </c>
      <c r="G7" s="123">
        <f>E7/C7</f>
        <v>0.5902307944496249</v>
      </c>
      <c r="H7" s="137">
        <f t="shared" ref="H7:AE7" si="0">H9+H114</f>
        <v>33.1</v>
      </c>
      <c r="I7" s="137">
        <f t="shared" si="0"/>
        <v>0</v>
      </c>
      <c r="J7" s="137">
        <f t="shared" si="0"/>
        <v>465.21162000000004</v>
      </c>
      <c r="K7" s="137">
        <f t="shared" si="0"/>
        <v>358.92627999999996</v>
      </c>
      <c r="L7" s="137">
        <f t="shared" si="0"/>
        <v>1010.54719</v>
      </c>
      <c r="M7" s="137">
        <f t="shared" si="0"/>
        <v>345.78565000000003</v>
      </c>
      <c r="N7" s="137">
        <f t="shared" si="0"/>
        <v>667.19755000000009</v>
      </c>
      <c r="O7" s="137">
        <f t="shared" si="0"/>
        <v>709.60320000000002</v>
      </c>
      <c r="P7" s="137">
        <f t="shared" si="0"/>
        <v>949.2913299999999</v>
      </c>
      <c r="Q7" s="137">
        <f t="shared" si="0"/>
        <v>430.36131999999998</v>
      </c>
      <c r="R7" s="137">
        <f t="shared" si="0"/>
        <v>5098.9050500000003</v>
      </c>
      <c r="S7" s="137">
        <f t="shared" si="0"/>
        <v>0</v>
      </c>
      <c r="T7" s="137">
        <f t="shared" si="0"/>
        <v>5143.508600000001</v>
      </c>
      <c r="U7" s="137">
        <f t="shared" si="0"/>
        <v>0</v>
      </c>
      <c r="V7" s="137">
        <f t="shared" si="0"/>
        <v>5028.9855500000003</v>
      </c>
      <c r="W7" s="137">
        <f t="shared" si="0"/>
        <v>0</v>
      </c>
      <c r="X7" s="137">
        <f t="shared" si="0"/>
        <v>1266.69048</v>
      </c>
      <c r="Y7" s="137">
        <f t="shared" si="0"/>
        <v>0</v>
      </c>
      <c r="Z7" s="137">
        <f t="shared" si="0"/>
        <v>1105.1675399999999</v>
      </c>
      <c r="AA7" s="137">
        <f t="shared" si="0"/>
        <v>0</v>
      </c>
      <c r="AB7" s="137">
        <f t="shared" si="0"/>
        <v>683.54747999999995</v>
      </c>
      <c r="AC7" s="137">
        <f t="shared" si="0"/>
        <v>0</v>
      </c>
      <c r="AD7" s="137">
        <f t="shared" si="0"/>
        <v>290.14294000000001</v>
      </c>
      <c r="AE7" s="137">
        <f t="shared" si="0"/>
        <v>0</v>
      </c>
      <c r="AF7" s="36"/>
      <c r="AG7" s="235"/>
      <c r="AH7" s="103"/>
      <c r="AI7" s="235"/>
    </row>
    <row r="8" spans="1:35" s="37" customFormat="1" ht="54.75" customHeight="1" x14ac:dyDescent="0.2">
      <c r="A8" s="192" t="s">
        <v>170</v>
      </c>
      <c r="B8" s="193"/>
      <c r="C8" s="193"/>
      <c r="D8" s="193"/>
      <c r="E8" s="193"/>
      <c r="F8" s="194"/>
      <c r="G8" s="194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5"/>
      <c r="AF8" s="196"/>
      <c r="AG8" s="235"/>
      <c r="AH8" s="103"/>
      <c r="AI8" s="235"/>
    </row>
    <row r="9" spans="1:35" s="60" customFormat="1" ht="75.75" customHeight="1" x14ac:dyDescent="0.25">
      <c r="A9" s="64" t="s">
        <v>149</v>
      </c>
      <c r="B9" s="138">
        <f>B10</f>
        <v>21692.295330000004</v>
      </c>
      <c r="C9" s="138">
        <f t="shared" ref="C9:AD9" si="1">C10</f>
        <v>3125.3476900000001</v>
      </c>
      <c r="D9" s="138">
        <f t="shared" si="1"/>
        <v>3125.0923500000004</v>
      </c>
      <c r="E9" s="138">
        <f t="shared" si="1"/>
        <v>1844.6764499999999</v>
      </c>
      <c r="F9" s="124">
        <f>E9/B9</f>
        <v>8.5038324526628115E-2</v>
      </c>
      <c r="G9" s="124">
        <f>E9/C9</f>
        <v>0.5902307944496249</v>
      </c>
      <c r="H9" s="138">
        <f>H10</f>
        <v>33.1</v>
      </c>
      <c r="I9" s="138">
        <f t="shared" si="1"/>
        <v>0</v>
      </c>
      <c r="J9" s="138">
        <f>J10</f>
        <v>465.21162000000004</v>
      </c>
      <c r="K9" s="138">
        <f t="shared" si="1"/>
        <v>358.92627999999996</v>
      </c>
      <c r="L9" s="138">
        <f t="shared" si="1"/>
        <v>1010.54719</v>
      </c>
      <c r="M9" s="138">
        <f t="shared" si="1"/>
        <v>345.78565000000003</v>
      </c>
      <c r="N9" s="138">
        <f t="shared" si="1"/>
        <v>667.19755000000009</v>
      </c>
      <c r="O9" s="138">
        <f t="shared" si="1"/>
        <v>709.60320000000002</v>
      </c>
      <c r="P9" s="138">
        <f>P10</f>
        <v>949.2913299999999</v>
      </c>
      <c r="Q9" s="138">
        <f t="shared" si="1"/>
        <v>430.36131999999998</v>
      </c>
      <c r="R9" s="138">
        <f t="shared" si="1"/>
        <v>5098.9050500000003</v>
      </c>
      <c r="S9" s="138">
        <f t="shared" si="1"/>
        <v>0</v>
      </c>
      <c r="T9" s="138">
        <f>T10</f>
        <v>5143.508600000001</v>
      </c>
      <c r="U9" s="138">
        <f t="shared" si="1"/>
        <v>0</v>
      </c>
      <c r="V9" s="138">
        <f t="shared" si="1"/>
        <v>5028.9855500000003</v>
      </c>
      <c r="W9" s="138">
        <f t="shared" si="1"/>
        <v>0</v>
      </c>
      <c r="X9" s="138">
        <f>X10</f>
        <v>1266.69048</v>
      </c>
      <c r="Y9" s="138">
        <f t="shared" si="1"/>
        <v>0</v>
      </c>
      <c r="Z9" s="138">
        <f t="shared" si="1"/>
        <v>1055.1675399999999</v>
      </c>
      <c r="AA9" s="138">
        <f t="shared" si="1"/>
        <v>0</v>
      </c>
      <c r="AB9" s="138">
        <f t="shared" si="1"/>
        <v>683.54747999999995</v>
      </c>
      <c r="AC9" s="138">
        <f t="shared" si="1"/>
        <v>0</v>
      </c>
      <c r="AD9" s="138">
        <f t="shared" si="1"/>
        <v>290.14294000000001</v>
      </c>
      <c r="AE9" s="165"/>
      <c r="AF9" s="59"/>
      <c r="AG9" s="235"/>
      <c r="AH9" s="103"/>
      <c r="AI9" s="235"/>
    </row>
    <row r="10" spans="1:35" s="37" customFormat="1" x14ac:dyDescent="0.25">
      <c r="A10" s="85" t="s">
        <v>25</v>
      </c>
      <c r="B10" s="139">
        <f>B11+B12</f>
        <v>21692.295330000004</v>
      </c>
      <c r="C10" s="139">
        <f>C11+C12</f>
        <v>3125.3476900000001</v>
      </c>
      <c r="D10" s="139">
        <f t="shared" ref="D10:AE10" si="2">D11+D12</f>
        <v>3125.0923500000004</v>
      </c>
      <c r="E10" s="139">
        <f>E11+E12</f>
        <v>1844.6764499999999</v>
      </c>
      <c r="F10" s="86">
        <f>E10/B10</f>
        <v>8.5038324526628115E-2</v>
      </c>
      <c r="G10" s="86">
        <f>E10/C10</f>
        <v>0.5902307944496249</v>
      </c>
      <c r="H10" s="139">
        <f t="shared" si="2"/>
        <v>33.1</v>
      </c>
      <c r="I10" s="139">
        <f t="shared" si="2"/>
        <v>0</v>
      </c>
      <c r="J10" s="139">
        <f t="shared" si="2"/>
        <v>465.21162000000004</v>
      </c>
      <c r="K10" s="139">
        <f t="shared" si="2"/>
        <v>358.92627999999996</v>
      </c>
      <c r="L10" s="139">
        <f t="shared" si="2"/>
        <v>1010.54719</v>
      </c>
      <c r="M10" s="139">
        <f t="shared" si="2"/>
        <v>345.78565000000003</v>
      </c>
      <c r="N10" s="139">
        <f t="shared" si="2"/>
        <v>667.19755000000009</v>
      </c>
      <c r="O10" s="139">
        <f t="shared" si="2"/>
        <v>709.60320000000002</v>
      </c>
      <c r="P10" s="139">
        <f t="shared" si="2"/>
        <v>949.2913299999999</v>
      </c>
      <c r="Q10" s="139">
        <f t="shared" si="2"/>
        <v>430.36131999999998</v>
      </c>
      <c r="R10" s="139">
        <f t="shared" si="2"/>
        <v>5098.9050500000003</v>
      </c>
      <c r="S10" s="139">
        <f t="shared" si="2"/>
        <v>0</v>
      </c>
      <c r="T10" s="139">
        <f t="shared" si="2"/>
        <v>5143.508600000001</v>
      </c>
      <c r="U10" s="139">
        <f t="shared" si="2"/>
        <v>0</v>
      </c>
      <c r="V10" s="139">
        <f t="shared" si="2"/>
        <v>5028.9855500000003</v>
      </c>
      <c r="W10" s="139">
        <f t="shared" si="2"/>
        <v>0</v>
      </c>
      <c r="X10" s="139">
        <f t="shared" si="2"/>
        <v>1266.69048</v>
      </c>
      <c r="Y10" s="139">
        <f t="shared" si="2"/>
        <v>0</v>
      </c>
      <c r="Z10" s="139">
        <f t="shared" si="2"/>
        <v>1055.1675399999999</v>
      </c>
      <c r="AA10" s="139">
        <f t="shared" si="2"/>
        <v>0</v>
      </c>
      <c r="AB10" s="139">
        <f t="shared" si="2"/>
        <v>683.54747999999995</v>
      </c>
      <c r="AC10" s="139">
        <f t="shared" si="2"/>
        <v>0</v>
      </c>
      <c r="AD10" s="139">
        <f t="shared" si="2"/>
        <v>290.14294000000001</v>
      </c>
      <c r="AE10" s="139">
        <f t="shared" si="2"/>
        <v>0</v>
      </c>
      <c r="AF10" s="87"/>
      <c r="AG10" s="235"/>
      <c r="AH10" s="103"/>
      <c r="AI10" s="235"/>
    </row>
    <row r="11" spans="1:35" s="37" customFormat="1" x14ac:dyDescent="0.25">
      <c r="A11" s="68" t="s">
        <v>103</v>
      </c>
      <c r="B11" s="140">
        <f>H11+J11+L11+N11+P11+R11+T11+V11+X11+Z11+AB11+AD11</f>
        <v>3356</v>
      </c>
      <c r="C11" s="141">
        <f>C41+C108+C112</f>
        <v>397.93</v>
      </c>
      <c r="D11" s="141">
        <f>D41+D108+D112</f>
        <v>397.67466000000002</v>
      </c>
      <c r="E11" s="141">
        <f>E41+E108+E112</f>
        <v>194.56602000000001</v>
      </c>
      <c r="F11" s="71">
        <f>E11/B11</f>
        <v>5.7975572109654351E-2</v>
      </c>
      <c r="G11" s="71">
        <f>E11/C11</f>
        <v>0.48894534214560353</v>
      </c>
      <c r="H11" s="141">
        <f t="shared" ref="H11:AE11" si="3">H41+H108+H112</f>
        <v>0</v>
      </c>
      <c r="I11" s="141">
        <f t="shared" si="3"/>
        <v>0</v>
      </c>
      <c r="J11" s="141">
        <f t="shared" si="3"/>
        <v>16.86</v>
      </c>
      <c r="K11" s="141">
        <f t="shared" si="3"/>
        <v>0</v>
      </c>
      <c r="L11" s="141">
        <f t="shared" si="3"/>
        <v>62.335000000000001</v>
      </c>
      <c r="M11" s="141">
        <f t="shared" si="3"/>
        <v>0</v>
      </c>
      <c r="N11" s="141">
        <f t="shared" si="3"/>
        <v>121.21000000000001</v>
      </c>
      <c r="O11" s="141">
        <f t="shared" si="3"/>
        <v>129.35124999999999</v>
      </c>
      <c r="P11" s="141">
        <f t="shared" si="3"/>
        <v>197.52500000000001</v>
      </c>
      <c r="Q11" s="141">
        <f t="shared" si="3"/>
        <v>65.214770000000001</v>
      </c>
      <c r="R11" s="141">
        <f t="shared" si="3"/>
        <v>646.88499999999999</v>
      </c>
      <c r="S11" s="141">
        <f t="shared" si="3"/>
        <v>0</v>
      </c>
      <c r="T11" s="141">
        <f t="shared" si="3"/>
        <v>313.93500000000006</v>
      </c>
      <c r="U11" s="141">
        <f t="shared" si="3"/>
        <v>0</v>
      </c>
      <c r="V11" s="141">
        <f t="shared" si="3"/>
        <v>1268</v>
      </c>
      <c r="W11" s="141">
        <f t="shared" si="3"/>
        <v>0</v>
      </c>
      <c r="X11" s="141">
        <f t="shared" si="3"/>
        <v>281.78499999999997</v>
      </c>
      <c r="Y11" s="141">
        <f t="shared" si="3"/>
        <v>0</v>
      </c>
      <c r="Z11" s="141">
        <f t="shared" si="3"/>
        <v>248.065</v>
      </c>
      <c r="AA11" s="141">
        <f t="shared" si="3"/>
        <v>0</v>
      </c>
      <c r="AB11" s="141">
        <f t="shared" si="3"/>
        <v>109.48</v>
      </c>
      <c r="AC11" s="141">
        <f t="shared" si="3"/>
        <v>0</v>
      </c>
      <c r="AD11" s="141">
        <f t="shared" si="3"/>
        <v>89.92</v>
      </c>
      <c r="AE11" s="141">
        <f t="shared" si="3"/>
        <v>0</v>
      </c>
      <c r="AF11" s="70"/>
      <c r="AG11" s="235"/>
      <c r="AH11" s="103"/>
      <c r="AI11" s="235"/>
    </row>
    <row r="12" spans="1:35" s="37" customFormat="1" x14ac:dyDescent="0.25">
      <c r="A12" s="72" t="s">
        <v>104</v>
      </c>
      <c r="B12" s="142">
        <f>H12+J12+L12+N12+P12+R12+T12+V12+X12+Z12+AB12+AD12</f>
        <v>18336.295330000004</v>
      </c>
      <c r="C12" s="143">
        <f>C42+C109</f>
        <v>2727.4176900000002</v>
      </c>
      <c r="D12" s="143">
        <f>D42+D109</f>
        <v>2727.4176900000002</v>
      </c>
      <c r="E12" s="143">
        <f>E42+E109</f>
        <v>1650.11043</v>
      </c>
      <c r="F12" s="75">
        <f>E12/B12</f>
        <v>8.9991484119491413E-2</v>
      </c>
      <c r="G12" s="75">
        <f>E12/C12</f>
        <v>0.60500833299207646</v>
      </c>
      <c r="H12" s="143">
        <f t="shared" ref="H12:AE12" si="4">H42+H109</f>
        <v>33.1</v>
      </c>
      <c r="I12" s="143">
        <f t="shared" si="4"/>
        <v>0</v>
      </c>
      <c r="J12" s="143">
        <f t="shared" si="4"/>
        <v>448.35162000000003</v>
      </c>
      <c r="K12" s="143">
        <f t="shared" si="4"/>
        <v>358.92627999999996</v>
      </c>
      <c r="L12" s="143">
        <f t="shared" si="4"/>
        <v>948.21218999999996</v>
      </c>
      <c r="M12" s="143">
        <f t="shared" si="4"/>
        <v>345.78565000000003</v>
      </c>
      <c r="N12" s="143">
        <f t="shared" si="4"/>
        <v>545.98755000000006</v>
      </c>
      <c r="O12" s="143">
        <f t="shared" si="4"/>
        <v>580.25194999999997</v>
      </c>
      <c r="P12" s="143">
        <f t="shared" si="4"/>
        <v>751.76632999999993</v>
      </c>
      <c r="Q12" s="143">
        <f t="shared" si="4"/>
        <v>365.14654999999999</v>
      </c>
      <c r="R12" s="143">
        <f t="shared" si="4"/>
        <v>4452.0200500000001</v>
      </c>
      <c r="S12" s="143">
        <f t="shared" si="4"/>
        <v>0</v>
      </c>
      <c r="T12" s="143">
        <f t="shared" si="4"/>
        <v>4829.5736000000006</v>
      </c>
      <c r="U12" s="143">
        <f t="shared" si="4"/>
        <v>0</v>
      </c>
      <c r="V12" s="143">
        <f t="shared" si="4"/>
        <v>3760.9855500000003</v>
      </c>
      <c r="W12" s="143">
        <f t="shared" si="4"/>
        <v>0</v>
      </c>
      <c r="X12" s="143">
        <f t="shared" si="4"/>
        <v>984.90548000000001</v>
      </c>
      <c r="Y12" s="143">
        <f t="shared" si="4"/>
        <v>0</v>
      </c>
      <c r="Z12" s="143">
        <f t="shared" si="4"/>
        <v>807.10253999999998</v>
      </c>
      <c r="AA12" s="143">
        <f t="shared" si="4"/>
        <v>0</v>
      </c>
      <c r="AB12" s="143">
        <f t="shared" si="4"/>
        <v>574.06747999999993</v>
      </c>
      <c r="AC12" s="143">
        <f t="shared" si="4"/>
        <v>0</v>
      </c>
      <c r="AD12" s="143">
        <f t="shared" si="4"/>
        <v>200.22293999999999</v>
      </c>
      <c r="AE12" s="143">
        <f t="shared" si="4"/>
        <v>0</v>
      </c>
      <c r="AF12" s="74"/>
      <c r="AG12" s="235"/>
      <c r="AH12" s="103"/>
      <c r="AI12" s="235"/>
    </row>
    <row r="13" spans="1:35" s="37" customFormat="1" ht="98.25" customHeight="1" x14ac:dyDescent="0.25">
      <c r="A13" s="115" t="s">
        <v>110</v>
      </c>
      <c r="B13" s="144"/>
      <c r="C13" s="145"/>
      <c r="D13" s="145"/>
      <c r="E13" s="146"/>
      <c r="F13" s="116"/>
      <c r="G13" s="11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66"/>
      <c r="AE13" s="167"/>
      <c r="AF13" s="269"/>
      <c r="AG13" s="235"/>
      <c r="AH13" s="103"/>
      <c r="AI13" s="235"/>
    </row>
    <row r="14" spans="1:35" s="37" customFormat="1" x14ac:dyDescent="0.25">
      <c r="A14" s="65" t="s">
        <v>25</v>
      </c>
      <c r="B14" s="147">
        <f>B15+B16</f>
        <v>11208.89957</v>
      </c>
      <c r="C14" s="147">
        <f>C15+C16</f>
        <v>592.61157000000003</v>
      </c>
      <c r="D14" s="147">
        <f>D15+D16</f>
        <v>592.61157000000003</v>
      </c>
      <c r="E14" s="147">
        <f>E15+E16</f>
        <v>342.77466999999996</v>
      </c>
      <c r="F14" s="66">
        <f>E14/B14</f>
        <v>3.0580581783194616E-2</v>
      </c>
      <c r="G14" s="66">
        <f>E14/C14</f>
        <v>0.57841373228673199</v>
      </c>
      <c r="H14" s="168">
        <f t="shared" ref="H14:AE14" si="5">H15+H16</f>
        <v>0</v>
      </c>
      <c r="I14" s="168">
        <f t="shared" si="5"/>
        <v>0</v>
      </c>
      <c r="J14" s="168">
        <f t="shared" si="5"/>
        <v>61.12462</v>
      </c>
      <c r="K14" s="168">
        <f t="shared" si="5"/>
        <v>61.12462</v>
      </c>
      <c r="L14" s="168">
        <f t="shared" si="5"/>
        <v>531.48694999999998</v>
      </c>
      <c r="M14" s="168">
        <f t="shared" si="5"/>
        <v>22.553049999999999</v>
      </c>
      <c r="N14" s="168">
        <f t="shared" si="5"/>
        <v>0</v>
      </c>
      <c r="O14" s="168">
        <f t="shared" si="5"/>
        <v>259.09699999999998</v>
      </c>
      <c r="P14" s="168">
        <f t="shared" si="5"/>
        <v>0</v>
      </c>
      <c r="Q14" s="168">
        <f t="shared" si="5"/>
        <v>0</v>
      </c>
      <c r="R14" s="168">
        <f t="shared" si="5"/>
        <v>3675.3740000000003</v>
      </c>
      <c r="S14" s="168">
        <f t="shared" si="5"/>
        <v>0</v>
      </c>
      <c r="T14" s="168">
        <f t="shared" si="5"/>
        <v>3470.4390000000003</v>
      </c>
      <c r="U14" s="168">
        <f t="shared" si="5"/>
        <v>0</v>
      </c>
      <c r="V14" s="168">
        <f t="shared" si="5"/>
        <v>3470.4750000000004</v>
      </c>
      <c r="W14" s="168">
        <f t="shared" si="5"/>
        <v>0</v>
      </c>
      <c r="X14" s="168">
        <f t="shared" si="5"/>
        <v>0</v>
      </c>
      <c r="Y14" s="168">
        <f t="shared" si="5"/>
        <v>0</v>
      </c>
      <c r="Z14" s="168">
        <f t="shared" si="5"/>
        <v>0</v>
      </c>
      <c r="AA14" s="168">
        <f t="shared" si="5"/>
        <v>0</v>
      </c>
      <c r="AB14" s="168">
        <f t="shared" si="5"/>
        <v>0</v>
      </c>
      <c r="AC14" s="168">
        <f t="shared" si="5"/>
        <v>0</v>
      </c>
      <c r="AD14" s="168">
        <f t="shared" si="5"/>
        <v>0</v>
      </c>
      <c r="AE14" s="168">
        <f t="shared" si="5"/>
        <v>0</v>
      </c>
      <c r="AF14" s="270"/>
      <c r="AG14" s="235"/>
      <c r="AH14" s="103"/>
      <c r="AI14" s="235"/>
    </row>
    <row r="15" spans="1:35" s="37" customFormat="1" ht="25.5" customHeight="1" x14ac:dyDescent="0.25">
      <c r="A15" s="68" t="s">
        <v>103</v>
      </c>
      <c r="B15" s="140">
        <f>H15+J15+L15+N15+P15+R15+T15+V15+X15+Z15+AB15+AD15</f>
        <v>1605</v>
      </c>
      <c r="C15" s="141">
        <f>C19</f>
        <v>0</v>
      </c>
      <c r="D15" s="141">
        <f>D19</f>
        <v>0</v>
      </c>
      <c r="E15" s="141">
        <f>I15+K15+M15+O15+Q15+S15+U15+W15+Y15+AA15+AC15+AE15</f>
        <v>0</v>
      </c>
      <c r="F15" s="71">
        <f>E15/B15</f>
        <v>0</v>
      </c>
      <c r="G15" s="71" t="e">
        <f>E15/C15</f>
        <v>#DIV/0!</v>
      </c>
      <c r="H15" s="141">
        <f>H19</f>
        <v>0</v>
      </c>
      <c r="I15" s="141">
        <f t="shared" ref="I15:AA15" si="6">I19</f>
        <v>0</v>
      </c>
      <c r="J15" s="141">
        <f t="shared" si="6"/>
        <v>0</v>
      </c>
      <c r="K15" s="141">
        <f t="shared" si="6"/>
        <v>0</v>
      </c>
      <c r="L15" s="141">
        <f t="shared" si="6"/>
        <v>0</v>
      </c>
      <c r="M15" s="141">
        <f t="shared" si="6"/>
        <v>0</v>
      </c>
      <c r="N15" s="141">
        <f>N19</f>
        <v>0</v>
      </c>
      <c r="O15" s="141">
        <f>O19</f>
        <v>0</v>
      </c>
      <c r="P15" s="141">
        <f t="shared" si="6"/>
        <v>0</v>
      </c>
      <c r="Q15" s="141">
        <f t="shared" si="6"/>
        <v>0</v>
      </c>
      <c r="R15" s="141">
        <f t="shared" si="6"/>
        <v>489.52499999999998</v>
      </c>
      <c r="S15" s="141">
        <f t="shared" si="6"/>
        <v>0</v>
      </c>
      <c r="T15" s="141">
        <f t="shared" si="6"/>
        <v>72.275000000000006</v>
      </c>
      <c r="U15" s="141">
        <f t="shared" si="6"/>
        <v>0</v>
      </c>
      <c r="V15" s="141">
        <f t="shared" si="6"/>
        <v>1043.2</v>
      </c>
      <c r="W15" s="141">
        <f t="shared" si="6"/>
        <v>0</v>
      </c>
      <c r="X15" s="141">
        <f t="shared" si="6"/>
        <v>0</v>
      </c>
      <c r="Y15" s="141">
        <f t="shared" si="6"/>
        <v>0</v>
      </c>
      <c r="Z15" s="141">
        <f t="shared" si="6"/>
        <v>0</v>
      </c>
      <c r="AA15" s="141">
        <f t="shared" si="6"/>
        <v>0</v>
      </c>
      <c r="AB15" s="141">
        <f>AB19</f>
        <v>0</v>
      </c>
      <c r="AC15" s="141">
        <f>AC19</f>
        <v>0</v>
      </c>
      <c r="AD15" s="141">
        <f>AD19</f>
        <v>0</v>
      </c>
      <c r="AE15" s="141">
        <f>AE19</f>
        <v>0</v>
      </c>
      <c r="AF15" s="270"/>
      <c r="AG15" s="235"/>
      <c r="AH15" s="103"/>
      <c r="AI15" s="235"/>
    </row>
    <row r="16" spans="1:35" s="37" customFormat="1" ht="22.5" customHeight="1" x14ac:dyDescent="0.25">
      <c r="A16" s="72" t="s">
        <v>104</v>
      </c>
      <c r="B16" s="142">
        <f>H16+J16+L16+N16+P16+R16+T16+V16+X16+Z16+AB16+AD16</f>
        <v>9603.8995699999996</v>
      </c>
      <c r="C16" s="143">
        <f>C20+C22+C24</f>
        <v>592.61157000000003</v>
      </c>
      <c r="D16" s="143">
        <f>D20+D22+D24</f>
        <v>592.61157000000003</v>
      </c>
      <c r="E16" s="143">
        <f>E20+E22+E24</f>
        <v>342.77466999999996</v>
      </c>
      <c r="F16" s="75">
        <f>E16/B16</f>
        <v>3.569119684161795E-2</v>
      </c>
      <c r="G16" s="75">
        <f>E16/C16</f>
        <v>0.57841373228673199</v>
      </c>
      <c r="H16" s="143">
        <f>H20+H22+H24</f>
        <v>0</v>
      </c>
      <c r="I16" s="143">
        <f t="shared" ref="I16:AE16" si="7">I20+I22+I24</f>
        <v>0</v>
      </c>
      <c r="J16" s="143">
        <f t="shared" si="7"/>
        <v>61.12462</v>
      </c>
      <c r="K16" s="143">
        <f t="shared" si="7"/>
        <v>61.12462</v>
      </c>
      <c r="L16" s="143">
        <f>L20+L22+L24</f>
        <v>531.48694999999998</v>
      </c>
      <c r="M16" s="143">
        <f t="shared" si="7"/>
        <v>22.553049999999999</v>
      </c>
      <c r="N16" s="143">
        <f t="shared" si="7"/>
        <v>0</v>
      </c>
      <c r="O16" s="143">
        <f t="shared" si="7"/>
        <v>259.09699999999998</v>
      </c>
      <c r="P16" s="143">
        <f t="shared" si="7"/>
        <v>0</v>
      </c>
      <c r="Q16" s="143">
        <f t="shared" si="7"/>
        <v>0</v>
      </c>
      <c r="R16" s="143">
        <f t="shared" si="7"/>
        <v>3185.8490000000002</v>
      </c>
      <c r="S16" s="143">
        <f t="shared" si="7"/>
        <v>0</v>
      </c>
      <c r="T16" s="143">
        <f t="shared" si="7"/>
        <v>3398.1640000000002</v>
      </c>
      <c r="U16" s="143">
        <f t="shared" si="7"/>
        <v>0</v>
      </c>
      <c r="V16" s="143">
        <f t="shared" si="7"/>
        <v>2427.2750000000001</v>
      </c>
      <c r="W16" s="143">
        <f t="shared" si="7"/>
        <v>0</v>
      </c>
      <c r="X16" s="143">
        <f t="shared" si="7"/>
        <v>0</v>
      </c>
      <c r="Y16" s="143">
        <f t="shared" si="7"/>
        <v>0</v>
      </c>
      <c r="Z16" s="143">
        <f t="shared" si="7"/>
        <v>0</v>
      </c>
      <c r="AA16" s="143">
        <f t="shared" si="7"/>
        <v>0</v>
      </c>
      <c r="AB16" s="143">
        <f t="shared" si="7"/>
        <v>0</v>
      </c>
      <c r="AC16" s="143">
        <f t="shared" si="7"/>
        <v>0</v>
      </c>
      <c r="AD16" s="143">
        <f t="shared" si="7"/>
        <v>0</v>
      </c>
      <c r="AE16" s="143">
        <f t="shared" si="7"/>
        <v>0</v>
      </c>
      <c r="AF16" s="271"/>
      <c r="AG16" s="235"/>
      <c r="AH16" s="103"/>
      <c r="AI16" s="235"/>
    </row>
    <row r="17" spans="1:35" s="106" customFormat="1" ht="36.75" customHeight="1" x14ac:dyDescent="0.25">
      <c r="A17" s="121" t="s">
        <v>154</v>
      </c>
      <c r="B17" s="148"/>
      <c r="C17" s="148"/>
      <c r="D17" s="148"/>
      <c r="E17" s="148"/>
      <c r="F17" s="94"/>
      <c r="G17" s="94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272" t="s">
        <v>184</v>
      </c>
      <c r="AG17" s="235"/>
      <c r="AH17" s="103"/>
      <c r="AI17" s="235"/>
    </row>
    <row r="18" spans="1:35" s="106" customFormat="1" ht="20.25" customHeight="1" x14ac:dyDescent="0.25">
      <c r="A18" s="107" t="s">
        <v>155</v>
      </c>
      <c r="B18" s="108">
        <f>B20+B19</f>
        <v>10616.288</v>
      </c>
      <c r="C18" s="108">
        <f>C20+C19</f>
        <v>0</v>
      </c>
      <c r="D18" s="108">
        <f>D20+D19</f>
        <v>0</v>
      </c>
      <c r="E18" s="108">
        <f>E20+E19</f>
        <v>0</v>
      </c>
      <c r="F18" s="234">
        <f>E18/B18</f>
        <v>0</v>
      </c>
      <c r="G18" s="233">
        <f>IFERROR(E18/C18,0)</f>
        <v>0</v>
      </c>
      <c r="H18" s="109">
        <f>H20+H19</f>
        <v>0</v>
      </c>
      <c r="I18" s="109">
        <f t="shared" ref="I18:M18" si="8">I20+I19</f>
        <v>0</v>
      </c>
      <c r="J18" s="109">
        <f t="shared" si="8"/>
        <v>0</v>
      </c>
      <c r="K18" s="109">
        <f t="shared" si="8"/>
        <v>0</v>
      </c>
      <c r="L18" s="109">
        <f t="shared" si="8"/>
        <v>0</v>
      </c>
      <c r="M18" s="109">
        <f t="shared" si="8"/>
        <v>0</v>
      </c>
      <c r="N18" s="109">
        <f t="shared" ref="N18:AE18" si="9">N20+N19</f>
        <v>0</v>
      </c>
      <c r="O18" s="109">
        <f t="shared" si="9"/>
        <v>0</v>
      </c>
      <c r="P18" s="109">
        <f t="shared" si="9"/>
        <v>0</v>
      </c>
      <c r="Q18" s="109">
        <f t="shared" si="9"/>
        <v>0</v>
      </c>
      <c r="R18" s="109">
        <f t="shared" si="9"/>
        <v>3675.3740000000003</v>
      </c>
      <c r="S18" s="109">
        <f t="shared" si="9"/>
        <v>0</v>
      </c>
      <c r="T18" s="109">
        <f t="shared" si="9"/>
        <v>3470.4390000000003</v>
      </c>
      <c r="U18" s="109">
        <f t="shared" si="9"/>
        <v>0</v>
      </c>
      <c r="V18" s="109">
        <f t="shared" si="9"/>
        <v>3470.4750000000004</v>
      </c>
      <c r="W18" s="109">
        <f t="shared" si="9"/>
        <v>0</v>
      </c>
      <c r="X18" s="109">
        <f t="shared" si="9"/>
        <v>0</v>
      </c>
      <c r="Y18" s="109">
        <f t="shared" si="9"/>
        <v>0</v>
      </c>
      <c r="Z18" s="109">
        <f t="shared" si="9"/>
        <v>0</v>
      </c>
      <c r="AA18" s="109">
        <f t="shared" si="9"/>
        <v>0</v>
      </c>
      <c r="AB18" s="109">
        <f t="shared" si="9"/>
        <v>0</v>
      </c>
      <c r="AC18" s="109">
        <f t="shared" si="9"/>
        <v>0</v>
      </c>
      <c r="AD18" s="109">
        <f t="shared" si="9"/>
        <v>0</v>
      </c>
      <c r="AE18" s="109">
        <f t="shared" si="9"/>
        <v>0</v>
      </c>
      <c r="AF18" s="273"/>
      <c r="AG18" s="235"/>
      <c r="AH18" s="103"/>
      <c r="AI18" s="235"/>
    </row>
    <row r="19" spans="1:35" s="106" customFormat="1" ht="21" customHeight="1" x14ac:dyDescent="0.25">
      <c r="A19" s="107" t="s">
        <v>103</v>
      </c>
      <c r="B19" s="112">
        <f>H19+J19+L19+N19+P19+R19+T19+V19+X19+Z19+AB19+AD19</f>
        <v>1605</v>
      </c>
      <c r="C19" s="113">
        <f>H19+J19+L19+N19+P19</f>
        <v>0</v>
      </c>
      <c r="D19" s="113">
        <v>0</v>
      </c>
      <c r="E19" s="113">
        <f>I19+K19+M19+O19+Q19+S19+U19+W19+Y19+AA19+AC19+AE19</f>
        <v>0</v>
      </c>
      <c r="F19" s="118">
        <f>E19/B19</f>
        <v>0</v>
      </c>
      <c r="G19" s="233">
        <f t="shared" ref="G19:G20" si="10">IFERROR(E19/C19,0)</f>
        <v>0</v>
      </c>
      <c r="H19" s="113">
        <v>0</v>
      </c>
      <c r="I19" s="113"/>
      <c r="J19" s="113"/>
      <c r="K19" s="113"/>
      <c r="L19" s="113"/>
      <c r="M19" s="113"/>
      <c r="N19" s="113"/>
      <c r="O19" s="113"/>
      <c r="P19" s="113"/>
      <c r="Q19" s="113"/>
      <c r="R19" s="113">
        <f>489525/1000</f>
        <v>489.52499999999998</v>
      </c>
      <c r="S19" s="113"/>
      <c r="T19" s="113">
        <f>72275/1000</f>
        <v>72.275000000000006</v>
      </c>
      <c r="U19" s="113">
        <v>0</v>
      </c>
      <c r="V19" s="113">
        <f>1043200/1000</f>
        <v>1043.2</v>
      </c>
      <c r="W19" s="113">
        <v>0</v>
      </c>
      <c r="X19" s="113"/>
      <c r="Y19" s="113">
        <v>0</v>
      </c>
      <c r="Z19" s="113"/>
      <c r="AA19" s="113"/>
      <c r="AB19" s="113"/>
      <c r="AC19" s="113"/>
      <c r="AD19" s="113"/>
      <c r="AE19" s="158"/>
      <c r="AF19" s="273"/>
      <c r="AG19" s="235"/>
      <c r="AH19" s="103"/>
      <c r="AI19" s="235"/>
    </row>
    <row r="20" spans="1:35" s="106" customFormat="1" ht="18.75" customHeight="1" x14ac:dyDescent="0.25">
      <c r="A20" s="107" t="s">
        <v>104</v>
      </c>
      <c r="B20" s="112">
        <f>H20+J20+L20+N20+P20+R20+T20+V20+X20+Z20+AB20+AD20</f>
        <v>9011.2880000000005</v>
      </c>
      <c r="C20" s="113">
        <f>H20+J20+L20+N20+P20</f>
        <v>0</v>
      </c>
      <c r="D20" s="113">
        <f>C20</f>
        <v>0</v>
      </c>
      <c r="E20" s="113">
        <f>I20+K20+M20+O20+Q20+S20+U20+W20+Y20+AA20+AC20+AE20</f>
        <v>0</v>
      </c>
      <c r="F20" s="118">
        <f>E20/B20</f>
        <v>0</v>
      </c>
      <c r="G20" s="233">
        <f t="shared" si="10"/>
        <v>0</v>
      </c>
      <c r="H20" s="113"/>
      <c r="I20" s="113"/>
      <c r="J20" s="113"/>
      <c r="K20" s="113"/>
      <c r="L20" s="113"/>
      <c r="M20" s="113"/>
      <c r="N20" s="113">
        <v>0</v>
      </c>
      <c r="O20" s="113"/>
      <c r="P20" s="113"/>
      <c r="Q20" s="113"/>
      <c r="R20" s="113">
        <f>3185849/1000</f>
        <v>3185.8490000000002</v>
      </c>
      <c r="S20" s="113">
        <v>0</v>
      </c>
      <c r="T20" s="113">
        <f>3398164/1000</f>
        <v>3398.1640000000002</v>
      </c>
      <c r="U20" s="113">
        <v>0</v>
      </c>
      <c r="V20" s="113">
        <f>2427275/1000</f>
        <v>2427.2750000000001</v>
      </c>
      <c r="W20" s="113">
        <v>0</v>
      </c>
      <c r="X20" s="113"/>
      <c r="Y20" s="113"/>
      <c r="Z20" s="113"/>
      <c r="AA20" s="113"/>
      <c r="AB20" s="113"/>
      <c r="AC20" s="113"/>
      <c r="AD20" s="113"/>
      <c r="AE20" s="158"/>
      <c r="AF20" s="273"/>
      <c r="AG20" s="235"/>
      <c r="AH20" s="103"/>
      <c r="AI20" s="235"/>
    </row>
    <row r="21" spans="1:35" s="106" customFormat="1" ht="94.5" customHeight="1" x14ac:dyDescent="0.25">
      <c r="A21" s="121" t="s">
        <v>156</v>
      </c>
      <c r="B21" s="111"/>
      <c r="C21" s="111"/>
      <c r="D21" s="111"/>
      <c r="E21" s="111"/>
      <c r="F21" s="119"/>
      <c r="G21" s="119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48"/>
      <c r="AF21" s="273"/>
      <c r="AG21" s="235"/>
      <c r="AH21" s="103"/>
      <c r="AI21" s="235"/>
    </row>
    <row r="22" spans="1:35" s="106" customFormat="1" ht="23.25" customHeight="1" x14ac:dyDescent="0.25">
      <c r="A22" s="107" t="s">
        <v>104</v>
      </c>
      <c r="B22" s="112">
        <f>H22+J22+L22+N22+P22+R22+T22+V22+X22+Z22+AB22+AD22</f>
        <v>531.48694999999998</v>
      </c>
      <c r="C22" s="113">
        <f>H22+J22+L22+N22+P22</f>
        <v>531.48694999999998</v>
      </c>
      <c r="D22" s="114">
        <f>C22</f>
        <v>531.48694999999998</v>
      </c>
      <c r="E22" s="113">
        <f>I22+K22+M22+O22+Q22+S22+U22+W22+Y22+AA22+AC22+AE22</f>
        <v>281.65004999999996</v>
      </c>
      <c r="F22" s="118">
        <f>E22/B22</f>
        <v>0.52992843944710211</v>
      </c>
      <c r="G22" s="233">
        <f>E22/C22</f>
        <v>0.52992843944710211</v>
      </c>
      <c r="H22" s="114"/>
      <c r="I22" s="114"/>
      <c r="J22" s="114"/>
      <c r="K22" s="114"/>
      <c r="L22" s="114">
        <f>531486.95/1000</f>
        <v>531.48694999999998</v>
      </c>
      <c r="M22" s="114">
        <f>22553.05/1000</f>
        <v>22.553049999999999</v>
      </c>
      <c r="N22" s="114">
        <v>0</v>
      </c>
      <c r="O22" s="114">
        <f>259097/1000</f>
        <v>259.09699999999998</v>
      </c>
      <c r="P22" s="114"/>
      <c r="Q22" s="114">
        <v>0</v>
      </c>
      <c r="R22" s="114"/>
      <c r="S22" s="114">
        <v>0</v>
      </c>
      <c r="T22" s="114"/>
      <c r="U22" s="114">
        <v>0</v>
      </c>
      <c r="V22" s="114">
        <v>0</v>
      </c>
      <c r="W22" s="114">
        <v>0</v>
      </c>
      <c r="X22" s="114">
        <v>0</v>
      </c>
      <c r="Y22" s="114"/>
      <c r="Z22" s="114"/>
      <c r="AA22" s="114"/>
      <c r="AB22" s="114"/>
      <c r="AC22" s="114"/>
      <c r="AD22" s="114"/>
      <c r="AE22" s="114"/>
      <c r="AF22" s="273"/>
      <c r="AG22" s="235"/>
      <c r="AH22" s="103"/>
      <c r="AI22" s="235"/>
    </row>
    <row r="23" spans="1:35" s="106" customFormat="1" ht="39.75" customHeight="1" x14ac:dyDescent="0.25">
      <c r="A23" s="121" t="s">
        <v>157</v>
      </c>
      <c r="B23" s="111"/>
      <c r="C23" s="111"/>
      <c r="D23" s="111"/>
      <c r="E23" s="111"/>
      <c r="F23" s="119"/>
      <c r="G23" s="119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48"/>
      <c r="AF23" s="273"/>
      <c r="AG23" s="235"/>
      <c r="AH23" s="103"/>
      <c r="AI23" s="235"/>
    </row>
    <row r="24" spans="1:35" s="106" customFormat="1" ht="25.5" customHeight="1" x14ac:dyDescent="0.25">
      <c r="A24" s="107" t="s">
        <v>104</v>
      </c>
      <c r="B24" s="112">
        <f>H24+J24+L24+N24+P24+R24+T24+V24+X24+Z24+AB24+AD24</f>
        <v>61.12462</v>
      </c>
      <c r="C24" s="113">
        <f>H24+J24+L24+N24+P24</f>
        <v>61.12462</v>
      </c>
      <c r="D24" s="112">
        <f>C24</f>
        <v>61.12462</v>
      </c>
      <c r="E24" s="113">
        <f>I24+K24+M24+O24+Q24+S24+U24+W24+Y24+AA24+AC24+AE24</f>
        <v>61.12462</v>
      </c>
      <c r="F24" s="118">
        <f>E24/B24</f>
        <v>1</v>
      </c>
      <c r="G24" s="233">
        <f>E24/C24</f>
        <v>1</v>
      </c>
      <c r="H24" s="114"/>
      <c r="I24" s="114"/>
      <c r="J24" s="114">
        <f>61124.62/1000</f>
        <v>61.12462</v>
      </c>
      <c r="K24" s="114">
        <f>61124.62/1000</f>
        <v>61.12462</v>
      </c>
      <c r="L24" s="114">
        <v>0</v>
      </c>
      <c r="M24" s="114"/>
      <c r="N24" s="114"/>
      <c r="O24" s="114"/>
      <c r="P24" s="114"/>
      <c r="Q24" s="114">
        <v>0</v>
      </c>
      <c r="R24" s="114"/>
      <c r="S24" s="114">
        <v>0</v>
      </c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274"/>
      <c r="AG24" s="235"/>
      <c r="AH24" s="103"/>
      <c r="AI24" s="235"/>
    </row>
    <row r="25" spans="1:35" s="37" customFormat="1" ht="92.25" customHeight="1" x14ac:dyDescent="0.25">
      <c r="A25" s="115" t="s">
        <v>111</v>
      </c>
      <c r="B25" s="144"/>
      <c r="C25" s="145"/>
      <c r="D25" s="145"/>
      <c r="E25" s="146"/>
      <c r="F25" s="116"/>
      <c r="G25" s="11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66"/>
      <c r="AE25" s="167"/>
      <c r="AF25" s="264" t="s">
        <v>232</v>
      </c>
      <c r="AG25" s="235"/>
      <c r="AH25" s="103"/>
      <c r="AI25" s="235"/>
    </row>
    <row r="26" spans="1:35" s="37" customFormat="1" ht="36" customHeight="1" x14ac:dyDescent="0.25">
      <c r="A26" s="121" t="s">
        <v>154</v>
      </c>
      <c r="B26" s="149"/>
      <c r="C26" s="149"/>
      <c r="D26" s="149"/>
      <c r="E26" s="149"/>
      <c r="F26" s="95"/>
      <c r="G26" s="95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265"/>
      <c r="AG26" s="235"/>
      <c r="AH26" s="103"/>
      <c r="AI26" s="235"/>
    </row>
    <row r="27" spans="1:35" s="37" customFormat="1" ht="18.75" customHeight="1" x14ac:dyDescent="0.25">
      <c r="A27" s="65" t="s">
        <v>25</v>
      </c>
      <c r="B27" s="147">
        <f>B29+B28</f>
        <v>1919.0000000000002</v>
      </c>
      <c r="C27" s="147">
        <f>C29+C28</f>
        <v>1138.3220000000001</v>
      </c>
      <c r="D27" s="147">
        <f>D29+D28</f>
        <v>1138.0666600000002</v>
      </c>
      <c r="E27" s="147">
        <f>E29+E28</f>
        <v>1133.48296</v>
      </c>
      <c r="F27" s="66">
        <f>E27/B27</f>
        <v>0.59066334549244393</v>
      </c>
      <c r="G27" s="66">
        <f>E27/C27</f>
        <v>0.99574897085358971</v>
      </c>
      <c r="H27" s="147">
        <f>H29+H28</f>
        <v>0</v>
      </c>
      <c r="I27" s="147">
        <f t="shared" ref="I27:AE27" si="11">I29+I28</f>
        <v>0</v>
      </c>
      <c r="J27" s="147">
        <f t="shared" si="11"/>
        <v>298.56700000000001</v>
      </c>
      <c r="K27" s="147">
        <f t="shared" si="11"/>
        <v>297.80165999999997</v>
      </c>
      <c r="L27" s="147">
        <f t="shared" si="11"/>
        <v>317.06200000000001</v>
      </c>
      <c r="M27" s="147">
        <f t="shared" si="11"/>
        <v>272.35234000000003</v>
      </c>
      <c r="N27" s="147">
        <f t="shared" si="11"/>
        <v>260.97399999999999</v>
      </c>
      <c r="O27" s="147">
        <f t="shared" si="11"/>
        <v>300.49619999999999</v>
      </c>
      <c r="P27" s="147">
        <f t="shared" si="11"/>
        <v>261.71899999999999</v>
      </c>
      <c r="Q27" s="147">
        <f t="shared" si="11"/>
        <v>262.83276000000001</v>
      </c>
      <c r="R27" s="147">
        <f t="shared" si="11"/>
        <v>0</v>
      </c>
      <c r="S27" s="147">
        <f t="shared" si="11"/>
        <v>0</v>
      </c>
      <c r="T27" s="147">
        <f t="shared" si="11"/>
        <v>0</v>
      </c>
      <c r="U27" s="147">
        <f t="shared" si="11"/>
        <v>0</v>
      </c>
      <c r="V27" s="147">
        <f t="shared" si="11"/>
        <v>0</v>
      </c>
      <c r="W27" s="147">
        <f t="shared" si="11"/>
        <v>0</v>
      </c>
      <c r="X27" s="147">
        <f t="shared" si="11"/>
        <v>261.71799999999996</v>
      </c>
      <c r="Y27" s="147">
        <f t="shared" si="11"/>
        <v>0</v>
      </c>
      <c r="Z27" s="147">
        <f t="shared" si="11"/>
        <v>257.28399999999999</v>
      </c>
      <c r="AA27" s="147">
        <f t="shared" si="11"/>
        <v>0</v>
      </c>
      <c r="AB27" s="147">
        <f t="shared" si="11"/>
        <v>261.67599999999999</v>
      </c>
      <c r="AC27" s="147">
        <f t="shared" si="11"/>
        <v>0</v>
      </c>
      <c r="AD27" s="147">
        <f t="shared" si="11"/>
        <v>0</v>
      </c>
      <c r="AE27" s="147">
        <f t="shared" si="11"/>
        <v>0</v>
      </c>
      <c r="AF27" s="265"/>
      <c r="AG27" s="235"/>
      <c r="AH27" s="103"/>
      <c r="AI27" s="235"/>
    </row>
    <row r="28" spans="1:35" s="37" customFormat="1" ht="22.5" customHeight="1" x14ac:dyDescent="0.25">
      <c r="A28" s="68" t="s">
        <v>103</v>
      </c>
      <c r="B28" s="140">
        <f>H28+J28+L28+N28+P28+R28+T28+V28+X28+Z28+AB28+AD28</f>
        <v>216.7</v>
      </c>
      <c r="C28" s="141">
        <f>H28+J28+L28+N28+P28</f>
        <v>133.75</v>
      </c>
      <c r="D28" s="141">
        <f>133494.66/1000</f>
        <v>133.49466000000001</v>
      </c>
      <c r="E28" s="141">
        <f>I28+K28+M28+O28+Q28+S28+U28+W28+Y28+AA28+AC28+AE28</f>
        <v>133.49466000000001</v>
      </c>
      <c r="F28" s="71">
        <f>E28/B28</f>
        <v>0.61603442547300424</v>
      </c>
      <c r="G28" s="71">
        <f>E28/C28</f>
        <v>0.99809091588785059</v>
      </c>
      <c r="H28" s="141">
        <v>0</v>
      </c>
      <c r="I28" s="141">
        <v>0</v>
      </c>
      <c r="J28" s="141">
        <v>0</v>
      </c>
      <c r="K28" s="141"/>
      <c r="L28" s="141">
        <f>45475/1000</f>
        <v>45.475000000000001</v>
      </c>
      <c r="M28" s="169"/>
      <c r="N28" s="141">
        <f>48150/1000</f>
        <v>48.15</v>
      </c>
      <c r="O28" s="141">
        <f>93491.25/1000</f>
        <v>93.491249999999994</v>
      </c>
      <c r="P28" s="141">
        <f>40125/1000</f>
        <v>40.125</v>
      </c>
      <c r="Q28" s="141">
        <f>40003.41/1000</f>
        <v>40.003410000000002</v>
      </c>
      <c r="R28" s="169"/>
      <c r="S28" s="169"/>
      <c r="T28" s="169"/>
      <c r="U28" s="169"/>
      <c r="V28" s="169"/>
      <c r="W28" s="169"/>
      <c r="X28" s="141">
        <f>40125/1000</f>
        <v>40.125</v>
      </c>
      <c r="Y28" s="169"/>
      <c r="Z28" s="141">
        <f>40125/1000</f>
        <v>40.125</v>
      </c>
      <c r="AA28" s="169"/>
      <c r="AB28" s="141">
        <f>2700/1000</f>
        <v>2.7</v>
      </c>
      <c r="AC28" s="141"/>
      <c r="AD28" s="141"/>
      <c r="AE28" s="141">
        <v>0</v>
      </c>
      <c r="AF28" s="265"/>
      <c r="AG28" s="235"/>
      <c r="AH28" s="103"/>
      <c r="AI28" s="235"/>
    </row>
    <row r="29" spans="1:35" s="37" customFormat="1" ht="24.75" customHeight="1" x14ac:dyDescent="0.25">
      <c r="A29" s="72" t="s">
        <v>104</v>
      </c>
      <c r="B29" s="142">
        <f>H29+J29+L29+N29+P29+R29+T29+V29+X29+Z29+AB29+AD29</f>
        <v>1702.3000000000002</v>
      </c>
      <c r="C29" s="143">
        <f>H29+J29+L29+N29+P29</f>
        <v>1004.5720000000001</v>
      </c>
      <c r="D29" s="143">
        <f>C29</f>
        <v>1004.5720000000001</v>
      </c>
      <c r="E29" s="143">
        <f>I29+K29+M29+O29+Q29+S29+U29+W29+Y29+AA29+AC29+AE29</f>
        <v>999.98829999999998</v>
      </c>
      <c r="F29" s="75">
        <f>E29/B29</f>
        <v>0.58743364859307989</v>
      </c>
      <c r="G29" s="75">
        <f>E29/C29</f>
        <v>0.99543716129854287</v>
      </c>
      <c r="H29" s="143">
        <v>0</v>
      </c>
      <c r="I29" s="143">
        <v>0</v>
      </c>
      <c r="J29" s="143">
        <f>298567/1000</f>
        <v>298.56700000000001</v>
      </c>
      <c r="K29" s="143">
        <f>297801.66/1000</f>
        <v>297.80165999999997</v>
      </c>
      <c r="L29" s="143">
        <f>271587/1000</f>
        <v>271.58699999999999</v>
      </c>
      <c r="M29" s="143">
        <f>272352.34/1000</f>
        <v>272.35234000000003</v>
      </c>
      <c r="N29" s="143">
        <f>212824/1000</f>
        <v>212.82400000000001</v>
      </c>
      <c r="O29" s="143">
        <f>207004.95/1000</f>
        <v>207.00495000000001</v>
      </c>
      <c r="P29" s="143">
        <f>221594/1000</f>
        <v>221.59399999999999</v>
      </c>
      <c r="Q29" s="143">
        <f>222829.35/1000</f>
        <v>222.82935000000001</v>
      </c>
      <c r="R29" s="170"/>
      <c r="S29" s="170"/>
      <c r="T29" s="170"/>
      <c r="U29" s="170"/>
      <c r="V29" s="170"/>
      <c r="W29" s="170"/>
      <c r="X29" s="143">
        <f>221593/1000</f>
        <v>221.59299999999999</v>
      </c>
      <c r="Y29" s="170"/>
      <c r="Z29" s="143">
        <f>217159/1000</f>
        <v>217.15899999999999</v>
      </c>
      <c r="AA29" s="170"/>
      <c r="AB29" s="143">
        <f>258976/1000</f>
        <v>258.976</v>
      </c>
      <c r="AC29" s="143"/>
      <c r="AD29" s="143"/>
      <c r="AE29" s="143">
        <v>0</v>
      </c>
      <c r="AF29" s="266"/>
      <c r="AG29" s="235"/>
      <c r="AH29" s="103"/>
      <c r="AI29" s="235"/>
    </row>
    <row r="30" spans="1:35" s="37" customFormat="1" ht="72.75" customHeight="1" x14ac:dyDescent="0.25">
      <c r="A30" s="115" t="s">
        <v>147</v>
      </c>
      <c r="B30" s="144"/>
      <c r="C30" s="145"/>
      <c r="D30" s="145"/>
      <c r="E30" s="146"/>
      <c r="F30" s="116"/>
      <c r="G30" s="11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66"/>
      <c r="AE30" s="167"/>
      <c r="AF30" s="264" t="s">
        <v>233</v>
      </c>
      <c r="AG30" s="235"/>
      <c r="AH30" s="103"/>
      <c r="AI30" s="235"/>
    </row>
    <row r="31" spans="1:35" s="37" customFormat="1" x14ac:dyDescent="0.25">
      <c r="A31" s="65" t="s">
        <v>25</v>
      </c>
      <c r="B31" s="147">
        <f>B32</f>
        <v>1827.7987400000002</v>
      </c>
      <c r="C31" s="147">
        <f>C32</f>
        <v>46.506239999999998</v>
      </c>
      <c r="D31" s="147">
        <f t="shared" ref="D31:AE31" si="12">D32</f>
        <v>46.506239999999998</v>
      </c>
      <c r="E31" s="147">
        <f t="shared" si="12"/>
        <v>22.847999999999999</v>
      </c>
      <c r="F31" s="66">
        <f>E31/B31</f>
        <v>1.2500282170016157E-2</v>
      </c>
      <c r="G31" s="66">
        <f>E31/C31</f>
        <v>0.49128891090743954</v>
      </c>
      <c r="H31" s="147">
        <f t="shared" si="12"/>
        <v>0</v>
      </c>
      <c r="I31" s="147">
        <f t="shared" si="12"/>
        <v>0</v>
      </c>
      <c r="J31" s="147">
        <f t="shared" si="12"/>
        <v>0</v>
      </c>
      <c r="K31" s="147">
        <f t="shared" si="12"/>
        <v>0</v>
      </c>
      <c r="L31" s="147">
        <f t="shared" si="12"/>
        <v>46.506239999999998</v>
      </c>
      <c r="M31" s="147">
        <f t="shared" si="12"/>
        <v>0</v>
      </c>
      <c r="N31" s="147">
        <f t="shared" si="12"/>
        <v>0</v>
      </c>
      <c r="O31" s="147">
        <f t="shared" si="12"/>
        <v>22.847999999999999</v>
      </c>
      <c r="P31" s="147">
        <f t="shared" si="12"/>
        <v>0</v>
      </c>
      <c r="Q31" s="147">
        <f t="shared" si="12"/>
        <v>0</v>
      </c>
      <c r="R31" s="147">
        <f t="shared" si="12"/>
        <v>615.34249999999997</v>
      </c>
      <c r="S31" s="147">
        <f t="shared" si="12"/>
        <v>0</v>
      </c>
      <c r="T31" s="147">
        <f t="shared" si="12"/>
        <v>582.99400000000003</v>
      </c>
      <c r="U31" s="147">
        <f t="shared" si="12"/>
        <v>0</v>
      </c>
      <c r="V31" s="147">
        <f t="shared" si="12"/>
        <v>582.95600000000002</v>
      </c>
      <c r="W31" s="147">
        <f t="shared" si="12"/>
        <v>0</v>
      </c>
      <c r="X31" s="147">
        <f t="shared" si="12"/>
        <v>0</v>
      </c>
      <c r="Y31" s="147">
        <f t="shared" si="12"/>
        <v>0</v>
      </c>
      <c r="Z31" s="147">
        <f t="shared" si="12"/>
        <v>0</v>
      </c>
      <c r="AA31" s="147">
        <f t="shared" si="12"/>
        <v>0</v>
      </c>
      <c r="AB31" s="147">
        <f t="shared" si="12"/>
        <v>0</v>
      </c>
      <c r="AC31" s="147">
        <f t="shared" si="12"/>
        <v>0</v>
      </c>
      <c r="AD31" s="147">
        <f t="shared" si="12"/>
        <v>0</v>
      </c>
      <c r="AE31" s="171">
        <f t="shared" si="12"/>
        <v>0</v>
      </c>
      <c r="AF31" s="265"/>
      <c r="AG31" s="235"/>
      <c r="AH31" s="103"/>
      <c r="AI31" s="235"/>
    </row>
    <row r="32" spans="1:35" s="37" customFormat="1" ht="19.5" customHeight="1" x14ac:dyDescent="0.25">
      <c r="A32" s="80" t="s">
        <v>104</v>
      </c>
      <c r="B32" s="142">
        <f>H32+J32+L32+N32+P32+R32+T32+V32+X32+Z32+AB32+AD32</f>
        <v>1827.7987400000002</v>
      </c>
      <c r="C32" s="143">
        <f>C34+C36</f>
        <v>46.506239999999998</v>
      </c>
      <c r="D32" s="143">
        <f>C32</f>
        <v>46.506239999999998</v>
      </c>
      <c r="E32" s="143">
        <f>I32+K32+M32+O32+Q32+S32+U32+W32+Y32+AA32+AC32+AE32</f>
        <v>22.847999999999999</v>
      </c>
      <c r="F32" s="75">
        <f>E32/B32</f>
        <v>1.2500282170016157E-2</v>
      </c>
      <c r="G32" s="75">
        <f>E32/C32</f>
        <v>0.49128891090743954</v>
      </c>
      <c r="H32" s="172">
        <f>H34+H36</f>
        <v>0</v>
      </c>
      <c r="I32" s="172">
        <f t="shared" ref="I32:AE32" si="13">I34+I36</f>
        <v>0</v>
      </c>
      <c r="J32" s="172">
        <f t="shared" si="13"/>
        <v>0</v>
      </c>
      <c r="K32" s="172">
        <f t="shared" si="13"/>
        <v>0</v>
      </c>
      <c r="L32" s="143">
        <f t="shared" si="13"/>
        <v>46.506239999999998</v>
      </c>
      <c r="M32" s="143">
        <f t="shared" si="13"/>
        <v>0</v>
      </c>
      <c r="N32" s="143">
        <f t="shared" si="13"/>
        <v>0</v>
      </c>
      <c r="O32" s="143">
        <f t="shared" si="13"/>
        <v>22.847999999999999</v>
      </c>
      <c r="P32" s="143">
        <f t="shared" si="13"/>
        <v>0</v>
      </c>
      <c r="Q32" s="143">
        <f t="shared" si="13"/>
        <v>0</v>
      </c>
      <c r="R32" s="143">
        <f>R34+R36</f>
        <v>615.34249999999997</v>
      </c>
      <c r="S32" s="143">
        <f t="shared" si="13"/>
        <v>0</v>
      </c>
      <c r="T32" s="143">
        <f t="shared" si="13"/>
        <v>582.99400000000003</v>
      </c>
      <c r="U32" s="143">
        <f t="shared" si="13"/>
        <v>0</v>
      </c>
      <c r="V32" s="143">
        <f t="shared" si="13"/>
        <v>582.95600000000002</v>
      </c>
      <c r="W32" s="143">
        <f t="shared" si="13"/>
        <v>0</v>
      </c>
      <c r="X32" s="143">
        <f t="shared" si="13"/>
        <v>0</v>
      </c>
      <c r="Y32" s="143">
        <f t="shared" si="13"/>
        <v>0</v>
      </c>
      <c r="Z32" s="143">
        <f t="shared" si="13"/>
        <v>0</v>
      </c>
      <c r="AA32" s="143">
        <f t="shared" si="13"/>
        <v>0</v>
      </c>
      <c r="AB32" s="143">
        <f t="shared" si="13"/>
        <v>0</v>
      </c>
      <c r="AC32" s="143">
        <f t="shared" si="13"/>
        <v>0</v>
      </c>
      <c r="AD32" s="143">
        <f t="shared" si="13"/>
        <v>0</v>
      </c>
      <c r="AE32" s="143">
        <f t="shared" si="13"/>
        <v>0</v>
      </c>
      <c r="AF32" s="265"/>
      <c r="AG32" s="235"/>
      <c r="AH32" s="103"/>
      <c r="AI32" s="235"/>
    </row>
    <row r="33" spans="1:35" s="106" customFormat="1" ht="38.25" customHeight="1" x14ac:dyDescent="0.25">
      <c r="A33" s="121" t="s">
        <v>154</v>
      </c>
      <c r="B33" s="150"/>
      <c r="C33" s="150"/>
      <c r="D33" s="150"/>
      <c r="E33" s="150"/>
      <c r="F33" s="120"/>
      <c r="G33" s="120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5"/>
      <c r="AF33" s="265"/>
      <c r="AG33" s="235"/>
      <c r="AH33" s="103"/>
      <c r="AI33" s="235"/>
    </row>
    <row r="34" spans="1:35" s="106" customFormat="1" ht="19.5" customHeight="1" x14ac:dyDescent="0.25">
      <c r="A34" s="110" t="s">
        <v>104</v>
      </c>
      <c r="B34" s="151">
        <f>H34+J34+L34+N34+P34+R34+T34+V34+X34+Z34+AB34+AD34</f>
        <v>1551.1325000000002</v>
      </c>
      <c r="C34" s="152">
        <f>H34+J34+L34+N34+P34</f>
        <v>0</v>
      </c>
      <c r="D34" s="152">
        <f>C34</f>
        <v>0</v>
      </c>
      <c r="E34" s="152">
        <f>I34+K34+M34+O34+Q34+S34+U34+W34+Y34+AA34+AC34+AE34</f>
        <v>0</v>
      </c>
      <c r="F34" s="125">
        <f>E34/B34</f>
        <v>0</v>
      </c>
      <c r="G34" s="125">
        <f t="shared" ref="G34" si="14">IFERROR(E34/C34,0)</f>
        <v>0</v>
      </c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7">
        <f>536225/1000</f>
        <v>536.22500000000002</v>
      </c>
      <c r="S34" s="152">
        <v>0</v>
      </c>
      <c r="T34" s="177">
        <f>507472.75/1000</f>
        <v>507.47275000000002</v>
      </c>
      <c r="U34" s="152">
        <v>0</v>
      </c>
      <c r="V34" s="177">
        <f>507434.75/1000</f>
        <v>507.43475000000001</v>
      </c>
      <c r="W34" s="152">
        <v>0</v>
      </c>
      <c r="X34" s="176"/>
      <c r="Y34" s="152"/>
      <c r="Z34" s="176"/>
      <c r="AA34" s="176"/>
      <c r="AB34" s="176"/>
      <c r="AC34" s="176"/>
      <c r="AD34" s="176"/>
      <c r="AE34" s="178"/>
      <c r="AF34" s="265"/>
      <c r="AG34" s="235"/>
      <c r="AH34" s="103"/>
      <c r="AI34" s="235"/>
    </row>
    <row r="35" spans="1:35" s="106" customFormat="1" ht="86.25" customHeight="1" x14ac:dyDescent="0.25">
      <c r="A35" s="121" t="s">
        <v>166</v>
      </c>
      <c r="B35" s="150"/>
      <c r="C35" s="150"/>
      <c r="D35" s="150"/>
      <c r="E35" s="150"/>
      <c r="F35" s="120"/>
      <c r="G35" s="120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3"/>
      <c r="Z35" s="173"/>
      <c r="AA35" s="173"/>
      <c r="AB35" s="173"/>
      <c r="AC35" s="173"/>
      <c r="AD35" s="173"/>
      <c r="AE35" s="179"/>
      <c r="AF35" s="265"/>
      <c r="AG35" s="235"/>
      <c r="AH35" s="103"/>
      <c r="AI35" s="235"/>
    </row>
    <row r="36" spans="1:35" s="106" customFormat="1" ht="27" customHeight="1" x14ac:dyDescent="0.25">
      <c r="A36" s="110" t="s">
        <v>104</v>
      </c>
      <c r="B36" s="151">
        <f>H36+J36+L36+N36+P36+R36+T36+V36+X36+Z36+AB36+AD36</f>
        <v>276.66624000000002</v>
      </c>
      <c r="C36" s="152">
        <f>H36+J36+L36+N36+P36</f>
        <v>46.506239999999998</v>
      </c>
      <c r="D36" s="152">
        <f>C36</f>
        <v>46.506239999999998</v>
      </c>
      <c r="E36" s="152">
        <f>I36+K36+M36+O36+Q36+S36+U36+W36+Y36+AA36+AC36+AE36</f>
        <v>22.847999999999999</v>
      </c>
      <c r="F36" s="125">
        <f>E36/B36</f>
        <v>8.2583259887436922E-2</v>
      </c>
      <c r="G36" s="125">
        <f>E36/C36</f>
        <v>0.49128891090743954</v>
      </c>
      <c r="H36" s="152"/>
      <c r="I36" s="152"/>
      <c r="J36" s="152"/>
      <c r="K36" s="152"/>
      <c r="L36" s="152">
        <f>46506.24/1000</f>
        <v>46.506239999999998</v>
      </c>
      <c r="M36" s="152"/>
      <c r="N36" s="152">
        <v>0</v>
      </c>
      <c r="O36" s="152">
        <f>22848/1000</f>
        <v>22.847999999999999</v>
      </c>
      <c r="P36" s="152">
        <v>0</v>
      </c>
      <c r="Q36" s="152">
        <v>0</v>
      </c>
      <c r="R36" s="152">
        <f>79117.5/1000</f>
        <v>79.117500000000007</v>
      </c>
      <c r="S36" s="152">
        <v>0</v>
      </c>
      <c r="T36" s="152">
        <f>75521.25/1000</f>
        <v>75.521249999999995</v>
      </c>
      <c r="U36" s="152">
        <v>0</v>
      </c>
      <c r="V36" s="152">
        <f>75521.25/1000</f>
        <v>75.521249999999995</v>
      </c>
      <c r="W36" s="152">
        <v>0</v>
      </c>
      <c r="X36" s="152"/>
      <c r="Y36" s="176"/>
      <c r="Z36" s="176"/>
      <c r="AA36" s="176"/>
      <c r="AB36" s="176"/>
      <c r="AC36" s="176"/>
      <c r="AD36" s="176"/>
      <c r="AE36" s="178"/>
      <c r="AF36" s="266"/>
      <c r="AG36" s="235"/>
      <c r="AH36" s="103"/>
      <c r="AI36" s="235"/>
    </row>
    <row r="37" spans="1:35" s="37" customFormat="1" ht="75.75" customHeight="1" x14ac:dyDescent="0.25">
      <c r="A37" s="115" t="s">
        <v>148</v>
      </c>
      <c r="B37" s="144"/>
      <c r="C37" s="145"/>
      <c r="D37" s="145"/>
      <c r="E37" s="146"/>
      <c r="F37" s="116"/>
      <c r="G37" s="11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66"/>
      <c r="AE37" s="167"/>
      <c r="AF37" s="189" t="s">
        <v>234</v>
      </c>
      <c r="AG37" s="235"/>
      <c r="AH37" s="103"/>
      <c r="AI37" s="235"/>
    </row>
    <row r="38" spans="1:35" s="37" customFormat="1" x14ac:dyDescent="0.25">
      <c r="A38" s="65" t="s">
        <v>25</v>
      </c>
      <c r="B38" s="147">
        <f>B39</f>
        <v>0</v>
      </c>
      <c r="C38" s="147">
        <f t="shared" ref="C38:AE38" si="15">C39</f>
        <v>0</v>
      </c>
      <c r="D38" s="147">
        <f t="shared" si="15"/>
        <v>0</v>
      </c>
      <c r="E38" s="147">
        <f t="shared" si="15"/>
        <v>0</v>
      </c>
      <c r="F38" s="66">
        <f t="shared" si="15"/>
        <v>0</v>
      </c>
      <c r="G38" s="66">
        <f t="shared" si="15"/>
        <v>0</v>
      </c>
      <c r="H38" s="168">
        <f>H39</f>
        <v>0</v>
      </c>
      <c r="I38" s="168">
        <f>I39</f>
        <v>0</v>
      </c>
      <c r="J38" s="168">
        <f>J39</f>
        <v>0</v>
      </c>
      <c r="K38" s="168">
        <f t="shared" si="15"/>
        <v>0</v>
      </c>
      <c r="L38" s="168">
        <f t="shared" si="15"/>
        <v>0</v>
      </c>
      <c r="M38" s="168">
        <f t="shared" si="15"/>
        <v>0</v>
      </c>
      <c r="N38" s="168">
        <f t="shared" si="15"/>
        <v>0</v>
      </c>
      <c r="O38" s="168">
        <f t="shared" si="15"/>
        <v>0</v>
      </c>
      <c r="P38" s="168">
        <f t="shared" si="15"/>
        <v>0</v>
      </c>
      <c r="Q38" s="168">
        <f t="shared" si="15"/>
        <v>0</v>
      </c>
      <c r="R38" s="168">
        <f t="shared" si="15"/>
        <v>0</v>
      </c>
      <c r="S38" s="168">
        <f t="shared" si="15"/>
        <v>0</v>
      </c>
      <c r="T38" s="168">
        <f t="shared" si="15"/>
        <v>0</v>
      </c>
      <c r="U38" s="168">
        <f t="shared" si="15"/>
        <v>0</v>
      </c>
      <c r="V38" s="168">
        <f t="shared" si="15"/>
        <v>0</v>
      </c>
      <c r="W38" s="168">
        <f t="shared" si="15"/>
        <v>0</v>
      </c>
      <c r="X38" s="168">
        <f t="shared" si="15"/>
        <v>0</v>
      </c>
      <c r="Y38" s="168">
        <f t="shared" si="15"/>
        <v>0</v>
      </c>
      <c r="Z38" s="168">
        <f t="shared" si="15"/>
        <v>0</v>
      </c>
      <c r="AA38" s="168">
        <f t="shared" si="15"/>
        <v>0</v>
      </c>
      <c r="AB38" s="168">
        <f t="shared" si="15"/>
        <v>0</v>
      </c>
      <c r="AC38" s="168">
        <f t="shared" si="15"/>
        <v>0</v>
      </c>
      <c r="AD38" s="168">
        <f t="shared" si="15"/>
        <v>0</v>
      </c>
      <c r="AE38" s="180">
        <f t="shared" si="15"/>
        <v>0</v>
      </c>
      <c r="AF38" s="39"/>
      <c r="AG38" s="235"/>
      <c r="AH38" s="103"/>
      <c r="AI38" s="235"/>
    </row>
    <row r="39" spans="1:35" s="35" customFormat="1" ht="23.25" customHeight="1" x14ac:dyDescent="0.25">
      <c r="A39" s="72" t="s">
        <v>104</v>
      </c>
      <c r="B39" s="142">
        <f>H39+J39+L39+N39+P39+R39+T39+V39+X39+Z39+AB39+AD39</f>
        <v>0</v>
      </c>
      <c r="C39" s="143">
        <f>H39</f>
        <v>0</v>
      </c>
      <c r="D39" s="143">
        <f>H39+J39+L39+N39+P39+R39+T39+V39</f>
        <v>0</v>
      </c>
      <c r="E39" s="143">
        <f>I39+K39+M39+O39+Q39+S39+U39+W39+Y39+AA39+AC39+AE39</f>
        <v>0</v>
      </c>
      <c r="F39" s="75"/>
      <c r="G39" s="75"/>
      <c r="H39" s="143">
        <v>0</v>
      </c>
      <c r="I39" s="143">
        <v>0</v>
      </c>
      <c r="J39" s="143">
        <v>0</v>
      </c>
      <c r="K39" s="143">
        <v>0</v>
      </c>
      <c r="L39" s="143">
        <v>0</v>
      </c>
      <c r="M39" s="143">
        <v>0</v>
      </c>
      <c r="N39" s="143">
        <v>0</v>
      </c>
      <c r="O39" s="143">
        <v>0</v>
      </c>
      <c r="P39" s="143">
        <v>0</v>
      </c>
      <c r="Q39" s="143">
        <v>0</v>
      </c>
      <c r="R39" s="143">
        <v>0</v>
      </c>
      <c r="S39" s="143">
        <v>0</v>
      </c>
      <c r="T39" s="143">
        <v>0</v>
      </c>
      <c r="U39" s="143">
        <v>0</v>
      </c>
      <c r="V39" s="143">
        <v>0</v>
      </c>
      <c r="W39" s="143">
        <v>0</v>
      </c>
      <c r="X39" s="143">
        <v>0</v>
      </c>
      <c r="Y39" s="143">
        <v>0</v>
      </c>
      <c r="Z39" s="143">
        <v>0</v>
      </c>
      <c r="AA39" s="143">
        <v>0</v>
      </c>
      <c r="AB39" s="143">
        <v>0</v>
      </c>
      <c r="AC39" s="143">
        <v>0</v>
      </c>
      <c r="AD39" s="143">
        <v>0</v>
      </c>
      <c r="AE39" s="143">
        <v>0</v>
      </c>
      <c r="AF39" s="74"/>
      <c r="AG39" s="235"/>
      <c r="AH39" s="103"/>
      <c r="AI39" s="235"/>
    </row>
    <row r="40" spans="1:35" s="37" customFormat="1" ht="32.25" customHeight="1" x14ac:dyDescent="0.25">
      <c r="A40" s="133" t="s">
        <v>163</v>
      </c>
      <c r="B40" s="153">
        <f>B41+B42</f>
        <v>14955.698310000002</v>
      </c>
      <c r="C40" s="153">
        <f>C41+C42</f>
        <v>1777.4398100000001</v>
      </c>
      <c r="D40" s="153">
        <f>D41+D42</f>
        <v>1777.1844700000001</v>
      </c>
      <c r="E40" s="153">
        <f t="shared" ref="E40:AC40" si="16">E41+E42</f>
        <v>1499.10563</v>
      </c>
      <c r="F40" s="135">
        <f>E40/B40</f>
        <v>0.10023641818166629</v>
      </c>
      <c r="G40" s="135">
        <f>E40/C40</f>
        <v>0.84340725439248487</v>
      </c>
      <c r="H40" s="153">
        <f>H41+H42</f>
        <v>0</v>
      </c>
      <c r="I40" s="153">
        <f t="shared" si="16"/>
        <v>0</v>
      </c>
      <c r="J40" s="153">
        <f>J41+J42</f>
        <v>359.69162</v>
      </c>
      <c r="K40" s="153">
        <f t="shared" si="16"/>
        <v>358.92627999999996</v>
      </c>
      <c r="L40" s="153">
        <f>L41+L42</f>
        <v>895.05519000000004</v>
      </c>
      <c r="M40" s="153">
        <f t="shared" si="16"/>
        <v>294.90539000000001</v>
      </c>
      <c r="N40" s="153">
        <f>N41+N42</f>
        <v>260.97399999999999</v>
      </c>
      <c r="O40" s="153">
        <f t="shared" si="16"/>
        <v>582.44119999999998</v>
      </c>
      <c r="P40" s="153">
        <f>P41+P42</f>
        <v>261.71899999999999</v>
      </c>
      <c r="Q40" s="153">
        <f t="shared" si="16"/>
        <v>262.83276000000001</v>
      </c>
      <c r="R40" s="153">
        <f>R41+R42</f>
        <v>4290.7164999999995</v>
      </c>
      <c r="S40" s="153">
        <f t="shared" si="16"/>
        <v>0</v>
      </c>
      <c r="T40" s="153">
        <f>T41+T42</f>
        <v>4053.4330000000004</v>
      </c>
      <c r="U40" s="153">
        <f t="shared" si="16"/>
        <v>0</v>
      </c>
      <c r="V40" s="153">
        <f>V41+V42</f>
        <v>4053.4310000000005</v>
      </c>
      <c r="W40" s="153">
        <f t="shared" si="16"/>
        <v>0</v>
      </c>
      <c r="X40" s="153">
        <f>X41+X42</f>
        <v>261.71799999999996</v>
      </c>
      <c r="Y40" s="153">
        <f t="shared" si="16"/>
        <v>0</v>
      </c>
      <c r="Z40" s="153">
        <f>Z41+Z42</f>
        <v>257.28399999999999</v>
      </c>
      <c r="AA40" s="153">
        <f t="shared" si="16"/>
        <v>0</v>
      </c>
      <c r="AB40" s="153">
        <f>AB41+AB42</f>
        <v>261.67599999999999</v>
      </c>
      <c r="AC40" s="153">
        <f t="shared" si="16"/>
        <v>0</v>
      </c>
      <c r="AD40" s="153">
        <f>AD41+AD42</f>
        <v>0</v>
      </c>
      <c r="AE40" s="153">
        <f>AE41+AE42</f>
        <v>0</v>
      </c>
      <c r="AF40" s="134"/>
      <c r="AG40" s="235"/>
      <c r="AH40" s="103"/>
      <c r="AI40" s="235"/>
    </row>
    <row r="41" spans="1:35" s="37" customFormat="1" ht="24" customHeight="1" x14ac:dyDescent="0.25">
      <c r="A41" s="68" t="s">
        <v>103</v>
      </c>
      <c r="B41" s="140">
        <f>B15+B28</f>
        <v>1821.7</v>
      </c>
      <c r="C41" s="140">
        <f>C15+C28</f>
        <v>133.75</v>
      </c>
      <c r="D41" s="140">
        <f>D15+D28</f>
        <v>133.49466000000001</v>
      </c>
      <c r="E41" s="140">
        <f t="shared" ref="E41:AE41" si="17">E15+E28</f>
        <v>133.49466000000001</v>
      </c>
      <c r="F41" s="126">
        <f>E41/B41</f>
        <v>7.3280265685897794E-2</v>
      </c>
      <c r="G41" s="126">
        <f>E41/C41</f>
        <v>0.99809091588785059</v>
      </c>
      <c r="H41" s="140">
        <f t="shared" si="17"/>
        <v>0</v>
      </c>
      <c r="I41" s="140">
        <f t="shared" si="17"/>
        <v>0</v>
      </c>
      <c r="J41" s="140">
        <f t="shared" si="17"/>
        <v>0</v>
      </c>
      <c r="K41" s="140">
        <f t="shared" si="17"/>
        <v>0</v>
      </c>
      <c r="L41" s="140">
        <f t="shared" si="17"/>
        <v>45.475000000000001</v>
      </c>
      <c r="M41" s="140">
        <f t="shared" si="17"/>
        <v>0</v>
      </c>
      <c r="N41" s="140">
        <f t="shared" si="17"/>
        <v>48.15</v>
      </c>
      <c r="O41" s="140">
        <f t="shared" si="17"/>
        <v>93.491249999999994</v>
      </c>
      <c r="P41" s="140">
        <f t="shared" si="17"/>
        <v>40.125</v>
      </c>
      <c r="Q41" s="140">
        <f t="shared" si="17"/>
        <v>40.003410000000002</v>
      </c>
      <c r="R41" s="140">
        <f t="shared" si="17"/>
        <v>489.52499999999998</v>
      </c>
      <c r="S41" s="140">
        <f t="shared" si="17"/>
        <v>0</v>
      </c>
      <c r="T41" s="140">
        <f t="shared" si="17"/>
        <v>72.275000000000006</v>
      </c>
      <c r="U41" s="140">
        <f t="shared" si="17"/>
        <v>0</v>
      </c>
      <c r="V41" s="140">
        <f t="shared" si="17"/>
        <v>1043.2</v>
      </c>
      <c r="W41" s="140">
        <f t="shared" si="17"/>
        <v>0</v>
      </c>
      <c r="X41" s="140">
        <f t="shared" si="17"/>
        <v>40.125</v>
      </c>
      <c r="Y41" s="140">
        <f t="shared" si="17"/>
        <v>0</v>
      </c>
      <c r="Z41" s="140">
        <f t="shared" si="17"/>
        <v>40.125</v>
      </c>
      <c r="AA41" s="140">
        <f t="shared" si="17"/>
        <v>0</v>
      </c>
      <c r="AB41" s="140">
        <f t="shared" si="17"/>
        <v>2.7</v>
      </c>
      <c r="AC41" s="140">
        <f t="shared" si="17"/>
        <v>0</v>
      </c>
      <c r="AD41" s="140">
        <f t="shared" si="17"/>
        <v>0</v>
      </c>
      <c r="AE41" s="140">
        <f t="shared" si="17"/>
        <v>0</v>
      </c>
      <c r="AF41" s="69"/>
      <c r="AG41" s="235"/>
      <c r="AH41" s="103"/>
      <c r="AI41" s="235"/>
    </row>
    <row r="42" spans="1:35" s="37" customFormat="1" ht="24" customHeight="1" x14ac:dyDescent="0.25">
      <c r="A42" s="72" t="s">
        <v>104</v>
      </c>
      <c r="B42" s="142">
        <f>B16+B29+B32+B39</f>
        <v>13133.998310000001</v>
      </c>
      <c r="C42" s="142">
        <f>C16+C29+C32+C39</f>
        <v>1643.6898100000001</v>
      </c>
      <c r="D42" s="142">
        <f t="shared" ref="D42:AE42" si="18">D16+D29+D32+D39</f>
        <v>1643.6898100000001</v>
      </c>
      <c r="E42" s="142">
        <f t="shared" si="18"/>
        <v>1365.61097</v>
      </c>
      <c r="F42" s="127">
        <f>E42/B42</f>
        <v>0.10397526615792597</v>
      </c>
      <c r="G42" s="127">
        <f>E42/C42</f>
        <v>0.83082036628310052</v>
      </c>
      <c r="H42" s="142">
        <f t="shared" si="18"/>
        <v>0</v>
      </c>
      <c r="I42" s="142">
        <f t="shared" si="18"/>
        <v>0</v>
      </c>
      <c r="J42" s="142">
        <f t="shared" si="18"/>
        <v>359.69162</v>
      </c>
      <c r="K42" s="142">
        <f t="shared" si="18"/>
        <v>358.92627999999996</v>
      </c>
      <c r="L42" s="142">
        <f t="shared" si="18"/>
        <v>849.58019000000002</v>
      </c>
      <c r="M42" s="142">
        <f t="shared" si="18"/>
        <v>294.90539000000001</v>
      </c>
      <c r="N42" s="142">
        <f t="shared" si="18"/>
        <v>212.82400000000001</v>
      </c>
      <c r="O42" s="142">
        <f t="shared" si="18"/>
        <v>488.94995</v>
      </c>
      <c r="P42" s="142">
        <f t="shared" si="18"/>
        <v>221.59399999999999</v>
      </c>
      <c r="Q42" s="142">
        <f t="shared" si="18"/>
        <v>222.82935000000001</v>
      </c>
      <c r="R42" s="142">
        <f t="shared" si="18"/>
        <v>3801.1914999999999</v>
      </c>
      <c r="S42" s="142">
        <f t="shared" si="18"/>
        <v>0</v>
      </c>
      <c r="T42" s="142">
        <f t="shared" si="18"/>
        <v>3981.1580000000004</v>
      </c>
      <c r="U42" s="142">
        <f t="shared" si="18"/>
        <v>0</v>
      </c>
      <c r="V42" s="142">
        <f t="shared" si="18"/>
        <v>3010.2310000000002</v>
      </c>
      <c r="W42" s="142">
        <f t="shared" si="18"/>
        <v>0</v>
      </c>
      <c r="X42" s="142">
        <f t="shared" si="18"/>
        <v>221.59299999999999</v>
      </c>
      <c r="Y42" s="142">
        <f t="shared" si="18"/>
        <v>0</v>
      </c>
      <c r="Z42" s="142">
        <f t="shared" si="18"/>
        <v>217.15899999999999</v>
      </c>
      <c r="AA42" s="142">
        <f t="shared" si="18"/>
        <v>0</v>
      </c>
      <c r="AB42" s="142">
        <f t="shared" si="18"/>
        <v>258.976</v>
      </c>
      <c r="AC42" s="142">
        <f t="shared" si="18"/>
        <v>0</v>
      </c>
      <c r="AD42" s="142">
        <f t="shared" si="18"/>
        <v>0</v>
      </c>
      <c r="AE42" s="142">
        <f t="shared" si="18"/>
        <v>0</v>
      </c>
      <c r="AF42" s="73"/>
      <c r="AG42" s="235"/>
      <c r="AH42" s="103"/>
      <c r="AI42" s="235"/>
    </row>
    <row r="43" spans="1:35" s="37" customFormat="1" ht="90.75" customHeight="1" x14ac:dyDescent="0.25">
      <c r="A43" s="115" t="s">
        <v>161</v>
      </c>
      <c r="B43" s="144"/>
      <c r="C43" s="145"/>
      <c r="D43" s="145"/>
      <c r="E43" s="146"/>
      <c r="F43" s="116"/>
      <c r="G43" s="11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66"/>
      <c r="AE43" s="167"/>
      <c r="AF43" s="117"/>
      <c r="AG43" s="235"/>
      <c r="AH43" s="103"/>
      <c r="AI43" s="235"/>
    </row>
    <row r="44" spans="1:35" s="37" customFormat="1" ht="26.25" customHeight="1" x14ac:dyDescent="0.25">
      <c r="A44" s="96" t="s">
        <v>162</v>
      </c>
      <c r="B44" s="154"/>
      <c r="C44" s="155"/>
      <c r="D44" s="155"/>
      <c r="E44" s="155"/>
      <c r="F44" s="97"/>
      <c r="G44" s="97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81"/>
      <c r="AF44" s="264" t="s">
        <v>243</v>
      </c>
      <c r="AG44" s="235"/>
      <c r="AH44" s="103"/>
      <c r="AI44" s="235"/>
    </row>
    <row r="45" spans="1:35" s="37" customFormat="1" ht="39" customHeight="1" x14ac:dyDescent="0.25">
      <c r="A45" s="98" t="s">
        <v>154</v>
      </c>
      <c r="B45" s="148"/>
      <c r="C45" s="148"/>
      <c r="D45" s="148"/>
      <c r="E45" s="148"/>
      <c r="F45" s="93"/>
      <c r="G45" s="93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265"/>
      <c r="AG45" s="235"/>
      <c r="AH45" s="103"/>
      <c r="AI45" s="235"/>
    </row>
    <row r="46" spans="1:35" s="37" customFormat="1" ht="15.75" customHeight="1" x14ac:dyDescent="0.25">
      <c r="A46" s="99" t="s">
        <v>155</v>
      </c>
      <c r="B46" s="156">
        <f>B48+B47</f>
        <v>3550.5580000000004</v>
      </c>
      <c r="C46" s="156">
        <f>C48+C47</f>
        <v>425.78599999999994</v>
      </c>
      <c r="D46" s="156">
        <f>D48+D47</f>
        <v>425.78599999999994</v>
      </c>
      <c r="E46" s="156">
        <f>E48+E47</f>
        <v>132.45156</v>
      </c>
      <c r="F46" s="100">
        <f>E46/B46</f>
        <v>3.7304434964870306E-2</v>
      </c>
      <c r="G46" s="100">
        <f>E46/C46</f>
        <v>0.31107542286500733</v>
      </c>
      <c r="H46" s="163">
        <f>H48+H47</f>
        <v>0</v>
      </c>
      <c r="I46" s="163">
        <f>I48+I47</f>
        <v>0</v>
      </c>
      <c r="J46" s="163">
        <f t="shared" ref="J46:AD46" si="19">J48+J47</f>
        <v>0</v>
      </c>
      <c r="K46" s="163">
        <f t="shared" si="19"/>
        <v>0</v>
      </c>
      <c r="L46" s="163">
        <f t="shared" si="19"/>
        <v>0</v>
      </c>
      <c r="M46" s="163">
        <f t="shared" si="19"/>
        <v>0</v>
      </c>
      <c r="N46" s="163">
        <f t="shared" si="19"/>
        <v>77.293999999999997</v>
      </c>
      <c r="O46" s="163">
        <f t="shared" si="19"/>
        <v>8.5229999999999997</v>
      </c>
      <c r="P46" s="163">
        <f>P48+P47</f>
        <v>348.49199999999996</v>
      </c>
      <c r="Q46" s="163">
        <f t="shared" si="19"/>
        <v>123.92856</v>
      </c>
      <c r="R46" s="163">
        <f>R48+R47</f>
        <v>442.19200000000001</v>
      </c>
      <c r="S46" s="163">
        <f>S48+S47</f>
        <v>0</v>
      </c>
      <c r="T46" s="163">
        <f t="shared" si="19"/>
        <v>751.14400000000001</v>
      </c>
      <c r="U46" s="163">
        <f t="shared" si="19"/>
        <v>0</v>
      </c>
      <c r="V46" s="163">
        <f t="shared" si="19"/>
        <v>694.08800000000008</v>
      </c>
      <c r="W46" s="163">
        <f t="shared" si="19"/>
        <v>0</v>
      </c>
      <c r="X46" s="163">
        <f t="shared" si="19"/>
        <v>665.02800000000002</v>
      </c>
      <c r="Y46" s="163">
        <f t="shared" si="19"/>
        <v>0</v>
      </c>
      <c r="Z46" s="163">
        <f t="shared" si="19"/>
        <v>464.03699999999998</v>
      </c>
      <c r="AA46" s="163">
        <f t="shared" si="19"/>
        <v>0</v>
      </c>
      <c r="AB46" s="163">
        <f t="shared" si="19"/>
        <v>108.283</v>
      </c>
      <c r="AC46" s="163">
        <f t="shared" si="19"/>
        <v>0</v>
      </c>
      <c r="AD46" s="163">
        <f t="shared" si="19"/>
        <v>0</v>
      </c>
      <c r="AE46" s="163">
        <f>AE48+AE47</f>
        <v>0</v>
      </c>
      <c r="AF46" s="265"/>
      <c r="AG46" s="235"/>
      <c r="AH46" s="103"/>
      <c r="AI46" s="235"/>
    </row>
    <row r="47" spans="1:35" s="37" customFormat="1" ht="21.75" customHeight="1" x14ac:dyDescent="0.25">
      <c r="A47" s="101" t="s">
        <v>103</v>
      </c>
      <c r="B47" s="157">
        <f>H47+J47+L47+N47+P47+R47+T47+V47+X47+Z47+AB47+AD47</f>
        <v>859.90000000000009</v>
      </c>
      <c r="C47" s="158">
        <f>H47+J47+L47+N47+P47</f>
        <v>84.34</v>
      </c>
      <c r="D47" s="158">
        <f>84340/1000</f>
        <v>84.34</v>
      </c>
      <c r="E47" s="158">
        <f>I47+K47+M47+O47+Q47+S47+U47+W47+Y47+AA47+AC47+AE47</f>
        <v>21.841360000000002</v>
      </c>
      <c r="F47" s="77">
        <f>E47/B47</f>
        <v>2.5399883707407839E-2</v>
      </c>
      <c r="G47" s="77">
        <f>E47/C47</f>
        <v>0.25896798672041738</v>
      </c>
      <c r="H47" s="114"/>
      <c r="I47" s="114"/>
      <c r="J47" s="114"/>
      <c r="K47" s="114"/>
      <c r="L47" s="114"/>
      <c r="M47" s="114"/>
      <c r="N47" s="114"/>
      <c r="O47" s="114"/>
      <c r="P47" s="114">
        <f>84340/1000</f>
        <v>84.34</v>
      </c>
      <c r="Q47" s="114">
        <f>21841.36/1000</f>
        <v>21.841360000000002</v>
      </c>
      <c r="R47" s="114">
        <f>84300/1000</f>
        <v>84.3</v>
      </c>
      <c r="S47" s="114"/>
      <c r="T47" s="114">
        <f>185460/1000</f>
        <v>185.46</v>
      </c>
      <c r="U47" s="114"/>
      <c r="V47" s="114">
        <f>168600/1000</f>
        <v>168.6</v>
      </c>
      <c r="W47" s="114"/>
      <c r="X47" s="114">
        <f>168600/1000</f>
        <v>168.6</v>
      </c>
      <c r="Y47" s="114"/>
      <c r="Z47" s="114">
        <f>134880/1000</f>
        <v>134.88</v>
      </c>
      <c r="AA47" s="114"/>
      <c r="AB47" s="114">
        <f>33720/1000</f>
        <v>33.72</v>
      </c>
      <c r="AC47" s="114"/>
      <c r="AD47" s="114"/>
      <c r="AE47" s="114"/>
      <c r="AF47" s="265"/>
      <c r="AG47" s="235"/>
      <c r="AH47" s="103"/>
      <c r="AI47" s="235"/>
    </row>
    <row r="48" spans="1:35" s="37" customFormat="1" ht="22.5" customHeight="1" x14ac:dyDescent="0.25">
      <c r="A48" s="101" t="s">
        <v>104</v>
      </c>
      <c r="B48" s="157">
        <f>H48+J48+L48+N48+P48+R48+T48+V48+X48+Z48+AB48+AD48</f>
        <v>2690.6580000000004</v>
      </c>
      <c r="C48" s="158">
        <f>H48+J48+L48+N48+P48</f>
        <v>341.44599999999997</v>
      </c>
      <c r="D48" s="158">
        <f>C48</f>
        <v>341.44599999999997</v>
      </c>
      <c r="E48" s="158">
        <f>I48+K48+M48+O48+Q48+S48+U48+W48+Y48+AA48+AC48+AE48</f>
        <v>110.61019999999999</v>
      </c>
      <c r="F48" s="77">
        <f>E48/B48</f>
        <v>4.1108977803942376E-2</v>
      </c>
      <c r="G48" s="77">
        <f>E48/C48</f>
        <v>0.32394639269459885</v>
      </c>
      <c r="H48" s="114"/>
      <c r="I48" s="114"/>
      <c r="J48" s="114"/>
      <c r="K48" s="114"/>
      <c r="L48" s="114"/>
      <c r="M48" s="114"/>
      <c r="N48" s="114">
        <f>77294/1000</f>
        <v>77.293999999999997</v>
      </c>
      <c r="O48" s="114">
        <f>8523/1000</f>
        <v>8.5229999999999997</v>
      </c>
      <c r="P48" s="114">
        <f>264152/1000</f>
        <v>264.15199999999999</v>
      </c>
      <c r="Q48" s="114">
        <f>102087.2/1000</f>
        <v>102.0872</v>
      </c>
      <c r="R48" s="114">
        <f>357892/1000</f>
        <v>357.892</v>
      </c>
      <c r="S48" s="114"/>
      <c r="T48" s="114">
        <f>565684/1000</f>
        <v>565.68399999999997</v>
      </c>
      <c r="U48" s="114"/>
      <c r="V48" s="114">
        <f>525488/1000</f>
        <v>525.48800000000006</v>
      </c>
      <c r="W48" s="114"/>
      <c r="X48" s="114">
        <f>496428/1000</f>
        <v>496.428</v>
      </c>
      <c r="Y48" s="114"/>
      <c r="Z48" s="114">
        <f>329157/1000</f>
        <v>329.15699999999998</v>
      </c>
      <c r="AA48" s="114"/>
      <c r="AB48" s="114">
        <f>74563/1000</f>
        <v>74.563000000000002</v>
      </c>
      <c r="AC48" s="114"/>
      <c r="AD48" s="114"/>
      <c r="AE48" s="114"/>
      <c r="AF48" s="265"/>
      <c r="AG48" s="235"/>
      <c r="AH48" s="103"/>
      <c r="AI48" s="235"/>
    </row>
    <row r="49" spans="1:35" s="37" customFormat="1" ht="102.75" customHeight="1" x14ac:dyDescent="0.25">
      <c r="A49" s="98" t="s">
        <v>156</v>
      </c>
      <c r="B49" s="148"/>
      <c r="C49" s="148"/>
      <c r="D49" s="148"/>
      <c r="E49" s="148"/>
      <c r="F49" s="93"/>
      <c r="G49" s="93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265"/>
      <c r="AG49" s="235"/>
      <c r="AH49" s="103"/>
      <c r="AI49" s="235"/>
    </row>
    <row r="50" spans="1:35" s="37" customFormat="1" ht="22.5" customHeight="1" x14ac:dyDescent="0.25">
      <c r="A50" s="101" t="s">
        <v>104</v>
      </c>
      <c r="B50" s="157">
        <f>H50+J50+L50+N50+P50+R50+T50+V50+X50+Z50+AB50+AD50</f>
        <v>236.642</v>
      </c>
      <c r="C50" s="158">
        <f>H50+J50+L50+N50+P50</f>
        <v>93.141999999999996</v>
      </c>
      <c r="D50" s="159">
        <f>C50</f>
        <v>93.141999999999996</v>
      </c>
      <c r="E50" s="158">
        <f>I50+K50+M50+O50+Q50+S50+U50+W50+Y50+AA50+AC50+AE50</f>
        <v>9.7889999999999997</v>
      </c>
      <c r="F50" s="77">
        <f>E50/B50</f>
        <v>4.1366283246422865E-2</v>
      </c>
      <c r="G50" s="77">
        <f>E50/C50</f>
        <v>0.10509759292263426</v>
      </c>
      <c r="H50" s="114"/>
      <c r="I50" s="114"/>
      <c r="J50" s="114"/>
      <c r="K50" s="114"/>
      <c r="L50" s="114">
        <f>58142/1000</f>
        <v>58.142000000000003</v>
      </c>
      <c r="M50" s="114"/>
      <c r="N50" s="114">
        <f>17500/1000</f>
        <v>17.5</v>
      </c>
      <c r="O50" s="114">
        <f>9789/1000</f>
        <v>9.7889999999999997</v>
      </c>
      <c r="P50" s="114">
        <f>17500/1000</f>
        <v>17.5</v>
      </c>
      <c r="Q50" s="114"/>
      <c r="R50" s="114">
        <f>38500/1000</f>
        <v>38.5</v>
      </c>
      <c r="S50" s="114"/>
      <c r="T50" s="114">
        <f>35000/1000</f>
        <v>35</v>
      </c>
      <c r="U50" s="114"/>
      <c r="V50" s="114">
        <f>35000/1000</f>
        <v>35</v>
      </c>
      <c r="W50" s="114"/>
      <c r="X50" s="114">
        <f>28000/1000</f>
        <v>28</v>
      </c>
      <c r="Y50" s="114"/>
      <c r="Z50" s="114">
        <f>7000/1000</f>
        <v>7</v>
      </c>
      <c r="AA50" s="114"/>
      <c r="AB50" s="114"/>
      <c r="AC50" s="114"/>
      <c r="AD50" s="114"/>
      <c r="AE50" s="114"/>
      <c r="AF50" s="265"/>
      <c r="AG50" s="235"/>
      <c r="AH50" s="103"/>
      <c r="AI50" s="235"/>
    </row>
    <row r="51" spans="1:35" s="37" customFormat="1" ht="22.5" customHeight="1" x14ac:dyDescent="0.25">
      <c r="A51" s="122" t="s">
        <v>158</v>
      </c>
      <c r="B51" s="156">
        <f>B53+B52</f>
        <v>3787.2000000000003</v>
      </c>
      <c r="C51" s="156">
        <f>C53+C52</f>
        <v>518.928</v>
      </c>
      <c r="D51" s="156">
        <f>D53+D52</f>
        <v>518.928</v>
      </c>
      <c r="E51" s="156">
        <f>E53+E52</f>
        <v>142.24055999999999</v>
      </c>
      <c r="F51" s="100">
        <f>E51/B51</f>
        <v>3.7558238276299109E-2</v>
      </c>
      <c r="G51" s="100">
        <f>E51/C51</f>
        <v>0.27410461566922578</v>
      </c>
      <c r="H51" s="163">
        <f>H53+H52</f>
        <v>0</v>
      </c>
      <c r="I51" s="163">
        <f>I53+I52</f>
        <v>0</v>
      </c>
      <c r="J51" s="163">
        <f t="shared" ref="J51:AB51" si="20">J53+J52</f>
        <v>0</v>
      </c>
      <c r="K51" s="163">
        <f t="shared" si="20"/>
        <v>0</v>
      </c>
      <c r="L51" s="163">
        <f>L53+L52</f>
        <v>58.142000000000003</v>
      </c>
      <c r="M51" s="163">
        <f>M53+M52</f>
        <v>0</v>
      </c>
      <c r="N51" s="163">
        <f>N53+N52</f>
        <v>94.793999999999997</v>
      </c>
      <c r="O51" s="163">
        <f>O53+O52</f>
        <v>18.311999999999998</v>
      </c>
      <c r="P51" s="163">
        <f>P53+P52</f>
        <v>365.99199999999996</v>
      </c>
      <c r="Q51" s="163">
        <f t="shared" si="20"/>
        <v>123.92856</v>
      </c>
      <c r="R51" s="163">
        <f t="shared" si="20"/>
        <v>480.69200000000001</v>
      </c>
      <c r="S51" s="163">
        <f t="shared" si="20"/>
        <v>0</v>
      </c>
      <c r="T51" s="163">
        <f t="shared" si="20"/>
        <v>786.14400000000001</v>
      </c>
      <c r="U51" s="163">
        <f t="shared" si="20"/>
        <v>0</v>
      </c>
      <c r="V51" s="163">
        <f t="shared" si="20"/>
        <v>729.08800000000008</v>
      </c>
      <c r="W51" s="163">
        <f t="shared" si="20"/>
        <v>0</v>
      </c>
      <c r="X51" s="163">
        <f t="shared" si="20"/>
        <v>693.02800000000002</v>
      </c>
      <c r="Y51" s="163">
        <f t="shared" si="20"/>
        <v>0</v>
      </c>
      <c r="Z51" s="163">
        <f t="shared" si="20"/>
        <v>471.03699999999998</v>
      </c>
      <c r="AA51" s="163">
        <f>AA53+AA52</f>
        <v>0</v>
      </c>
      <c r="AB51" s="163">
        <f t="shared" si="20"/>
        <v>108.283</v>
      </c>
      <c r="AC51" s="163">
        <f>AC53+AC52</f>
        <v>0</v>
      </c>
      <c r="AD51" s="163">
        <f>AD53+AD52</f>
        <v>0</v>
      </c>
      <c r="AE51" s="163">
        <f>AE53+AE52</f>
        <v>0</v>
      </c>
      <c r="AF51" s="265"/>
      <c r="AG51" s="235"/>
      <c r="AH51" s="103"/>
      <c r="AI51" s="235"/>
    </row>
    <row r="52" spans="1:35" s="37" customFormat="1" ht="22.5" customHeight="1" x14ac:dyDescent="0.25">
      <c r="A52" s="101" t="s">
        <v>103</v>
      </c>
      <c r="B52" s="157">
        <f>H52+J52+L52+N52+P52+R52+T52+V52+X52+Z52+AB52+AD52</f>
        <v>859.90000000000009</v>
      </c>
      <c r="C52" s="158">
        <f>C47</f>
        <v>84.34</v>
      </c>
      <c r="D52" s="158">
        <f>D47</f>
        <v>84.34</v>
      </c>
      <c r="E52" s="158">
        <f>E47</f>
        <v>21.841360000000002</v>
      </c>
      <c r="F52" s="77">
        <f>E52/B52</f>
        <v>2.5399883707407839E-2</v>
      </c>
      <c r="G52" s="77">
        <f>E52/C52</f>
        <v>0.25896798672041738</v>
      </c>
      <c r="H52" s="112">
        <f>H47</f>
        <v>0</v>
      </c>
      <c r="I52" s="112">
        <f t="shared" ref="I52:AE52" si="21">I47</f>
        <v>0</v>
      </c>
      <c r="J52" s="112">
        <f t="shared" si="21"/>
        <v>0</v>
      </c>
      <c r="K52" s="112">
        <f t="shared" si="21"/>
        <v>0</v>
      </c>
      <c r="L52" s="112">
        <f t="shared" si="21"/>
        <v>0</v>
      </c>
      <c r="M52" s="112">
        <f t="shared" si="21"/>
        <v>0</v>
      </c>
      <c r="N52" s="112">
        <f t="shared" si="21"/>
        <v>0</v>
      </c>
      <c r="O52" s="112">
        <f t="shared" si="21"/>
        <v>0</v>
      </c>
      <c r="P52" s="112">
        <f t="shared" si="21"/>
        <v>84.34</v>
      </c>
      <c r="Q52" s="112">
        <f t="shared" si="21"/>
        <v>21.841360000000002</v>
      </c>
      <c r="R52" s="112">
        <f t="shared" si="21"/>
        <v>84.3</v>
      </c>
      <c r="S52" s="112">
        <f t="shared" si="21"/>
        <v>0</v>
      </c>
      <c r="T52" s="112">
        <f t="shared" si="21"/>
        <v>185.46</v>
      </c>
      <c r="U52" s="112">
        <f t="shared" si="21"/>
        <v>0</v>
      </c>
      <c r="V52" s="112">
        <f t="shared" si="21"/>
        <v>168.6</v>
      </c>
      <c r="W52" s="112">
        <f t="shared" si="21"/>
        <v>0</v>
      </c>
      <c r="X52" s="112">
        <f t="shared" si="21"/>
        <v>168.6</v>
      </c>
      <c r="Y52" s="112">
        <f t="shared" si="21"/>
        <v>0</v>
      </c>
      <c r="Z52" s="112">
        <f t="shared" si="21"/>
        <v>134.88</v>
      </c>
      <c r="AA52" s="112">
        <f t="shared" si="21"/>
        <v>0</v>
      </c>
      <c r="AB52" s="112">
        <f t="shared" si="21"/>
        <v>33.72</v>
      </c>
      <c r="AC52" s="112">
        <f t="shared" si="21"/>
        <v>0</v>
      </c>
      <c r="AD52" s="112">
        <f t="shared" si="21"/>
        <v>0</v>
      </c>
      <c r="AE52" s="112">
        <f t="shared" si="21"/>
        <v>0</v>
      </c>
      <c r="AF52" s="265"/>
      <c r="AG52" s="235"/>
      <c r="AH52" s="103"/>
      <c r="AI52" s="235"/>
    </row>
    <row r="53" spans="1:35" s="37" customFormat="1" ht="22.5" customHeight="1" x14ac:dyDescent="0.25">
      <c r="A53" s="101" t="s">
        <v>104</v>
      </c>
      <c r="B53" s="157">
        <f>B48+B50</f>
        <v>2927.3</v>
      </c>
      <c r="C53" s="158">
        <f>C48+C50</f>
        <v>434.58799999999997</v>
      </c>
      <c r="D53" s="158">
        <f>C53</f>
        <v>434.58799999999997</v>
      </c>
      <c r="E53" s="158">
        <f>E48+E50</f>
        <v>120.39919999999999</v>
      </c>
      <c r="F53" s="77">
        <f>E53/B53</f>
        <v>4.1129778293991046E-2</v>
      </c>
      <c r="G53" s="77">
        <f>E53/C53</f>
        <v>0.27704216407263893</v>
      </c>
      <c r="H53" s="112">
        <f>H48+H50</f>
        <v>0</v>
      </c>
      <c r="I53" s="112">
        <f t="shared" ref="I53:AE53" si="22">I48+I50</f>
        <v>0</v>
      </c>
      <c r="J53" s="112">
        <f t="shared" si="22"/>
        <v>0</v>
      </c>
      <c r="K53" s="112">
        <f t="shared" si="22"/>
        <v>0</v>
      </c>
      <c r="L53" s="112">
        <f t="shared" si="22"/>
        <v>58.142000000000003</v>
      </c>
      <c r="M53" s="112">
        <f t="shared" si="22"/>
        <v>0</v>
      </c>
      <c r="N53" s="112">
        <f t="shared" si="22"/>
        <v>94.793999999999997</v>
      </c>
      <c r="O53" s="112">
        <f t="shared" si="22"/>
        <v>18.311999999999998</v>
      </c>
      <c r="P53" s="112">
        <f t="shared" si="22"/>
        <v>281.65199999999999</v>
      </c>
      <c r="Q53" s="112">
        <f t="shared" si="22"/>
        <v>102.0872</v>
      </c>
      <c r="R53" s="112">
        <f t="shared" si="22"/>
        <v>396.392</v>
      </c>
      <c r="S53" s="112">
        <f t="shared" si="22"/>
        <v>0</v>
      </c>
      <c r="T53" s="112">
        <f t="shared" si="22"/>
        <v>600.68399999999997</v>
      </c>
      <c r="U53" s="112">
        <f t="shared" si="22"/>
        <v>0</v>
      </c>
      <c r="V53" s="112">
        <f t="shared" si="22"/>
        <v>560.48800000000006</v>
      </c>
      <c r="W53" s="112">
        <f t="shared" si="22"/>
        <v>0</v>
      </c>
      <c r="X53" s="112">
        <f t="shared" si="22"/>
        <v>524.428</v>
      </c>
      <c r="Y53" s="112">
        <f t="shared" si="22"/>
        <v>0</v>
      </c>
      <c r="Z53" s="112">
        <f t="shared" si="22"/>
        <v>336.15699999999998</v>
      </c>
      <c r="AA53" s="112">
        <f t="shared" si="22"/>
        <v>0</v>
      </c>
      <c r="AB53" s="112">
        <f t="shared" si="22"/>
        <v>74.563000000000002</v>
      </c>
      <c r="AC53" s="112">
        <f t="shared" si="22"/>
        <v>0</v>
      </c>
      <c r="AD53" s="112">
        <f t="shared" si="22"/>
        <v>0</v>
      </c>
      <c r="AE53" s="112">
        <f t="shared" si="22"/>
        <v>0</v>
      </c>
      <c r="AF53" s="266"/>
      <c r="AG53" s="235"/>
      <c r="AH53" s="103"/>
      <c r="AI53" s="235"/>
    </row>
    <row r="54" spans="1:35" s="37" customFormat="1" ht="22.5" customHeight="1" x14ac:dyDescent="0.25">
      <c r="A54" s="104" t="s">
        <v>160</v>
      </c>
      <c r="B54" s="160"/>
      <c r="C54" s="160"/>
      <c r="D54" s="160"/>
      <c r="E54" s="160"/>
      <c r="F54" s="102"/>
      <c r="G54" s="102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264" t="s">
        <v>235</v>
      </c>
      <c r="AG54" s="235"/>
      <c r="AH54" s="103"/>
      <c r="AI54" s="235"/>
    </row>
    <row r="55" spans="1:35" s="37" customFormat="1" ht="39" customHeight="1" x14ac:dyDescent="0.25">
      <c r="A55" s="98" t="s">
        <v>154</v>
      </c>
      <c r="B55" s="148"/>
      <c r="C55" s="148"/>
      <c r="D55" s="148"/>
      <c r="E55" s="148"/>
      <c r="F55" s="93"/>
      <c r="G55" s="93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265"/>
      <c r="AG55" s="235"/>
      <c r="AH55" s="103"/>
      <c r="AI55" s="235"/>
    </row>
    <row r="56" spans="1:35" s="37" customFormat="1" ht="15.75" customHeight="1" x14ac:dyDescent="0.25">
      <c r="A56" s="99" t="s">
        <v>155</v>
      </c>
      <c r="B56" s="156">
        <f>B58+B57</f>
        <v>721.88</v>
      </c>
      <c r="C56" s="156">
        <f>C58+C57</f>
        <v>315.89</v>
      </c>
      <c r="D56" s="156">
        <f>D58+D57</f>
        <v>315.89</v>
      </c>
      <c r="E56" s="156">
        <f>E58+E57</f>
        <v>179.93826000000001</v>
      </c>
      <c r="F56" s="100">
        <f>E56/B56</f>
        <v>0.24926339557821248</v>
      </c>
      <c r="G56" s="100">
        <f>E56/C56</f>
        <v>0.56962315996074586</v>
      </c>
      <c r="H56" s="163">
        <f>H58+H57</f>
        <v>24.82</v>
      </c>
      <c r="I56" s="163">
        <f>I58+I57</f>
        <v>0</v>
      </c>
      <c r="J56" s="163">
        <f>J58+J57</f>
        <v>102.6</v>
      </c>
      <c r="K56" s="163">
        <f t="shared" ref="K56:M56" si="23">K58+K57</f>
        <v>0</v>
      </c>
      <c r="L56" s="163">
        <f t="shared" si="23"/>
        <v>49.07</v>
      </c>
      <c r="M56" s="163">
        <f t="shared" si="23"/>
        <v>42.598260000000003</v>
      </c>
      <c r="N56" s="163">
        <f>N58+N57</f>
        <v>90.76</v>
      </c>
      <c r="O56" s="163">
        <f>O58+O57</f>
        <v>108.85</v>
      </c>
      <c r="P56" s="163">
        <f>P58+P57</f>
        <v>48.64</v>
      </c>
      <c r="Q56" s="163">
        <f t="shared" ref="Q56:AB56" si="24">Q58+Q57</f>
        <v>28.490000000000002</v>
      </c>
      <c r="R56" s="163">
        <f t="shared" si="24"/>
        <v>91.26</v>
      </c>
      <c r="S56" s="163">
        <f t="shared" si="24"/>
        <v>0</v>
      </c>
      <c r="T56" s="163">
        <f t="shared" si="24"/>
        <v>25.83</v>
      </c>
      <c r="U56" s="163">
        <f t="shared" si="24"/>
        <v>0</v>
      </c>
      <c r="V56" s="163">
        <f t="shared" si="24"/>
        <v>10.23</v>
      </c>
      <c r="W56" s="163">
        <f t="shared" si="24"/>
        <v>0</v>
      </c>
      <c r="X56" s="163">
        <f t="shared" si="24"/>
        <v>35.200000000000003</v>
      </c>
      <c r="Y56" s="163">
        <f t="shared" si="24"/>
        <v>0</v>
      </c>
      <c r="Z56" s="163">
        <f t="shared" si="24"/>
        <v>90.61</v>
      </c>
      <c r="AA56" s="163">
        <f t="shared" si="24"/>
        <v>0</v>
      </c>
      <c r="AB56" s="163">
        <f t="shared" si="24"/>
        <v>48.59</v>
      </c>
      <c r="AC56" s="163">
        <f>AC58+AC57</f>
        <v>0</v>
      </c>
      <c r="AD56" s="163">
        <f>AD58+AD57</f>
        <v>104.27</v>
      </c>
      <c r="AE56" s="163">
        <f>AE58+AE57</f>
        <v>0</v>
      </c>
      <c r="AF56" s="265"/>
      <c r="AG56" s="235"/>
      <c r="AH56" s="103"/>
      <c r="AI56" s="235"/>
    </row>
    <row r="57" spans="1:35" s="37" customFormat="1" ht="21.75" customHeight="1" x14ac:dyDescent="0.25">
      <c r="A57" s="101" t="s">
        <v>103</v>
      </c>
      <c r="B57" s="157">
        <f>H57+J57+L57+N57+P57+R57+T57+V57+X57+Z57+AB57+AD57</f>
        <v>168.6</v>
      </c>
      <c r="C57" s="158">
        <f>H57+J57+L57+N57+P57</f>
        <v>67.44</v>
      </c>
      <c r="D57" s="158">
        <f>67.44</f>
        <v>67.44</v>
      </c>
      <c r="E57" s="158">
        <f>I57+K57+M57+O57+Q57+S57+U57+W57+Y57+AA57+AC57+AE57</f>
        <v>38.43</v>
      </c>
      <c r="F57" s="77">
        <f>E57/B57</f>
        <v>0.22793594306049822</v>
      </c>
      <c r="G57" s="77">
        <f>E57/C57</f>
        <v>0.56983985765124556</v>
      </c>
      <c r="H57" s="114"/>
      <c r="I57" s="114"/>
      <c r="J57" s="114">
        <f>16860/1000</f>
        <v>16.86</v>
      </c>
      <c r="K57" s="114"/>
      <c r="L57" s="114">
        <f>16860/1000</f>
        <v>16.86</v>
      </c>
      <c r="M57" s="114"/>
      <c r="N57" s="114">
        <f>16860/1000</f>
        <v>16.86</v>
      </c>
      <c r="O57" s="114">
        <v>35.86</v>
      </c>
      <c r="P57" s="114">
        <f>16860/1000</f>
        <v>16.86</v>
      </c>
      <c r="Q57" s="114">
        <v>2.57</v>
      </c>
      <c r="R57" s="114">
        <f>16860/1000</f>
        <v>16.86</v>
      </c>
      <c r="S57" s="114"/>
      <c r="T57" s="114">
        <v>0</v>
      </c>
      <c r="U57" s="114"/>
      <c r="V57" s="114">
        <v>0</v>
      </c>
      <c r="W57" s="114"/>
      <c r="X57" s="114">
        <f>16860/1000</f>
        <v>16.86</v>
      </c>
      <c r="Y57" s="114"/>
      <c r="Z57" s="114">
        <f>16860/1000</f>
        <v>16.86</v>
      </c>
      <c r="AA57" s="114"/>
      <c r="AB57" s="114">
        <f>16860/1000</f>
        <v>16.86</v>
      </c>
      <c r="AC57" s="114"/>
      <c r="AD57" s="114">
        <f>33720/1000</f>
        <v>33.72</v>
      </c>
      <c r="AE57" s="114"/>
      <c r="AF57" s="265"/>
      <c r="AG57" s="235"/>
      <c r="AH57" s="103"/>
      <c r="AI57" s="235"/>
    </row>
    <row r="58" spans="1:35" s="37" customFormat="1" ht="22.5" customHeight="1" x14ac:dyDescent="0.25">
      <c r="A58" s="101" t="s">
        <v>104</v>
      </c>
      <c r="B58" s="157">
        <f>H58+J58+L58+N58+P58+R58+T58+V58+X58+Z58+AB58+AD58</f>
        <v>553.28</v>
      </c>
      <c r="C58" s="158">
        <f>H58+J58+L58+N58+P58</f>
        <v>248.45000000000002</v>
      </c>
      <c r="D58" s="158">
        <f>C58</f>
        <v>248.45000000000002</v>
      </c>
      <c r="E58" s="158">
        <f>I58+K58+M58+O58+Q58+S58+U58+W58+Y58+AA58+AC58+AE58</f>
        <v>141.50826000000001</v>
      </c>
      <c r="F58" s="77">
        <f>E58/B58</f>
        <v>0.25576247108155004</v>
      </c>
      <c r="G58" s="77">
        <f>E58/C58</f>
        <v>0.56956433890118741</v>
      </c>
      <c r="H58" s="114">
        <v>24.82</v>
      </c>
      <c r="I58" s="114"/>
      <c r="J58" s="114">
        <v>85.74</v>
      </c>
      <c r="K58" s="114"/>
      <c r="L58" s="114">
        <v>32.21</v>
      </c>
      <c r="M58" s="114">
        <f>42598.26/1000</f>
        <v>42.598260000000003</v>
      </c>
      <c r="N58" s="114">
        <v>73.900000000000006</v>
      </c>
      <c r="O58" s="114">
        <v>72.989999999999995</v>
      </c>
      <c r="P58" s="114">
        <v>31.78</v>
      </c>
      <c r="Q58" s="114">
        <v>25.92</v>
      </c>
      <c r="R58" s="114">
        <v>74.400000000000006</v>
      </c>
      <c r="S58" s="114"/>
      <c r="T58" s="114">
        <v>25.83</v>
      </c>
      <c r="U58" s="114"/>
      <c r="V58" s="114">
        <v>10.23</v>
      </c>
      <c r="W58" s="114"/>
      <c r="X58" s="114">
        <v>18.34</v>
      </c>
      <c r="Y58" s="114"/>
      <c r="Z58" s="114">
        <v>73.75</v>
      </c>
      <c r="AA58" s="114"/>
      <c r="AB58" s="114">
        <v>31.73</v>
      </c>
      <c r="AC58" s="114"/>
      <c r="AD58" s="114">
        <v>70.55</v>
      </c>
      <c r="AE58" s="114"/>
      <c r="AF58" s="265"/>
      <c r="AG58" s="235"/>
      <c r="AH58" s="103"/>
      <c r="AI58" s="235"/>
    </row>
    <row r="59" spans="1:35" s="37" customFormat="1" ht="102.75" customHeight="1" x14ac:dyDescent="0.25">
      <c r="A59" s="98" t="s">
        <v>156</v>
      </c>
      <c r="B59" s="148"/>
      <c r="C59" s="148"/>
      <c r="D59" s="148"/>
      <c r="E59" s="148"/>
      <c r="F59" s="93"/>
      <c r="G59" s="93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265"/>
      <c r="AG59" s="235"/>
      <c r="AH59" s="103"/>
      <c r="AI59" s="235"/>
    </row>
    <row r="60" spans="1:35" s="37" customFormat="1" ht="22.5" customHeight="1" x14ac:dyDescent="0.25">
      <c r="A60" s="101" t="s">
        <v>104</v>
      </c>
      <c r="B60" s="157">
        <f>H60+J60+L60+N60+P60+R60+T60+V60+X60+Z60+AB60+AD60</f>
        <v>38.92</v>
      </c>
      <c r="C60" s="158">
        <f>H60+J60+L60+N60+P60</f>
        <v>27.759999999999998</v>
      </c>
      <c r="D60" s="159">
        <f>C60</f>
        <v>27.759999999999998</v>
      </c>
      <c r="E60" s="158">
        <f>I60+K60+M60+O60+Q60+S60+U60+W60+Y60+AA60+AC60+AE60</f>
        <v>13.891999999999999</v>
      </c>
      <c r="F60" s="77">
        <f>E60/B60</f>
        <v>0.3569373072970195</v>
      </c>
      <c r="G60" s="77">
        <f>E60/C60</f>
        <v>0.50043227665706058</v>
      </c>
      <c r="H60" s="114">
        <v>8.2799999999999994</v>
      </c>
      <c r="I60" s="114"/>
      <c r="J60" s="114">
        <v>2.92</v>
      </c>
      <c r="K60" s="114"/>
      <c r="L60" s="114">
        <v>8.2799999999999994</v>
      </c>
      <c r="M60" s="114">
        <f>8282/1000</f>
        <v>8.282</v>
      </c>
      <c r="N60" s="114"/>
      <c r="O60" s="114"/>
      <c r="P60" s="114">
        <v>8.2799999999999994</v>
      </c>
      <c r="Q60" s="114">
        <v>5.61</v>
      </c>
      <c r="R60" s="114"/>
      <c r="S60" s="114"/>
      <c r="T60" s="114">
        <v>8.2799999999999994</v>
      </c>
      <c r="U60" s="114"/>
      <c r="V60" s="114"/>
      <c r="W60" s="114"/>
      <c r="X60" s="114">
        <v>2.88</v>
      </c>
      <c r="Y60" s="114"/>
      <c r="Z60" s="114"/>
      <c r="AA60" s="114"/>
      <c r="AB60" s="114"/>
      <c r="AC60" s="114"/>
      <c r="AD60" s="114"/>
      <c r="AE60" s="114"/>
      <c r="AF60" s="265"/>
      <c r="AG60" s="235"/>
      <c r="AH60" s="103"/>
      <c r="AI60" s="235"/>
    </row>
    <row r="61" spans="1:35" s="37" customFormat="1" ht="22.5" customHeight="1" x14ac:dyDescent="0.25">
      <c r="A61" s="122" t="s">
        <v>164</v>
      </c>
      <c r="B61" s="156">
        <f>B62+B63</f>
        <v>760.8</v>
      </c>
      <c r="C61" s="156">
        <f t="shared" ref="C61:AE61" si="25">C62+C63</f>
        <v>343.65000000000003</v>
      </c>
      <c r="D61" s="156">
        <f t="shared" si="25"/>
        <v>343.65000000000003</v>
      </c>
      <c r="E61" s="156">
        <f t="shared" si="25"/>
        <v>193.83026000000001</v>
      </c>
      <c r="F61" s="76">
        <f t="shared" ref="F61:F62" si="26">E61/B61</f>
        <v>0.25477163512092538</v>
      </c>
      <c r="G61" s="76">
        <f>E61/C61</f>
        <v>0.56403392987050771</v>
      </c>
      <c r="H61" s="156">
        <f t="shared" si="25"/>
        <v>33.1</v>
      </c>
      <c r="I61" s="156">
        <f t="shared" si="25"/>
        <v>0</v>
      </c>
      <c r="J61" s="156">
        <f t="shared" si="25"/>
        <v>105.52</v>
      </c>
      <c r="K61" s="156">
        <f t="shared" si="25"/>
        <v>0</v>
      </c>
      <c r="L61" s="156">
        <f t="shared" si="25"/>
        <v>57.35</v>
      </c>
      <c r="M61" s="156">
        <f t="shared" si="25"/>
        <v>50.880260000000007</v>
      </c>
      <c r="N61" s="156">
        <f t="shared" si="25"/>
        <v>90.76</v>
      </c>
      <c r="O61" s="156">
        <f t="shared" si="25"/>
        <v>108.85</v>
      </c>
      <c r="P61" s="156">
        <f t="shared" si="25"/>
        <v>56.92</v>
      </c>
      <c r="Q61" s="156">
        <f t="shared" si="25"/>
        <v>34.1</v>
      </c>
      <c r="R61" s="156">
        <f t="shared" si="25"/>
        <v>91.26</v>
      </c>
      <c r="S61" s="156">
        <f t="shared" si="25"/>
        <v>0</v>
      </c>
      <c r="T61" s="156">
        <f t="shared" si="25"/>
        <v>34.11</v>
      </c>
      <c r="U61" s="156">
        <f t="shared" si="25"/>
        <v>0</v>
      </c>
      <c r="V61" s="156">
        <f t="shared" si="25"/>
        <v>10.23</v>
      </c>
      <c r="W61" s="156">
        <f t="shared" si="25"/>
        <v>0</v>
      </c>
      <c r="X61" s="156">
        <f t="shared" si="25"/>
        <v>38.08</v>
      </c>
      <c r="Y61" s="156">
        <f t="shared" si="25"/>
        <v>0</v>
      </c>
      <c r="Z61" s="156">
        <f t="shared" si="25"/>
        <v>90.61</v>
      </c>
      <c r="AA61" s="156">
        <f t="shared" si="25"/>
        <v>0</v>
      </c>
      <c r="AB61" s="156">
        <f t="shared" si="25"/>
        <v>48.59</v>
      </c>
      <c r="AC61" s="156">
        <f t="shared" si="25"/>
        <v>0</v>
      </c>
      <c r="AD61" s="156">
        <f t="shared" si="25"/>
        <v>104.27</v>
      </c>
      <c r="AE61" s="156">
        <f t="shared" si="25"/>
        <v>0</v>
      </c>
      <c r="AF61" s="265"/>
      <c r="AG61" s="235"/>
      <c r="AH61" s="103"/>
      <c r="AI61" s="235"/>
    </row>
    <row r="62" spans="1:35" s="37" customFormat="1" ht="22.5" customHeight="1" x14ac:dyDescent="0.25">
      <c r="A62" s="101" t="s">
        <v>103</v>
      </c>
      <c r="B62" s="157">
        <f>B57</f>
        <v>168.6</v>
      </c>
      <c r="C62" s="157">
        <f t="shared" ref="C62:AE62" si="27">C57</f>
        <v>67.44</v>
      </c>
      <c r="D62" s="157">
        <f t="shared" si="27"/>
        <v>67.44</v>
      </c>
      <c r="E62" s="157">
        <f t="shared" si="27"/>
        <v>38.43</v>
      </c>
      <c r="F62" s="77">
        <f t="shared" si="26"/>
        <v>0.22793594306049822</v>
      </c>
      <c r="G62" s="77">
        <f t="shared" ref="G62:G63" si="28">E62/C62</f>
        <v>0.56983985765124556</v>
      </c>
      <c r="H62" s="157">
        <f t="shared" si="27"/>
        <v>0</v>
      </c>
      <c r="I62" s="157">
        <f t="shared" si="27"/>
        <v>0</v>
      </c>
      <c r="J62" s="157">
        <f t="shared" si="27"/>
        <v>16.86</v>
      </c>
      <c r="K62" s="157">
        <f t="shared" si="27"/>
        <v>0</v>
      </c>
      <c r="L62" s="157">
        <f t="shared" si="27"/>
        <v>16.86</v>
      </c>
      <c r="M62" s="157">
        <f t="shared" si="27"/>
        <v>0</v>
      </c>
      <c r="N62" s="157">
        <f t="shared" si="27"/>
        <v>16.86</v>
      </c>
      <c r="O62" s="157">
        <f t="shared" si="27"/>
        <v>35.86</v>
      </c>
      <c r="P62" s="157">
        <f t="shared" si="27"/>
        <v>16.86</v>
      </c>
      <c r="Q62" s="157">
        <f t="shared" si="27"/>
        <v>2.57</v>
      </c>
      <c r="R62" s="157">
        <f t="shared" si="27"/>
        <v>16.86</v>
      </c>
      <c r="S62" s="157">
        <f t="shared" si="27"/>
        <v>0</v>
      </c>
      <c r="T62" s="157">
        <f t="shared" si="27"/>
        <v>0</v>
      </c>
      <c r="U62" s="157">
        <f t="shared" si="27"/>
        <v>0</v>
      </c>
      <c r="V62" s="157">
        <f t="shared" si="27"/>
        <v>0</v>
      </c>
      <c r="W62" s="157">
        <f t="shared" si="27"/>
        <v>0</v>
      </c>
      <c r="X62" s="157">
        <f t="shared" si="27"/>
        <v>16.86</v>
      </c>
      <c r="Y62" s="157">
        <f t="shared" si="27"/>
        <v>0</v>
      </c>
      <c r="Z62" s="157">
        <f t="shared" si="27"/>
        <v>16.86</v>
      </c>
      <c r="AA62" s="157">
        <f t="shared" si="27"/>
        <v>0</v>
      </c>
      <c r="AB62" s="157">
        <f t="shared" si="27"/>
        <v>16.86</v>
      </c>
      <c r="AC62" s="157">
        <f t="shared" si="27"/>
        <v>0</v>
      </c>
      <c r="AD62" s="157">
        <f t="shared" si="27"/>
        <v>33.72</v>
      </c>
      <c r="AE62" s="157">
        <f t="shared" si="27"/>
        <v>0</v>
      </c>
      <c r="AF62" s="265"/>
      <c r="AG62" s="235"/>
      <c r="AH62" s="103"/>
      <c r="AI62" s="235"/>
    </row>
    <row r="63" spans="1:35" s="37" customFormat="1" ht="22.5" customHeight="1" x14ac:dyDescent="0.25">
      <c r="A63" s="101" t="s">
        <v>104</v>
      </c>
      <c r="B63" s="157">
        <f>B58+B60</f>
        <v>592.19999999999993</v>
      </c>
      <c r="C63" s="157">
        <f>C58+C60</f>
        <v>276.21000000000004</v>
      </c>
      <c r="D63" s="157">
        <f t="shared" ref="D63:AE63" si="29">D58+D60</f>
        <v>276.21000000000004</v>
      </c>
      <c r="E63" s="157">
        <f t="shared" si="29"/>
        <v>155.40026</v>
      </c>
      <c r="F63" s="208">
        <f>E63/B63</f>
        <v>0.26241178655859509</v>
      </c>
      <c r="G63" s="208">
        <f t="shared" si="28"/>
        <v>0.56261634263784799</v>
      </c>
      <c r="H63" s="157">
        <f>H58+H60</f>
        <v>33.1</v>
      </c>
      <c r="I63" s="157">
        <f t="shared" si="29"/>
        <v>0</v>
      </c>
      <c r="J63" s="157">
        <f t="shared" si="29"/>
        <v>88.66</v>
      </c>
      <c r="K63" s="157">
        <f t="shared" si="29"/>
        <v>0</v>
      </c>
      <c r="L63" s="157">
        <f>L58+L60</f>
        <v>40.49</v>
      </c>
      <c r="M63" s="157">
        <f t="shared" si="29"/>
        <v>50.880260000000007</v>
      </c>
      <c r="N63" s="157">
        <f t="shared" si="29"/>
        <v>73.900000000000006</v>
      </c>
      <c r="O63" s="157">
        <f t="shared" si="29"/>
        <v>72.989999999999995</v>
      </c>
      <c r="P63" s="157">
        <f t="shared" si="29"/>
        <v>40.06</v>
      </c>
      <c r="Q63" s="157">
        <f t="shared" si="29"/>
        <v>31.53</v>
      </c>
      <c r="R63" s="157">
        <f t="shared" si="29"/>
        <v>74.400000000000006</v>
      </c>
      <c r="S63" s="157">
        <f t="shared" si="29"/>
        <v>0</v>
      </c>
      <c r="T63" s="157">
        <f t="shared" si="29"/>
        <v>34.11</v>
      </c>
      <c r="U63" s="157">
        <f t="shared" si="29"/>
        <v>0</v>
      </c>
      <c r="V63" s="157">
        <f t="shared" si="29"/>
        <v>10.23</v>
      </c>
      <c r="W63" s="157">
        <f t="shared" si="29"/>
        <v>0</v>
      </c>
      <c r="X63" s="157">
        <f t="shared" si="29"/>
        <v>21.22</v>
      </c>
      <c r="Y63" s="157">
        <f t="shared" si="29"/>
        <v>0</v>
      </c>
      <c r="Z63" s="157">
        <f t="shared" si="29"/>
        <v>73.75</v>
      </c>
      <c r="AA63" s="157">
        <f t="shared" si="29"/>
        <v>0</v>
      </c>
      <c r="AB63" s="157">
        <f t="shared" si="29"/>
        <v>31.73</v>
      </c>
      <c r="AC63" s="157">
        <f t="shared" si="29"/>
        <v>0</v>
      </c>
      <c r="AD63" s="157">
        <f t="shared" si="29"/>
        <v>70.55</v>
      </c>
      <c r="AE63" s="157">
        <f t="shared" si="29"/>
        <v>0</v>
      </c>
      <c r="AF63" s="266"/>
      <c r="AG63" s="235"/>
      <c r="AH63" s="103"/>
      <c r="AI63" s="235"/>
    </row>
    <row r="64" spans="1:35" s="37" customFormat="1" ht="22.5" customHeight="1" x14ac:dyDescent="0.25">
      <c r="A64" s="104" t="s">
        <v>175</v>
      </c>
      <c r="B64" s="160"/>
      <c r="C64" s="160"/>
      <c r="D64" s="160"/>
      <c r="E64" s="160"/>
      <c r="F64" s="102"/>
      <c r="G64" s="102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261" t="s">
        <v>237</v>
      </c>
      <c r="AG64" s="235"/>
      <c r="AH64" s="103"/>
      <c r="AI64" s="235"/>
    </row>
    <row r="65" spans="1:35" s="37" customFormat="1" ht="39" customHeight="1" x14ac:dyDescent="0.25">
      <c r="A65" s="98" t="s">
        <v>154</v>
      </c>
      <c r="B65" s="148"/>
      <c r="C65" s="148"/>
      <c r="D65" s="148"/>
      <c r="E65" s="148"/>
      <c r="F65" s="93"/>
      <c r="G65" s="93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262"/>
      <c r="AG65" s="235"/>
      <c r="AH65" s="103"/>
      <c r="AI65" s="235"/>
    </row>
    <row r="66" spans="1:35" s="37" customFormat="1" ht="15.75" customHeight="1" x14ac:dyDescent="0.25">
      <c r="A66" s="99" t="s">
        <v>155</v>
      </c>
      <c r="B66" s="156">
        <f>B68+B67</f>
        <v>627.30896000000007</v>
      </c>
      <c r="C66" s="156">
        <f>C68+C67</f>
        <v>139.66812999999999</v>
      </c>
      <c r="D66" s="156">
        <f>D68+D67</f>
        <v>139.66812999999999</v>
      </c>
      <c r="E66" s="156">
        <f>E68+E67</f>
        <v>3.0999999999999996</v>
      </c>
      <c r="F66" s="100">
        <f>E66/B66</f>
        <v>4.9417435389413206E-3</v>
      </c>
      <c r="G66" s="100">
        <f>E66/C66</f>
        <v>2.2195471508067013E-2</v>
      </c>
      <c r="H66" s="163">
        <f>H68+H67</f>
        <v>0</v>
      </c>
      <c r="I66" s="163">
        <f>I68+I67</f>
        <v>0</v>
      </c>
      <c r="J66" s="163">
        <f>J68+J67</f>
        <v>0</v>
      </c>
      <c r="K66" s="163">
        <f t="shared" ref="K66:M66" si="30">K68+K67</f>
        <v>0</v>
      </c>
      <c r="L66" s="163">
        <f t="shared" si="30"/>
        <v>0</v>
      </c>
      <c r="M66" s="163">
        <f t="shared" si="30"/>
        <v>0</v>
      </c>
      <c r="N66" s="163">
        <f>N68+N67</f>
        <v>64.661169999999998</v>
      </c>
      <c r="O66" s="163">
        <f>O68+O67</f>
        <v>0</v>
      </c>
      <c r="P66" s="163">
        <f>P68+P67</f>
        <v>75.006959999999992</v>
      </c>
      <c r="Q66" s="163">
        <f t="shared" ref="Q66:AB66" si="31">Q68+Q67</f>
        <v>3.0999999999999996</v>
      </c>
      <c r="R66" s="163">
        <f t="shared" si="31"/>
        <v>64.661169999999998</v>
      </c>
      <c r="S66" s="163">
        <f t="shared" si="31"/>
        <v>0</v>
      </c>
      <c r="T66" s="163">
        <f t="shared" si="31"/>
        <v>74.804110000000009</v>
      </c>
      <c r="U66" s="163">
        <f t="shared" si="31"/>
        <v>0</v>
      </c>
      <c r="V66" s="163">
        <f t="shared" si="31"/>
        <v>64.661169999999998</v>
      </c>
      <c r="W66" s="163">
        <f t="shared" si="31"/>
        <v>0</v>
      </c>
      <c r="X66" s="163">
        <f t="shared" si="31"/>
        <v>74.609049999999996</v>
      </c>
      <c r="Y66" s="163">
        <f t="shared" si="31"/>
        <v>0</v>
      </c>
      <c r="Z66" s="163">
        <f t="shared" si="31"/>
        <v>64.661169999999998</v>
      </c>
      <c r="AA66" s="163">
        <f t="shared" si="31"/>
        <v>0</v>
      </c>
      <c r="AB66" s="163">
        <f t="shared" si="31"/>
        <v>74.609049999999996</v>
      </c>
      <c r="AC66" s="163">
        <f>AC68+AC67</f>
        <v>0</v>
      </c>
      <c r="AD66" s="163">
        <f>AD68+AD67</f>
        <v>69.635109999999997</v>
      </c>
      <c r="AE66" s="163">
        <f>AE68+AE67</f>
        <v>0</v>
      </c>
      <c r="AF66" s="262"/>
      <c r="AG66" s="235"/>
      <c r="AH66" s="103"/>
      <c r="AI66" s="235"/>
    </row>
    <row r="67" spans="1:35" s="37" customFormat="1" ht="21.75" customHeight="1" x14ac:dyDescent="0.25">
      <c r="A67" s="101" t="s">
        <v>103</v>
      </c>
      <c r="B67" s="157">
        <f>H67+J67+L67+N67+P67+R67+T67+V67+X67+Z67+AB67+AD67</f>
        <v>151.74</v>
      </c>
      <c r="C67" s="158">
        <f>H67+J67+L67+N67+P67</f>
        <v>33.72</v>
      </c>
      <c r="D67" s="158">
        <f>C67</f>
        <v>33.72</v>
      </c>
      <c r="E67" s="158">
        <f>I67+K67+M67+O67+Q67+S67+U67+W67+Y67+AA67+AC67+AE67</f>
        <v>0.8</v>
      </c>
      <c r="F67" s="77">
        <f>E67/B67</f>
        <v>5.2721760906814285E-3</v>
      </c>
      <c r="G67" s="77">
        <f>E67/C67</f>
        <v>2.3724792408066433E-2</v>
      </c>
      <c r="H67" s="114"/>
      <c r="I67" s="114"/>
      <c r="J67" s="114"/>
      <c r="K67" s="114"/>
      <c r="L67" s="114"/>
      <c r="M67" s="114"/>
      <c r="N67" s="114">
        <v>16.86</v>
      </c>
      <c r="O67" s="114"/>
      <c r="P67" s="114">
        <v>16.86</v>
      </c>
      <c r="Q67" s="114">
        <v>0.8</v>
      </c>
      <c r="R67" s="114">
        <v>16.86</v>
      </c>
      <c r="S67" s="114"/>
      <c r="T67" s="114">
        <v>16.86</v>
      </c>
      <c r="U67" s="114"/>
      <c r="V67" s="114">
        <v>16.86</v>
      </c>
      <c r="W67" s="114"/>
      <c r="X67" s="114">
        <v>16.86</v>
      </c>
      <c r="Y67" s="114"/>
      <c r="Z67" s="114">
        <v>16.86</v>
      </c>
      <c r="AA67" s="114"/>
      <c r="AB67" s="114">
        <v>16.86</v>
      </c>
      <c r="AC67" s="114"/>
      <c r="AD67" s="114">
        <v>16.86</v>
      </c>
      <c r="AE67" s="114"/>
      <c r="AF67" s="262"/>
      <c r="AG67" s="235"/>
      <c r="AH67" s="103"/>
      <c r="AI67" s="235"/>
    </row>
    <row r="68" spans="1:35" s="37" customFormat="1" ht="22.5" customHeight="1" x14ac:dyDescent="0.25">
      <c r="A68" s="101" t="s">
        <v>104</v>
      </c>
      <c r="B68" s="157">
        <f>H68+J68+L68+N68+P68+R68+T68+V68+X68+Z68+AB68+AD68</f>
        <v>475.56896</v>
      </c>
      <c r="C68" s="158">
        <f>H68+J68+L68+N68+P68</f>
        <v>105.94812999999999</v>
      </c>
      <c r="D68" s="158">
        <f>C68</f>
        <v>105.94812999999999</v>
      </c>
      <c r="E68" s="158">
        <f>I68+K68+M68+O68+Q68+S68+U68+W68+Y68+AA68+AC68+AE68</f>
        <v>2.2999999999999998</v>
      </c>
      <c r="F68" s="77">
        <f>E68/B68</f>
        <v>4.8363122774034706E-3</v>
      </c>
      <c r="G68" s="77">
        <f>E68/C68</f>
        <v>2.1708736152303964E-2</v>
      </c>
      <c r="H68" s="114"/>
      <c r="I68" s="114"/>
      <c r="J68" s="114"/>
      <c r="K68" s="114"/>
      <c r="L68" s="114"/>
      <c r="M68" s="114"/>
      <c r="N68" s="114">
        <v>47.801169999999999</v>
      </c>
      <c r="O68" s="114"/>
      <c r="P68" s="114">
        <v>58.14696</v>
      </c>
      <c r="Q68" s="114">
        <v>2.2999999999999998</v>
      </c>
      <c r="R68" s="114">
        <v>47.801169999999999</v>
      </c>
      <c r="S68" s="114"/>
      <c r="T68" s="114">
        <v>57.944110000000002</v>
      </c>
      <c r="U68" s="114"/>
      <c r="V68" s="114">
        <v>47.801169999999999</v>
      </c>
      <c r="W68" s="114"/>
      <c r="X68" s="114">
        <v>57.749049999999997</v>
      </c>
      <c r="Y68" s="114"/>
      <c r="Z68" s="114">
        <v>47.801169999999999</v>
      </c>
      <c r="AA68" s="114"/>
      <c r="AB68" s="114">
        <v>57.749049999999997</v>
      </c>
      <c r="AC68" s="114"/>
      <c r="AD68" s="114">
        <v>52.775109999999998</v>
      </c>
      <c r="AE68" s="114"/>
      <c r="AF68" s="262"/>
      <c r="AG68" s="235"/>
      <c r="AH68" s="103"/>
      <c r="AI68" s="235"/>
    </row>
    <row r="69" spans="1:35" s="37" customFormat="1" ht="102.75" customHeight="1" x14ac:dyDescent="0.25">
      <c r="A69" s="98" t="s">
        <v>156</v>
      </c>
      <c r="B69" s="148"/>
      <c r="C69" s="148"/>
      <c r="D69" s="148"/>
      <c r="E69" s="148"/>
      <c r="F69" s="93"/>
      <c r="G69" s="93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262"/>
      <c r="AG69" s="235"/>
      <c r="AH69" s="103"/>
      <c r="AI69" s="235"/>
    </row>
    <row r="70" spans="1:35" s="37" customFormat="1" ht="22.5" customHeight="1" x14ac:dyDescent="0.25">
      <c r="A70" s="101" t="s">
        <v>104</v>
      </c>
      <c r="B70" s="157">
        <f>H70+J70+L70+N70+P70+R70+T70+V70+X70+Z70+AB70+AD70</f>
        <v>35.463999999999999</v>
      </c>
      <c r="C70" s="158">
        <f>H70+J70+L70+N70+P70</f>
        <v>8.8659999999999997</v>
      </c>
      <c r="D70" s="159">
        <f>C70</f>
        <v>8.8659999999999997</v>
      </c>
      <c r="E70" s="158">
        <f>I70+K70+M70+O70+Q70+S70+U70+W70+Y70+AA70+AC70+AE70</f>
        <v>0</v>
      </c>
      <c r="F70" s="77">
        <f>E70/B70</f>
        <v>0</v>
      </c>
      <c r="G70" s="77">
        <f>E70/C70</f>
        <v>0</v>
      </c>
      <c r="H70" s="114"/>
      <c r="I70" s="114"/>
      <c r="J70" s="114"/>
      <c r="K70" s="114"/>
      <c r="L70" s="114"/>
      <c r="M70" s="114"/>
      <c r="N70" s="114"/>
      <c r="O70" s="114"/>
      <c r="P70" s="114">
        <f>8.866</f>
        <v>8.8659999999999997</v>
      </c>
      <c r="Q70" s="114"/>
      <c r="R70" s="114"/>
      <c r="S70" s="114"/>
      <c r="T70" s="114">
        <v>8.8659999999999997</v>
      </c>
      <c r="U70" s="114"/>
      <c r="V70" s="114"/>
      <c r="W70" s="114"/>
      <c r="X70" s="114">
        <v>8.8659999999999997</v>
      </c>
      <c r="Y70" s="114"/>
      <c r="Z70" s="114"/>
      <c r="AA70" s="114"/>
      <c r="AB70" s="114">
        <v>8.8659999999999997</v>
      </c>
      <c r="AC70" s="114"/>
      <c r="AD70" s="114"/>
      <c r="AE70" s="114"/>
      <c r="AF70" s="262"/>
      <c r="AG70" s="235"/>
      <c r="AH70" s="103"/>
      <c r="AI70" s="235"/>
    </row>
    <row r="71" spans="1:35" s="37" customFormat="1" ht="22.5" customHeight="1" x14ac:dyDescent="0.25">
      <c r="A71" s="122" t="s">
        <v>176</v>
      </c>
      <c r="B71" s="156">
        <f>B72+B73</f>
        <v>662.77296000000001</v>
      </c>
      <c r="C71" s="156">
        <f t="shared" ref="C71:E71" si="32">C72+C73</f>
        <v>148.53413</v>
      </c>
      <c r="D71" s="156">
        <f t="shared" si="32"/>
        <v>148.53413</v>
      </c>
      <c r="E71" s="156">
        <f t="shared" si="32"/>
        <v>3.0999999999999996</v>
      </c>
      <c r="F71" s="77">
        <f t="shared" ref="F71:F72" si="33">E71/B71</f>
        <v>4.6773181573370156E-3</v>
      </c>
      <c r="G71" s="77">
        <f>E71/C71</f>
        <v>2.0870624145440511E-2</v>
      </c>
      <c r="H71" s="156">
        <f t="shared" ref="H71:AE71" si="34">H72+H73</f>
        <v>0</v>
      </c>
      <c r="I71" s="156">
        <f t="shared" si="34"/>
        <v>0</v>
      </c>
      <c r="J71" s="156">
        <f t="shared" si="34"/>
        <v>0</v>
      </c>
      <c r="K71" s="156">
        <f t="shared" si="34"/>
        <v>0</v>
      </c>
      <c r="L71" s="156">
        <f t="shared" si="34"/>
        <v>0</v>
      </c>
      <c r="M71" s="156">
        <f t="shared" si="34"/>
        <v>0</v>
      </c>
      <c r="N71" s="156">
        <f t="shared" si="34"/>
        <v>64.661169999999998</v>
      </c>
      <c r="O71" s="156">
        <f t="shared" si="34"/>
        <v>0</v>
      </c>
      <c r="P71" s="156">
        <f t="shared" si="34"/>
        <v>83.872959999999992</v>
      </c>
      <c r="Q71" s="156">
        <f t="shared" si="34"/>
        <v>3.0999999999999996</v>
      </c>
      <c r="R71" s="156">
        <f t="shared" si="34"/>
        <v>64.661169999999998</v>
      </c>
      <c r="S71" s="156">
        <f t="shared" si="34"/>
        <v>0</v>
      </c>
      <c r="T71" s="156">
        <f t="shared" si="34"/>
        <v>83.670110000000008</v>
      </c>
      <c r="U71" s="156">
        <f t="shared" si="34"/>
        <v>0</v>
      </c>
      <c r="V71" s="156">
        <f t="shared" si="34"/>
        <v>64.661169999999998</v>
      </c>
      <c r="W71" s="156">
        <f t="shared" si="34"/>
        <v>0</v>
      </c>
      <c r="X71" s="156">
        <f t="shared" si="34"/>
        <v>83.475049999999996</v>
      </c>
      <c r="Y71" s="156">
        <f t="shared" si="34"/>
        <v>0</v>
      </c>
      <c r="Z71" s="156">
        <f t="shared" si="34"/>
        <v>64.661169999999998</v>
      </c>
      <c r="AA71" s="156">
        <f t="shared" si="34"/>
        <v>0</v>
      </c>
      <c r="AB71" s="156">
        <f t="shared" si="34"/>
        <v>83.475049999999996</v>
      </c>
      <c r="AC71" s="156">
        <f t="shared" si="34"/>
        <v>0</v>
      </c>
      <c r="AD71" s="156">
        <f t="shared" si="34"/>
        <v>69.635109999999997</v>
      </c>
      <c r="AE71" s="156">
        <f t="shared" si="34"/>
        <v>0</v>
      </c>
      <c r="AF71" s="262"/>
      <c r="AG71" s="235"/>
      <c r="AH71" s="103"/>
      <c r="AI71" s="235"/>
    </row>
    <row r="72" spans="1:35" s="37" customFormat="1" ht="22.5" customHeight="1" x14ac:dyDescent="0.25">
      <c r="A72" s="101" t="s">
        <v>103</v>
      </c>
      <c r="B72" s="157">
        <f>B67</f>
        <v>151.74</v>
      </c>
      <c r="C72" s="157">
        <f>C67</f>
        <v>33.72</v>
      </c>
      <c r="D72" s="157">
        <f t="shared" ref="D72:E72" si="35">D67</f>
        <v>33.72</v>
      </c>
      <c r="E72" s="157">
        <f t="shared" si="35"/>
        <v>0.8</v>
      </c>
      <c r="F72" s="77">
        <f t="shared" si="33"/>
        <v>5.2721760906814285E-3</v>
      </c>
      <c r="G72" s="77">
        <f t="shared" ref="G72:G73" si="36">E72/C72</f>
        <v>2.3724792408066433E-2</v>
      </c>
      <c r="H72" s="157">
        <f t="shared" ref="H72:AE72" si="37">H67</f>
        <v>0</v>
      </c>
      <c r="I72" s="157">
        <f t="shared" si="37"/>
        <v>0</v>
      </c>
      <c r="J72" s="157">
        <f t="shared" si="37"/>
        <v>0</v>
      </c>
      <c r="K72" s="157">
        <f t="shared" si="37"/>
        <v>0</v>
      </c>
      <c r="L72" s="157">
        <f t="shared" si="37"/>
        <v>0</v>
      </c>
      <c r="M72" s="157">
        <f t="shared" si="37"/>
        <v>0</v>
      </c>
      <c r="N72" s="157">
        <f t="shared" si="37"/>
        <v>16.86</v>
      </c>
      <c r="O72" s="157">
        <f t="shared" si="37"/>
        <v>0</v>
      </c>
      <c r="P72" s="157">
        <f t="shared" si="37"/>
        <v>16.86</v>
      </c>
      <c r="Q72" s="157">
        <f t="shared" si="37"/>
        <v>0.8</v>
      </c>
      <c r="R72" s="157">
        <f t="shared" si="37"/>
        <v>16.86</v>
      </c>
      <c r="S72" s="157">
        <f t="shared" si="37"/>
        <v>0</v>
      </c>
      <c r="T72" s="157">
        <f t="shared" si="37"/>
        <v>16.86</v>
      </c>
      <c r="U72" s="157">
        <f t="shared" si="37"/>
        <v>0</v>
      </c>
      <c r="V72" s="157">
        <f t="shared" si="37"/>
        <v>16.86</v>
      </c>
      <c r="W72" s="157">
        <f t="shared" si="37"/>
        <v>0</v>
      </c>
      <c r="X72" s="157">
        <f t="shared" si="37"/>
        <v>16.86</v>
      </c>
      <c r="Y72" s="157">
        <f t="shared" si="37"/>
        <v>0</v>
      </c>
      <c r="Z72" s="157">
        <f t="shared" si="37"/>
        <v>16.86</v>
      </c>
      <c r="AA72" s="157">
        <f t="shared" si="37"/>
        <v>0</v>
      </c>
      <c r="AB72" s="157">
        <f t="shared" si="37"/>
        <v>16.86</v>
      </c>
      <c r="AC72" s="157">
        <f t="shared" si="37"/>
        <v>0</v>
      </c>
      <c r="AD72" s="157">
        <f t="shared" si="37"/>
        <v>16.86</v>
      </c>
      <c r="AE72" s="157">
        <f t="shared" si="37"/>
        <v>0</v>
      </c>
      <c r="AF72" s="262"/>
      <c r="AG72" s="235"/>
      <c r="AH72" s="103"/>
      <c r="AI72" s="235"/>
    </row>
    <row r="73" spans="1:35" s="37" customFormat="1" ht="22.5" customHeight="1" x14ac:dyDescent="0.25">
      <c r="A73" s="101" t="s">
        <v>104</v>
      </c>
      <c r="B73" s="157">
        <f>B68+B70</f>
        <v>511.03296</v>
      </c>
      <c r="C73" s="157">
        <f>C68+C70</f>
        <v>114.81412999999999</v>
      </c>
      <c r="D73" s="157">
        <f t="shared" ref="D73:E73" si="38">D68+D70</f>
        <v>114.81412999999999</v>
      </c>
      <c r="E73" s="157">
        <f t="shared" si="38"/>
        <v>2.2999999999999998</v>
      </c>
      <c r="F73" s="208">
        <f>E73/B73</f>
        <v>4.5006881747901347E-3</v>
      </c>
      <c r="G73" s="208">
        <f t="shared" si="36"/>
        <v>2.0032377547955116E-2</v>
      </c>
      <c r="H73" s="157">
        <f t="shared" ref="H73:AE73" si="39">H68+H70</f>
        <v>0</v>
      </c>
      <c r="I73" s="157">
        <f t="shared" si="39"/>
        <v>0</v>
      </c>
      <c r="J73" s="157">
        <f t="shared" si="39"/>
        <v>0</v>
      </c>
      <c r="K73" s="157">
        <f t="shared" si="39"/>
        <v>0</v>
      </c>
      <c r="L73" s="157">
        <f t="shared" si="39"/>
        <v>0</v>
      </c>
      <c r="M73" s="157">
        <f t="shared" si="39"/>
        <v>0</v>
      </c>
      <c r="N73" s="157">
        <f t="shared" si="39"/>
        <v>47.801169999999999</v>
      </c>
      <c r="O73" s="157">
        <f t="shared" si="39"/>
        <v>0</v>
      </c>
      <c r="P73" s="157">
        <f t="shared" si="39"/>
        <v>67.012959999999993</v>
      </c>
      <c r="Q73" s="157">
        <f t="shared" si="39"/>
        <v>2.2999999999999998</v>
      </c>
      <c r="R73" s="157">
        <f t="shared" si="39"/>
        <v>47.801169999999999</v>
      </c>
      <c r="S73" s="157">
        <f t="shared" si="39"/>
        <v>0</v>
      </c>
      <c r="T73" s="157">
        <f t="shared" si="39"/>
        <v>66.810110000000009</v>
      </c>
      <c r="U73" s="157">
        <f t="shared" si="39"/>
        <v>0</v>
      </c>
      <c r="V73" s="157">
        <f t="shared" si="39"/>
        <v>47.801169999999999</v>
      </c>
      <c r="W73" s="157">
        <f t="shared" si="39"/>
        <v>0</v>
      </c>
      <c r="X73" s="157">
        <f t="shared" si="39"/>
        <v>66.615049999999997</v>
      </c>
      <c r="Y73" s="157">
        <f t="shared" si="39"/>
        <v>0</v>
      </c>
      <c r="Z73" s="157">
        <f t="shared" si="39"/>
        <v>47.801169999999999</v>
      </c>
      <c r="AA73" s="157">
        <f t="shared" si="39"/>
        <v>0</v>
      </c>
      <c r="AB73" s="157">
        <f t="shared" si="39"/>
        <v>66.615049999999997</v>
      </c>
      <c r="AC73" s="157">
        <f t="shared" si="39"/>
        <v>0</v>
      </c>
      <c r="AD73" s="157">
        <f t="shared" si="39"/>
        <v>52.775109999999998</v>
      </c>
      <c r="AE73" s="157">
        <f t="shared" si="39"/>
        <v>0</v>
      </c>
      <c r="AF73" s="263"/>
      <c r="AG73" s="235"/>
      <c r="AH73" s="103"/>
      <c r="AI73" s="235"/>
    </row>
    <row r="74" spans="1:35" s="37" customFormat="1" ht="22.5" customHeight="1" x14ac:dyDescent="0.25">
      <c r="A74" s="104" t="s">
        <v>177</v>
      </c>
      <c r="B74" s="160"/>
      <c r="C74" s="160"/>
      <c r="D74" s="160"/>
      <c r="E74" s="160"/>
      <c r="F74" s="102"/>
      <c r="G74" s="102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264" t="s">
        <v>236</v>
      </c>
      <c r="AG74" s="235"/>
      <c r="AH74" s="103"/>
      <c r="AI74" s="235"/>
    </row>
    <row r="75" spans="1:35" s="37" customFormat="1" ht="39" customHeight="1" x14ac:dyDescent="0.25">
      <c r="A75" s="98" t="s">
        <v>154</v>
      </c>
      <c r="B75" s="148"/>
      <c r="C75" s="148"/>
      <c r="D75" s="148"/>
      <c r="E75" s="148"/>
      <c r="F75" s="93"/>
      <c r="G75" s="93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265"/>
      <c r="AG75" s="235"/>
      <c r="AH75" s="103"/>
      <c r="AI75" s="235"/>
    </row>
    <row r="76" spans="1:35" s="37" customFormat="1" ht="15.75" customHeight="1" x14ac:dyDescent="0.25">
      <c r="A76" s="99" t="s">
        <v>155</v>
      </c>
      <c r="B76" s="156">
        <f>B78+B77</f>
        <v>313.65433999999999</v>
      </c>
      <c r="C76" s="156">
        <f>C78+C77</f>
        <v>69.834059999999994</v>
      </c>
      <c r="D76" s="156">
        <f>D78+D77</f>
        <v>69.834059999999994</v>
      </c>
      <c r="E76" s="156">
        <f>E78+E77</f>
        <v>0</v>
      </c>
      <c r="F76" s="100">
        <f>E76/B76</f>
        <v>0</v>
      </c>
      <c r="G76" s="100">
        <f>E76/C76</f>
        <v>0</v>
      </c>
      <c r="H76" s="163">
        <f>H78+H77</f>
        <v>0</v>
      </c>
      <c r="I76" s="163">
        <f>I78+I77</f>
        <v>0</v>
      </c>
      <c r="J76" s="163">
        <f>J78+J77</f>
        <v>0</v>
      </c>
      <c r="K76" s="163">
        <f t="shared" ref="K76:M76" si="40">K78+K77</f>
        <v>0</v>
      </c>
      <c r="L76" s="163">
        <f t="shared" si="40"/>
        <v>0</v>
      </c>
      <c r="M76" s="163">
        <f t="shared" si="40"/>
        <v>0</v>
      </c>
      <c r="N76" s="163">
        <f>N78+N77</f>
        <v>32.330579999999998</v>
      </c>
      <c r="O76" s="163">
        <f>O78+O77</f>
        <v>0</v>
      </c>
      <c r="P76" s="163">
        <f>P78+P77</f>
        <v>37.503479999999996</v>
      </c>
      <c r="Q76" s="163">
        <f t="shared" ref="Q76:AB76" si="41">Q78+Q77</f>
        <v>0</v>
      </c>
      <c r="R76" s="163">
        <f t="shared" si="41"/>
        <v>32.330579999999998</v>
      </c>
      <c r="S76" s="163">
        <f t="shared" si="41"/>
        <v>0</v>
      </c>
      <c r="T76" s="163">
        <f t="shared" si="41"/>
        <v>37.40204</v>
      </c>
      <c r="U76" s="163">
        <f t="shared" si="41"/>
        <v>0</v>
      </c>
      <c r="V76" s="163">
        <f t="shared" si="41"/>
        <v>32.330579999999998</v>
      </c>
      <c r="W76" s="163">
        <f t="shared" si="41"/>
        <v>0</v>
      </c>
      <c r="X76" s="163">
        <f t="shared" si="41"/>
        <v>37.304510000000001</v>
      </c>
      <c r="Y76" s="163">
        <f t="shared" si="41"/>
        <v>0</v>
      </c>
      <c r="Z76" s="163">
        <f t="shared" si="41"/>
        <v>32.330569999999994</v>
      </c>
      <c r="AA76" s="163">
        <f t="shared" si="41"/>
        <v>0</v>
      </c>
      <c r="AB76" s="163">
        <f t="shared" si="41"/>
        <v>37.304510000000001</v>
      </c>
      <c r="AC76" s="163">
        <f>AC78+AC77</f>
        <v>0</v>
      </c>
      <c r="AD76" s="163">
        <f>AD78+AD77</f>
        <v>34.817489999999999</v>
      </c>
      <c r="AE76" s="163">
        <f>AE78+AE77</f>
        <v>0</v>
      </c>
      <c r="AF76" s="265"/>
      <c r="AG76" s="235"/>
      <c r="AH76" s="103"/>
      <c r="AI76" s="235"/>
    </row>
    <row r="77" spans="1:35" s="37" customFormat="1" ht="21.75" customHeight="1" x14ac:dyDescent="0.25">
      <c r="A77" s="101" t="s">
        <v>103</v>
      </c>
      <c r="B77" s="157">
        <f>H77+J77+L77+N77+P77+R77+T77+V77+X77+Z77+AB77+AD77</f>
        <v>75.87</v>
      </c>
      <c r="C77" s="158">
        <f>H77+J77+L77+N77+P77</f>
        <v>16.86</v>
      </c>
      <c r="D77" s="158">
        <f>C77</f>
        <v>16.86</v>
      </c>
      <c r="E77" s="158">
        <f>I77+K77+M77+O77+Q77+S77+U77+W77+Y77+AA77+AC77+AE77</f>
        <v>0</v>
      </c>
      <c r="F77" s="77">
        <f>E77/B77</f>
        <v>0</v>
      </c>
      <c r="G77" s="77">
        <f>E77/C77</f>
        <v>0</v>
      </c>
      <c r="H77" s="114"/>
      <c r="I77" s="114"/>
      <c r="J77" s="114"/>
      <c r="K77" s="114"/>
      <c r="L77" s="114"/>
      <c r="M77" s="114"/>
      <c r="N77" s="114">
        <v>8.43</v>
      </c>
      <c r="O77" s="114"/>
      <c r="P77" s="114">
        <v>8.43</v>
      </c>
      <c r="Q77" s="114"/>
      <c r="R77" s="114">
        <v>8.43</v>
      </c>
      <c r="S77" s="114"/>
      <c r="T77" s="114">
        <v>8.43</v>
      </c>
      <c r="U77" s="114"/>
      <c r="V77" s="114">
        <v>8.43</v>
      </c>
      <c r="W77" s="114"/>
      <c r="X77" s="114">
        <v>8.43</v>
      </c>
      <c r="Y77" s="114"/>
      <c r="Z77" s="114">
        <v>8.43</v>
      </c>
      <c r="AA77" s="114"/>
      <c r="AB77" s="114">
        <v>8.43</v>
      </c>
      <c r="AC77" s="114"/>
      <c r="AD77" s="114">
        <v>8.43</v>
      </c>
      <c r="AE77" s="114"/>
      <c r="AF77" s="265"/>
      <c r="AG77" s="235"/>
      <c r="AH77" s="103"/>
      <c r="AI77" s="235"/>
    </row>
    <row r="78" spans="1:35" s="37" customFormat="1" ht="22.5" customHeight="1" x14ac:dyDescent="0.25">
      <c r="A78" s="101" t="s">
        <v>104</v>
      </c>
      <c r="B78" s="157">
        <f>H78+J78+L78+N78+P78+R78+T78+V78+X78+Z78+AB78+AD78</f>
        <v>237.78433999999999</v>
      </c>
      <c r="C78" s="158">
        <f>H78+J78+L78+N78+P78</f>
        <v>52.974060000000001</v>
      </c>
      <c r="D78" s="158">
        <f>C78</f>
        <v>52.974060000000001</v>
      </c>
      <c r="E78" s="158">
        <f>I78+K78+M78+O78+Q78+S78+U78+W78+Y78+AA78+AC78+AE78</f>
        <v>0</v>
      </c>
      <c r="F78" s="77">
        <f>E78/B78</f>
        <v>0</v>
      </c>
      <c r="G78" s="77">
        <f>E78/C78</f>
        <v>0</v>
      </c>
      <c r="H78" s="114"/>
      <c r="I78" s="114"/>
      <c r="J78" s="114"/>
      <c r="K78" s="114"/>
      <c r="L78" s="114"/>
      <c r="M78" s="114"/>
      <c r="N78" s="114">
        <v>23.900580000000001</v>
      </c>
      <c r="O78" s="114"/>
      <c r="P78" s="114">
        <v>29.07348</v>
      </c>
      <c r="Q78" s="114"/>
      <c r="R78" s="114">
        <v>23.900580000000001</v>
      </c>
      <c r="S78" s="114"/>
      <c r="T78" s="114">
        <v>28.97204</v>
      </c>
      <c r="U78" s="114"/>
      <c r="V78" s="114">
        <v>23.900580000000001</v>
      </c>
      <c r="W78" s="114"/>
      <c r="X78" s="114">
        <v>28.874510000000001</v>
      </c>
      <c r="Y78" s="114"/>
      <c r="Z78" s="114">
        <v>23.900569999999998</v>
      </c>
      <c r="AA78" s="114"/>
      <c r="AB78" s="114">
        <v>28.874510000000001</v>
      </c>
      <c r="AC78" s="114"/>
      <c r="AD78" s="114">
        <f>26.38749</f>
        <v>26.38749</v>
      </c>
      <c r="AE78" s="114"/>
      <c r="AF78" s="265"/>
      <c r="AG78" s="235"/>
      <c r="AH78" s="103"/>
      <c r="AI78" s="235"/>
    </row>
    <row r="79" spans="1:35" s="37" customFormat="1" ht="82.5" x14ac:dyDescent="0.25">
      <c r="A79" s="98" t="s">
        <v>156</v>
      </c>
      <c r="B79" s="148"/>
      <c r="C79" s="148"/>
      <c r="D79" s="148"/>
      <c r="E79" s="148"/>
      <c r="F79" s="93"/>
      <c r="G79" s="93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265"/>
      <c r="AG79" s="235"/>
      <c r="AH79" s="103"/>
      <c r="AI79" s="235"/>
    </row>
    <row r="80" spans="1:35" s="37" customFormat="1" ht="22.5" customHeight="1" x14ac:dyDescent="0.25">
      <c r="A80" s="101" t="s">
        <v>104</v>
      </c>
      <c r="B80" s="157">
        <f>H80+J80+L80+N80+P80+R80+T80+V80+X80+Z80+AB80+AD80</f>
        <v>13.298999999999999</v>
      </c>
      <c r="C80" s="158">
        <f>H80+J80+L80+N80+P80</f>
        <v>4.4329999999999998</v>
      </c>
      <c r="D80" s="159">
        <f>C80</f>
        <v>4.4329999999999998</v>
      </c>
      <c r="E80" s="158">
        <f>I80+K80+M80+O80+Q80+S80+U80+W80+Y80+AA80+AC80+AE80</f>
        <v>0</v>
      </c>
      <c r="F80" s="77">
        <f>E80/B80</f>
        <v>0</v>
      </c>
      <c r="G80" s="77">
        <f>E80/C80</f>
        <v>0</v>
      </c>
      <c r="H80" s="114"/>
      <c r="I80" s="114"/>
      <c r="J80" s="114"/>
      <c r="K80" s="114"/>
      <c r="L80" s="114"/>
      <c r="M80" s="114"/>
      <c r="N80" s="114"/>
      <c r="O80" s="114"/>
      <c r="P80" s="114">
        <f>4.433</f>
        <v>4.4329999999999998</v>
      </c>
      <c r="Q80" s="114"/>
      <c r="R80" s="114"/>
      <c r="S80" s="114"/>
      <c r="T80" s="114">
        <v>4.4329999999999998</v>
      </c>
      <c r="U80" s="114"/>
      <c r="V80" s="114"/>
      <c r="W80" s="114"/>
      <c r="X80" s="114">
        <v>4.4329999999999998</v>
      </c>
      <c r="Y80" s="114"/>
      <c r="Z80" s="114"/>
      <c r="AA80" s="114"/>
      <c r="AB80" s="114"/>
      <c r="AC80" s="114"/>
      <c r="AD80" s="114"/>
      <c r="AE80" s="114"/>
      <c r="AF80" s="265"/>
      <c r="AG80" s="235"/>
      <c r="AH80" s="103"/>
      <c r="AI80" s="235"/>
    </row>
    <row r="81" spans="1:35" s="37" customFormat="1" ht="22.5" customHeight="1" x14ac:dyDescent="0.25">
      <c r="A81" s="122" t="s">
        <v>178</v>
      </c>
      <c r="B81" s="156">
        <f>B82+B83</f>
        <v>326.95334000000003</v>
      </c>
      <c r="C81" s="156">
        <f t="shared" ref="C81:E81" si="42">C82+C83</f>
        <v>74.267060000000001</v>
      </c>
      <c r="D81" s="156">
        <f t="shared" si="42"/>
        <v>74.267060000000001</v>
      </c>
      <c r="E81" s="156">
        <f t="shared" si="42"/>
        <v>0</v>
      </c>
      <c r="F81" s="77">
        <f t="shared" ref="F81:F82" si="43">E81/B81</f>
        <v>0</v>
      </c>
      <c r="G81" s="77">
        <f>E81/C81</f>
        <v>0</v>
      </c>
      <c r="H81" s="156">
        <f t="shared" ref="H81:AE81" si="44">H82+H83</f>
        <v>0</v>
      </c>
      <c r="I81" s="156">
        <f t="shared" si="44"/>
        <v>0</v>
      </c>
      <c r="J81" s="156">
        <f t="shared" si="44"/>
        <v>0</v>
      </c>
      <c r="K81" s="156">
        <f t="shared" si="44"/>
        <v>0</v>
      </c>
      <c r="L81" s="156">
        <f t="shared" si="44"/>
        <v>0</v>
      </c>
      <c r="M81" s="156">
        <f t="shared" si="44"/>
        <v>0</v>
      </c>
      <c r="N81" s="156">
        <f t="shared" si="44"/>
        <v>32.330579999999998</v>
      </c>
      <c r="O81" s="156">
        <f t="shared" si="44"/>
        <v>0</v>
      </c>
      <c r="P81" s="156">
        <f t="shared" si="44"/>
        <v>41.936479999999996</v>
      </c>
      <c r="Q81" s="156">
        <f t="shared" si="44"/>
        <v>0</v>
      </c>
      <c r="R81" s="156">
        <f t="shared" si="44"/>
        <v>32.330579999999998</v>
      </c>
      <c r="S81" s="156">
        <f t="shared" si="44"/>
        <v>0</v>
      </c>
      <c r="T81" s="156">
        <f t="shared" si="44"/>
        <v>41.835039999999999</v>
      </c>
      <c r="U81" s="156">
        <f t="shared" si="44"/>
        <v>0</v>
      </c>
      <c r="V81" s="156">
        <f t="shared" si="44"/>
        <v>32.330579999999998</v>
      </c>
      <c r="W81" s="156">
        <f t="shared" si="44"/>
        <v>0</v>
      </c>
      <c r="X81" s="156">
        <f t="shared" si="44"/>
        <v>41.73751</v>
      </c>
      <c r="Y81" s="156">
        <f t="shared" si="44"/>
        <v>0</v>
      </c>
      <c r="Z81" s="156">
        <f t="shared" si="44"/>
        <v>32.330569999999994</v>
      </c>
      <c r="AA81" s="156">
        <f t="shared" si="44"/>
        <v>0</v>
      </c>
      <c r="AB81" s="156">
        <f t="shared" si="44"/>
        <v>37.304510000000001</v>
      </c>
      <c r="AC81" s="156">
        <f t="shared" si="44"/>
        <v>0</v>
      </c>
      <c r="AD81" s="156">
        <f t="shared" si="44"/>
        <v>34.817489999999999</v>
      </c>
      <c r="AE81" s="156">
        <f t="shared" si="44"/>
        <v>0</v>
      </c>
      <c r="AF81" s="265"/>
      <c r="AG81" s="235"/>
      <c r="AH81" s="103"/>
      <c r="AI81" s="235"/>
    </row>
    <row r="82" spans="1:35" s="37" customFormat="1" ht="22.5" customHeight="1" x14ac:dyDescent="0.25">
      <c r="A82" s="101" t="s">
        <v>103</v>
      </c>
      <c r="B82" s="157">
        <f>B77</f>
        <v>75.87</v>
      </c>
      <c r="C82" s="157">
        <f>C77</f>
        <v>16.86</v>
      </c>
      <c r="D82" s="157">
        <f t="shared" ref="D82:E82" si="45">D77</f>
        <v>16.86</v>
      </c>
      <c r="E82" s="157">
        <f t="shared" si="45"/>
        <v>0</v>
      </c>
      <c r="F82" s="77">
        <f t="shared" si="43"/>
        <v>0</v>
      </c>
      <c r="G82" s="77">
        <f t="shared" ref="G82:G83" si="46">E82/C82</f>
        <v>0</v>
      </c>
      <c r="H82" s="157">
        <f t="shared" ref="H82:AE82" si="47">H77</f>
        <v>0</v>
      </c>
      <c r="I82" s="157">
        <f t="shared" si="47"/>
        <v>0</v>
      </c>
      <c r="J82" s="157">
        <f t="shared" si="47"/>
        <v>0</v>
      </c>
      <c r="K82" s="157">
        <f t="shared" si="47"/>
        <v>0</v>
      </c>
      <c r="L82" s="157">
        <f t="shared" si="47"/>
        <v>0</v>
      </c>
      <c r="M82" s="157">
        <f t="shared" si="47"/>
        <v>0</v>
      </c>
      <c r="N82" s="157">
        <f t="shared" si="47"/>
        <v>8.43</v>
      </c>
      <c r="O82" s="157">
        <f t="shared" si="47"/>
        <v>0</v>
      </c>
      <c r="P82" s="157">
        <f t="shared" si="47"/>
        <v>8.43</v>
      </c>
      <c r="Q82" s="157">
        <f t="shared" si="47"/>
        <v>0</v>
      </c>
      <c r="R82" s="157">
        <f t="shared" si="47"/>
        <v>8.43</v>
      </c>
      <c r="S82" s="157">
        <f t="shared" si="47"/>
        <v>0</v>
      </c>
      <c r="T82" s="157">
        <f t="shared" si="47"/>
        <v>8.43</v>
      </c>
      <c r="U82" s="157">
        <f t="shared" si="47"/>
        <v>0</v>
      </c>
      <c r="V82" s="157">
        <f t="shared" si="47"/>
        <v>8.43</v>
      </c>
      <c r="W82" s="157">
        <f t="shared" si="47"/>
        <v>0</v>
      </c>
      <c r="X82" s="157">
        <f t="shared" si="47"/>
        <v>8.43</v>
      </c>
      <c r="Y82" s="157">
        <f t="shared" si="47"/>
        <v>0</v>
      </c>
      <c r="Z82" s="157">
        <f t="shared" si="47"/>
        <v>8.43</v>
      </c>
      <c r="AA82" s="157">
        <f t="shared" si="47"/>
        <v>0</v>
      </c>
      <c r="AB82" s="157">
        <f t="shared" si="47"/>
        <v>8.43</v>
      </c>
      <c r="AC82" s="157">
        <f t="shared" si="47"/>
        <v>0</v>
      </c>
      <c r="AD82" s="157">
        <f t="shared" si="47"/>
        <v>8.43</v>
      </c>
      <c r="AE82" s="157">
        <f t="shared" si="47"/>
        <v>0</v>
      </c>
      <c r="AF82" s="265"/>
      <c r="AG82" s="235"/>
      <c r="AH82" s="103"/>
      <c r="AI82" s="235"/>
    </row>
    <row r="83" spans="1:35" s="37" customFormat="1" ht="22.5" customHeight="1" x14ac:dyDescent="0.25">
      <c r="A83" s="101" t="s">
        <v>104</v>
      </c>
      <c r="B83" s="157">
        <f>B78+B80</f>
        <v>251.08333999999999</v>
      </c>
      <c r="C83" s="157">
        <f>C78+C80</f>
        <v>57.407060000000001</v>
      </c>
      <c r="D83" s="157">
        <f t="shared" ref="D83:E83" si="48">D78+D80</f>
        <v>57.407060000000001</v>
      </c>
      <c r="E83" s="157">
        <f t="shared" si="48"/>
        <v>0</v>
      </c>
      <c r="F83" s="208">
        <f>E83/B83</f>
        <v>0</v>
      </c>
      <c r="G83" s="208">
        <f t="shared" si="46"/>
        <v>0</v>
      </c>
      <c r="H83" s="157">
        <f t="shared" ref="H83:AE83" si="49">H78+H80</f>
        <v>0</v>
      </c>
      <c r="I83" s="157">
        <f t="shared" si="49"/>
        <v>0</v>
      </c>
      <c r="J83" s="157">
        <f t="shared" si="49"/>
        <v>0</v>
      </c>
      <c r="K83" s="157">
        <f t="shared" si="49"/>
        <v>0</v>
      </c>
      <c r="L83" s="157">
        <f t="shared" si="49"/>
        <v>0</v>
      </c>
      <c r="M83" s="157">
        <f t="shared" si="49"/>
        <v>0</v>
      </c>
      <c r="N83" s="157">
        <f t="shared" si="49"/>
        <v>23.900580000000001</v>
      </c>
      <c r="O83" s="157">
        <f t="shared" si="49"/>
        <v>0</v>
      </c>
      <c r="P83" s="157">
        <f t="shared" si="49"/>
        <v>33.506479999999996</v>
      </c>
      <c r="Q83" s="157">
        <f t="shared" si="49"/>
        <v>0</v>
      </c>
      <c r="R83" s="157">
        <f t="shared" si="49"/>
        <v>23.900580000000001</v>
      </c>
      <c r="S83" s="157">
        <f t="shared" si="49"/>
        <v>0</v>
      </c>
      <c r="T83" s="157">
        <f t="shared" si="49"/>
        <v>33.40504</v>
      </c>
      <c r="U83" s="157">
        <f t="shared" si="49"/>
        <v>0</v>
      </c>
      <c r="V83" s="157">
        <f t="shared" si="49"/>
        <v>23.900580000000001</v>
      </c>
      <c r="W83" s="157">
        <f t="shared" si="49"/>
        <v>0</v>
      </c>
      <c r="X83" s="157">
        <f t="shared" si="49"/>
        <v>33.307510000000001</v>
      </c>
      <c r="Y83" s="157">
        <f t="shared" si="49"/>
        <v>0</v>
      </c>
      <c r="Z83" s="157">
        <f t="shared" si="49"/>
        <v>23.900569999999998</v>
      </c>
      <c r="AA83" s="157">
        <f t="shared" si="49"/>
        <v>0</v>
      </c>
      <c r="AB83" s="157">
        <f t="shared" si="49"/>
        <v>28.874510000000001</v>
      </c>
      <c r="AC83" s="157">
        <f t="shared" si="49"/>
        <v>0</v>
      </c>
      <c r="AD83" s="157">
        <f>AD78+AD80</f>
        <v>26.38749</v>
      </c>
      <c r="AE83" s="157">
        <f t="shared" si="49"/>
        <v>0</v>
      </c>
      <c r="AF83" s="266"/>
      <c r="AG83" s="235"/>
      <c r="AH83" s="103"/>
      <c r="AI83" s="235"/>
    </row>
    <row r="84" spans="1:35" s="37" customFormat="1" ht="22.5" customHeight="1" x14ac:dyDescent="0.25">
      <c r="A84" s="104" t="s">
        <v>179</v>
      </c>
      <c r="B84" s="160"/>
      <c r="C84" s="160"/>
      <c r="D84" s="160"/>
      <c r="E84" s="160"/>
      <c r="F84" s="102"/>
      <c r="G84" s="102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264" t="s">
        <v>238</v>
      </c>
      <c r="AG84" s="235"/>
      <c r="AH84" s="103"/>
      <c r="AI84" s="235"/>
    </row>
    <row r="85" spans="1:35" s="37" customFormat="1" ht="39" customHeight="1" x14ac:dyDescent="0.25">
      <c r="A85" s="98" t="s">
        <v>154</v>
      </c>
      <c r="B85" s="148"/>
      <c r="C85" s="148"/>
      <c r="D85" s="148"/>
      <c r="E85" s="148"/>
      <c r="F85" s="93"/>
      <c r="G85" s="93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265"/>
      <c r="AG85" s="235"/>
      <c r="AH85" s="103"/>
      <c r="AI85" s="235"/>
    </row>
    <row r="86" spans="1:35" s="37" customFormat="1" ht="15.75" customHeight="1" x14ac:dyDescent="0.25">
      <c r="A86" s="99" t="s">
        <v>155</v>
      </c>
      <c r="B86" s="156">
        <f>B88+B87</f>
        <v>313.66608000000002</v>
      </c>
      <c r="C86" s="156">
        <f>C88+C87</f>
        <v>69.836690000000004</v>
      </c>
      <c r="D86" s="156">
        <f>D88+D87</f>
        <v>69.836690000000004</v>
      </c>
      <c r="E86" s="156">
        <f>E88+E87</f>
        <v>0</v>
      </c>
      <c r="F86" s="100">
        <f>E86/B86</f>
        <v>0</v>
      </c>
      <c r="G86" s="100">
        <f>E86/C86</f>
        <v>0</v>
      </c>
      <c r="H86" s="163">
        <f>H88+H87</f>
        <v>0</v>
      </c>
      <c r="I86" s="163">
        <f>I88+I87</f>
        <v>0</v>
      </c>
      <c r="J86" s="163">
        <f>J88+J87</f>
        <v>0</v>
      </c>
      <c r="K86" s="163">
        <f t="shared" ref="K86:M86" si="50">K88+K87</f>
        <v>0</v>
      </c>
      <c r="L86" s="163">
        <f t="shared" si="50"/>
        <v>0</v>
      </c>
      <c r="M86" s="163">
        <f t="shared" si="50"/>
        <v>0</v>
      </c>
      <c r="N86" s="163">
        <f>N88+N87</f>
        <v>32.331800000000001</v>
      </c>
      <c r="O86" s="163">
        <f>O88+O87</f>
        <v>0</v>
      </c>
      <c r="P86" s="163">
        <f>P88+P87</f>
        <v>37.504890000000003</v>
      </c>
      <c r="Q86" s="163">
        <f t="shared" ref="Q86:AB86" si="51">Q88+Q87</f>
        <v>0</v>
      </c>
      <c r="R86" s="163">
        <f t="shared" si="51"/>
        <v>32.331800000000001</v>
      </c>
      <c r="S86" s="163">
        <f t="shared" si="51"/>
        <v>0</v>
      </c>
      <c r="T86" s="163">
        <f t="shared" si="51"/>
        <v>37.403449999999999</v>
      </c>
      <c r="U86" s="163">
        <f t="shared" si="51"/>
        <v>0</v>
      </c>
      <c r="V86" s="163">
        <f t="shared" si="51"/>
        <v>32.331800000000001</v>
      </c>
      <c r="W86" s="163">
        <f t="shared" si="51"/>
        <v>0</v>
      </c>
      <c r="X86" s="163">
        <f t="shared" si="51"/>
        <v>37.30592</v>
      </c>
      <c r="Y86" s="163">
        <f t="shared" si="51"/>
        <v>0</v>
      </c>
      <c r="Z86" s="163">
        <f t="shared" si="51"/>
        <v>32.331800000000001</v>
      </c>
      <c r="AA86" s="163">
        <f t="shared" si="51"/>
        <v>0</v>
      </c>
      <c r="AB86" s="163">
        <f t="shared" si="51"/>
        <v>37.30592</v>
      </c>
      <c r="AC86" s="163">
        <f>AC88+AC87</f>
        <v>0</v>
      </c>
      <c r="AD86" s="163">
        <f>AD88+AD87</f>
        <v>34.8187</v>
      </c>
      <c r="AE86" s="163">
        <f>AE88+AE87</f>
        <v>0</v>
      </c>
      <c r="AF86" s="265"/>
      <c r="AG86" s="235"/>
      <c r="AH86" s="103"/>
      <c r="AI86" s="235"/>
    </row>
    <row r="87" spans="1:35" s="37" customFormat="1" ht="21.75" customHeight="1" x14ac:dyDescent="0.25">
      <c r="A87" s="101" t="s">
        <v>103</v>
      </c>
      <c r="B87" s="157">
        <f>H87+J87+L87+N87+P87+R87+T87+V87+X87+Z87+AB87+AD87</f>
        <v>75.87</v>
      </c>
      <c r="C87" s="158">
        <f>H87+J87+L87+N87+P87</f>
        <v>16.86</v>
      </c>
      <c r="D87" s="158">
        <f>C87</f>
        <v>16.86</v>
      </c>
      <c r="E87" s="158">
        <f>I87+K87+M87+O87+Q87+S87+U87+W87+Y87+AA87+AC87+AE87</f>
        <v>0</v>
      </c>
      <c r="F87" s="77">
        <f>E87/B87</f>
        <v>0</v>
      </c>
      <c r="G87" s="77">
        <f>E87/C87</f>
        <v>0</v>
      </c>
      <c r="H87" s="114"/>
      <c r="I87" s="114"/>
      <c r="J87" s="114"/>
      <c r="K87" s="114"/>
      <c r="L87" s="114"/>
      <c r="M87" s="114"/>
      <c r="N87" s="114">
        <v>8.43</v>
      </c>
      <c r="O87" s="114"/>
      <c r="P87" s="114">
        <v>8.43</v>
      </c>
      <c r="Q87" s="114"/>
      <c r="R87" s="114">
        <v>8.43</v>
      </c>
      <c r="S87" s="114"/>
      <c r="T87" s="114">
        <v>8.43</v>
      </c>
      <c r="U87" s="114"/>
      <c r="V87" s="114">
        <v>8.43</v>
      </c>
      <c r="W87" s="114"/>
      <c r="X87" s="114">
        <v>8.43</v>
      </c>
      <c r="Y87" s="114"/>
      <c r="Z87" s="114">
        <v>8.43</v>
      </c>
      <c r="AA87" s="114"/>
      <c r="AB87" s="114">
        <v>8.43</v>
      </c>
      <c r="AC87" s="114"/>
      <c r="AD87" s="114">
        <v>8.43</v>
      </c>
      <c r="AE87" s="114"/>
      <c r="AF87" s="265"/>
      <c r="AG87" s="235"/>
      <c r="AH87" s="103"/>
      <c r="AI87" s="235"/>
    </row>
    <row r="88" spans="1:35" s="37" customFormat="1" ht="22.5" customHeight="1" x14ac:dyDescent="0.25">
      <c r="A88" s="101" t="s">
        <v>104</v>
      </c>
      <c r="B88" s="157">
        <f>H88+J88+L88+N88+P88+R88+T88+V88+X88+Z88+AB88+AD88</f>
        <v>237.79608000000002</v>
      </c>
      <c r="C88" s="158">
        <f>H88+J88+L88+N88+P88</f>
        <v>52.976690000000005</v>
      </c>
      <c r="D88" s="158">
        <f>C88</f>
        <v>52.976690000000005</v>
      </c>
      <c r="E88" s="158">
        <f>I88+K88+M88+O88+Q88+S88+U88+W88+Y88+AA88+AC88+AE88</f>
        <v>0</v>
      </c>
      <c r="F88" s="77">
        <f>E88/B88</f>
        <v>0</v>
      </c>
      <c r="G88" s="77">
        <f>E88/C88</f>
        <v>0</v>
      </c>
      <c r="H88" s="114"/>
      <c r="I88" s="114"/>
      <c r="J88" s="114"/>
      <c r="K88" s="114"/>
      <c r="L88" s="114"/>
      <c r="M88" s="114"/>
      <c r="N88" s="114">
        <v>23.901800000000001</v>
      </c>
      <c r="O88" s="114"/>
      <c r="P88" s="114">
        <v>29.07489</v>
      </c>
      <c r="Q88" s="114"/>
      <c r="R88" s="114">
        <v>23.901800000000001</v>
      </c>
      <c r="S88" s="114"/>
      <c r="T88" s="114">
        <v>28.97345</v>
      </c>
      <c r="U88" s="114"/>
      <c r="V88" s="114">
        <v>23.901800000000001</v>
      </c>
      <c r="W88" s="114"/>
      <c r="X88" s="114">
        <v>28.875920000000001</v>
      </c>
      <c r="Y88" s="114"/>
      <c r="Z88" s="114">
        <v>23.901800000000001</v>
      </c>
      <c r="AA88" s="114"/>
      <c r="AB88" s="114">
        <v>28.875920000000001</v>
      </c>
      <c r="AC88" s="114"/>
      <c r="AD88" s="114">
        <v>26.3887</v>
      </c>
      <c r="AE88" s="114"/>
      <c r="AF88" s="265"/>
      <c r="AG88" s="235"/>
      <c r="AH88" s="103"/>
      <c r="AI88" s="235"/>
    </row>
    <row r="89" spans="1:35" s="37" customFormat="1" ht="82.5" x14ac:dyDescent="0.25">
      <c r="A89" s="98" t="s">
        <v>156</v>
      </c>
      <c r="B89" s="148"/>
      <c r="C89" s="148"/>
      <c r="D89" s="148"/>
      <c r="E89" s="148"/>
      <c r="F89" s="93"/>
      <c r="G89" s="93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265"/>
      <c r="AG89" s="235"/>
      <c r="AH89" s="103"/>
      <c r="AI89" s="235"/>
    </row>
    <row r="90" spans="1:35" s="37" customFormat="1" ht="22.5" customHeight="1" x14ac:dyDescent="0.25">
      <c r="A90" s="101" t="s">
        <v>104</v>
      </c>
      <c r="B90" s="157">
        <f>H90+J90+L90+N90+P90+R90+T90+V90+X90+Z90+AB90+AD90</f>
        <v>13.298999999999999</v>
      </c>
      <c r="C90" s="158">
        <f>H90+J90+L90+N90+P90</f>
        <v>8.8659999999999997</v>
      </c>
      <c r="D90" s="159">
        <f>C90</f>
        <v>8.8659999999999997</v>
      </c>
      <c r="E90" s="158">
        <f>I90+K90+M90+O90+Q90+S90+U90+W90+Y90+AA90+AC90+AE90</f>
        <v>0</v>
      </c>
      <c r="F90" s="77">
        <f>E90/B90</f>
        <v>0</v>
      </c>
      <c r="G90" s="77">
        <f>E90/C90</f>
        <v>0</v>
      </c>
      <c r="H90" s="114"/>
      <c r="I90" s="114"/>
      <c r="J90" s="114"/>
      <c r="K90" s="114"/>
      <c r="L90" s="114"/>
      <c r="M90" s="114"/>
      <c r="N90" s="114">
        <v>4.4329999999999998</v>
      </c>
      <c r="O90" s="114"/>
      <c r="P90" s="114">
        <v>4.4329999999999998</v>
      </c>
      <c r="Q90" s="114"/>
      <c r="R90" s="114"/>
      <c r="S90" s="114"/>
      <c r="T90" s="114"/>
      <c r="U90" s="114"/>
      <c r="V90" s="114"/>
      <c r="W90" s="114"/>
      <c r="X90" s="114">
        <v>4.4329999999999998</v>
      </c>
      <c r="Y90" s="114"/>
      <c r="Z90" s="114"/>
      <c r="AA90" s="114"/>
      <c r="AB90" s="114"/>
      <c r="AC90" s="114"/>
      <c r="AD90" s="114"/>
      <c r="AE90" s="114"/>
      <c r="AF90" s="265"/>
      <c r="AG90" s="235"/>
      <c r="AH90" s="103"/>
      <c r="AI90" s="235"/>
    </row>
    <row r="91" spans="1:35" s="37" customFormat="1" ht="22.5" customHeight="1" x14ac:dyDescent="0.25">
      <c r="A91" s="122" t="s">
        <v>180</v>
      </c>
      <c r="B91" s="156">
        <f>B92+B93</f>
        <v>326.96508000000006</v>
      </c>
      <c r="C91" s="156">
        <f t="shared" ref="C91:E91" si="52">C92+C93</f>
        <v>78.702690000000004</v>
      </c>
      <c r="D91" s="156">
        <f t="shared" si="52"/>
        <v>78.702690000000004</v>
      </c>
      <c r="E91" s="156">
        <f t="shared" si="52"/>
        <v>0</v>
      </c>
      <c r="F91" s="77">
        <f t="shared" ref="F91:F92" si="53">E91/B91</f>
        <v>0</v>
      </c>
      <c r="G91" s="77">
        <f>E91/C91</f>
        <v>0</v>
      </c>
      <c r="H91" s="156">
        <f t="shared" ref="H91:AE91" si="54">H92+H93</f>
        <v>0</v>
      </c>
      <c r="I91" s="156">
        <f t="shared" si="54"/>
        <v>0</v>
      </c>
      <c r="J91" s="156">
        <f t="shared" si="54"/>
        <v>0</v>
      </c>
      <c r="K91" s="156">
        <f t="shared" si="54"/>
        <v>0</v>
      </c>
      <c r="L91" s="156">
        <f t="shared" si="54"/>
        <v>0</v>
      </c>
      <c r="M91" s="156">
        <f t="shared" si="54"/>
        <v>0</v>
      </c>
      <c r="N91" s="156">
        <f t="shared" si="54"/>
        <v>36.764800000000001</v>
      </c>
      <c r="O91" s="156">
        <f t="shared" si="54"/>
        <v>0</v>
      </c>
      <c r="P91" s="156">
        <f t="shared" si="54"/>
        <v>41.937890000000003</v>
      </c>
      <c r="Q91" s="156">
        <f t="shared" si="54"/>
        <v>0</v>
      </c>
      <c r="R91" s="156">
        <f t="shared" si="54"/>
        <v>32.331800000000001</v>
      </c>
      <c r="S91" s="156">
        <f t="shared" si="54"/>
        <v>0</v>
      </c>
      <c r="T91" s="156">
        <f t="shared" si="54"/>
        <v>37.403449999999999</v>
      </c>
      <c r="U91" s="156">
        <f t="shared" si="54"/>
        <v>0</v>
      </c>
      <c r="V91" s="156">
        <f t="shared" si="54"/>
        <v>32.331800000000001</v>
      </c>
      <c r="W91" s="156">
        <f t="shared" si="54"/>
        <v>0</v>
      </c>
      <c r="X91" s="156">
        <f t="shared" si="54"/>
        <v>41.73892</v>
      </c>
      <c r="Y91" s="156">
        <f t="shared" si="54"/>
        <v>0</v>
      </c>
      <c r="Z91" s="156">
        <f t="shared" si="54"/>
        <v>32.331800000000001</v>
      </c>
      <c r="AA91" s="156">
        <f t="shared" si="54"/>
        <v>0</v>
      </c>
      <c r="AB91" s="156">
        <f t="shared" si="54"/>
        <v>37.30592</v>
      </c>
      <c r="AC91" s="156">
        <f t="shared" si="54"/>
        <v>0</v>
      </c>
      <c r="AD91" s="156">
        <f t="shared" si="54"/>
        <v>34.8187</v>
      </c>
      <c r="AE91" s="156">
        <f t="shared" si="54"/>
        <v>0</v>
      </c>
      <c r="AF91" s="265"/>
      <c r="AG91" s="235"/>
      <c r="AH91" s="103"/>
      <c r="AI91" s="235"/>
    </row>
    <row r="92" spans="1:35" s="37" customFormat="1" ht="22.5" customHeight="1" x14ac:dyDescent="0.25">
      <c r="A92" s="101" t="s">
        <v>103</v>
      </c>
      <c r="B92" s="157">
        <f>B87</f>
        <v>75.87</v>
      </c>
      <c r="C92" s="157">
        <f t="shared" ref="C92:E92" si="55">C87</f>
        <v>16.86</v>
      </c>
      <c r="D92" s="157">
        <f t="shared" si="55"/>
        <v>16.86</v>
      </c>
      <c r="E92" s="157">
        <f t="shared" si="55"/>
        <v>0</v>
      </c>
      <c r="F92" s="77">
        <f t="shared" si="53"/>
        <v>0</v>
      </c>
      <c r="G92" s="77">
        <f t="shared" ref="G92:G93" si="56">E92/C92</f>
        <v>0</v>
      </c>
      <c r="H92" s="157">
        <f t="shared" ref="H92:AE92" si="57">H87</f>
        <v>0</v>
      </c>
      <c r="I92" s="157">
        <f t="shared" si="57"/>
        <v>0</v>
      </c>
      <c r="J92" s="157">
        <f t="shared" si="57"/>
        <v>0</v>
      </c>
      <c r="K92" s="157">
        <f t="shared" si="57"/>
        <v>0</v>
      </c>
      <c r="L92" s="157">
        <f t="shared" si="57"/>
        <v>0</v>
      </c>
      <c r="M92" s="157">
        <f t="shared" si="57"/>
        <v>0</v>
      </c>
      <c r="N92" s="157">
        <f t="shared" si="57"/>
        <v>8.43</v>
      </c>
      <c r="O92" s="157">
        <f t="shared" si="57"/>
        <v>0</v>
      </c>
      <c r="P92" s="157">
        <f t="shared" si="57"/>
        <v>8.43</v>
      </c>
      <c r="Q92" s="157">
        <f t="shared" si="57"/>
        <v>0</v>
      </c>
      <c r="R92" s="157">
        <f t="shared" si="57"/>
        <v>8.43</v>
      </c>
      <c r="S92" s="157">
        <f t="shared" si="57"/>
        <v>0</v>
      </c>
      <c r="T92" s="157">
        <f t="shared" si="57"/>
        <v>8.43</v>
      </c>
      <c r="U92" s="157">
        <f t="shared" si="57"/>
        <v>0</v>
      </c>
      <c r="V92" s="157">
        <f t="shared" si="57"/>
        <v>8.43</v>
      </c>
      <c r="W92" s="157">
        <f t="shared" si="57"/>
        <v>0</v>
      </c>
      <c r="X92" s="157">
        <f t="shared" si="57"/>
        <v>8.43</v>
      </c>
      <c r="Y92" s="157">
        <f t="shared" si="57"/>
        <v>0</v>
      </c>
      <c r="Z92" s="157">
        <f t="shared" si="57"/>
        <v>8.43</v>
      </c>
      <c r="AA92" s="157">
        <f t="shared" si="57"/>
        <v>0</v>
      </c>
      <c r="AB92" s="157">
        <f t="shared" si="57"/>
        <v>8.43</v>
      </c>
      <c r="AC92" s="157">
        <f t="shared" si="57"/>
        <v>0</v>
      </c>
      <c r="AD92" s="157">
        <f t="shared" si="57"/>
        <v>8.43</v>
      </c>
      <c r="AE92" s="157">
        <f t="shared" si="57"/>
        <v>0</v>
      </c>
      <c r="AF92" s="265"/>
      <c r="AG92" s="235"/>
      <c r="AH92" s="103"/>
      <c r="AI92" s="235"/>
    </row>
    <row r="93" spans="1:35" s="37" customFormat="1" ht="22.5" customHeight="1" x14ac:dyDescent="0.25">
      <c r="A93" s="101" t="s">
        <v>104</v>
      </c>
      <c r="B93" s="157">
        <f>B88+B90</f>
        <v>251.09508000000002</v>
      </c>
      <c r="C93" s="157">
        <f>C88+C90</f>
        <v>61.842690000000005</v>
      </c>
      <c r="D93" s="157">
        <f t="shared" ref="D93:E93" si="58">D88+D90</f>
        <v>61.842690000000005</v>
      </c>
      <c r="E93" s="157">
        <f t="shared" si="58"/>
        <v>0</v>
      </c>
      <c r="F93" s="208">
        <f>E93/B93</f>
        <v>0</v>
      </c>
      <c r="G93" s="208">
        <f t="shared" si="56"/>
        <v>0</v>
      </c>
      <c r="H93" s="157">
        <f t="shared" ref="H93:AE93" si="59">H88+H90</f>
        <v>0</v>
      </c>
      <c r="I93" s="157">
        <f t="shared" si="59"/>
        <v>0</v>
      </c>
      <c r="J93" s="157">
        <f t="shared" si="59"/>
        <v>0</v>
      </c>
      <c r="K93" s="157">
        <f t="shared" si="59"/>
        <v>0</v>
      </c>
      <c r="L93" s="157">
        <f t="shared" si="59"/>
        <v>0</v>
      </c>
      <c r="M93" s="157">
        <f t="shared" si="59"/>
        <v>0</v>
      </c>
      <c r="N93" s="157">
        <f t="shared" si="59"/>
        <v>28.334800000000001</v>
      </c>
      <c r="O93" s="157">
        <f t="shared" si="59"/>
        <v>0</v>
      </c>
      <c r="P93" s="157">
        <f t="shared" si="59"/>
        <v>33.507890000000003</v>
      </c>
      <c r="Q93" s="157">
        <f t="shared" si="59"/>
        <v>0</v>
      </c>
      <c r="R93" s="157">
        <f t="shared" si="59"/>
        <v>23.901800000000001</v>
      </c>
      <c r="S93" s="157">
        <f t="shared" si="59"/>
        <v>0</v>
      </c>
      <c r="T93" s="157">
        <f t="shared" si="59"/>
        <v>28.97345</v>
      </c>
      <c r="U93" s="157">
        <f t="shared" si="59"/>
        <v>0</v>
      </c>
      <c r="V93" s="157">
        <f t="shared" si="59"/>
        <v>23.901800000000001</v>
      </c>
      <c r="W93" s="157">
        <f t="shared" si="59"/>
        <v>0</v>
      </c>
      <c r="X93" s="157">
        <f t="shared" si="59"/>
        <v>33.308920000000001</v>
      </c>
      <c r="Y93" s="157">
        <f t="shared" si="59"/>
        <v>0</v>
      </c>
      <c r="Z93" s="157">
        <f t="shared" si="59"/>
        <v>23.901800000000001</v>
      </c>
      <c r="AA93" s="157">
        <f t="shared" si="59"/>
        <v>0</v>
      </c>
      <c r="AB93" s="157">
        <f t="shared" si="59"/>
        <v>28.875920000000001</v>
      </c>
      <c r="AC93" s="157">
        <f t="shared" si="59"/>
        <v>0</v>
      </c>
      <c r="AD93" s="157">
        <f t="shared" si="59"/>
        <v>26.3887</v>
      </c>
      <c r="AE93" s="157">
        <f t="shared" si="59"/>
        <v>0</v>
      </c>
      <c r="AF93" s="266"/>
      <c r="AG93" s="235"/>
      <c r="AH93" s="103"/>
      <c r="AI93" s="235"/>
    </row>
    <row r="94" spans="1:35" s="37" customFormat="1" ht="22.5" customHeight="1" x14ac:dyDescent="0.25">
      <c r="A94" s="104" t="s">
        <v>181</v>
      </c>
      <c r="B94" s="160"/>
      <c r="C94" s="160"/>
      <c r="D94" s="160"/>
      <c r="E94" s="160"/>
      <c r="F94" s="102"/>
      <c r="G94" s="102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264" t="s">
        <v>239</v>
      </c>
      <c r="AG94" s="235"/>
      <c r="AH94" s="103"/>
      <c r="AI94" s="235"/>
    </row>
    <row r="95" spans="1:35" s="37" customFormat="1" ht="39" customHeight="1" x14ac:dyDescent="0.25">
      <c r="A95" s="98" t="s">
        <v>154</v>
      </c>
      <c r="B95" s="148"/>
      <c r="C95" s="148"/>
      <c r="D95" s="148"/>
      <c r="E95" s="148"/>
      <c r="F95" s="93"/>
      <c r="G95" s="93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265"/>
      <c r="AG95" s="235"/>
      <c r="AH95" s="103"/>
      <c r="AI95" s="235"/>
    </row>
    <row r="96" spans="1:35" s="37" customFormat="1" ht="15.75" customHeight="1" x14ac:dyDescent="0.25">
      <c r="A96" s="99" t="s">
        <v>155</v>
      </c>
      <c r="B96" s="156">
        <f>B98+B97</f>
        <v>836.44163999999989</v>
      </c>
      <c r="C96" s="156">
        <f>C98+C97</f>
        <v>174.96</v>
      </c>
      <c r="D96" s="156">
        <f>D98+D97</f>
        <v>174.96</v>
      </c>
      <c r="E96" s="156">
        <f>E98+E97</f>
        <v>6.4</v>
      </c>
      <c r="F96" s="100">
        <f>E96/B96</f>
        <v>7.6514602979354321E-3</v>
      </c>
      <c r="G96" s="100">
        <f>E96/C96</f>
        <v>3.6579789666209422E-2</v>
      </c>
      <c r="H96" s="163">
        <f>H98+H97</f>
        <v>0</v>
      </c>
      <c r="I96" s="163">
        <f>I98+I97</f>
        <v>0</v>
      </c>
      <c r="J96" s="163">
        <f>J98+J97</f>
        <v>0</v>
      </c>
      <c r="K96" s="163">
        <f t="shared" ref="K96:M96" si="60">K98+K97</f>
        <v>0</v>
      </c>
      <c r="L96" s="163">
        <f t="shared" si="60"/>
        <v>0</v>
      </c>
      <c r="M96" s="163">
        <f t="shared" si="60"/>
        <v>0</v>
      </c>
      <c r="N96" s="163">
        <f>N98+N97</f>
        <v>82.48</v>
      </c>
      <c r="O96" s="163">
        <f>O98+O97</f>
        <v>0</v>
      </c>
      <c r="P96" s="163">
        <f>P98+P97</f>
        <v>92.48</v>
      </c>
      <c r="Q96" s="163">
        <f t="shared" ref="Q96:AB96" si="61">Q98+Q97</f>
        <v>6.4</v>
      </c>
      <c r="R96" s="163">
        <f t="shared" si="61"/>
        <v>102.48</v>
      </c>
      <c r="S96" s="163">
        <f t="shared" si="61"/>
        <v>0</v>
      </c>
      <c r="T96" s="163">
        <f t="shared" si="61"/>
        <v>102.48</v>
      </c>
      <c r="U96" s="163">
        <f t="shared" si="61"/>
        <v>0</v>
      </c>
      <c r="V96" s="163">
        <f t="shared" si="61"/>
        <v>102.48</v>
      </c>
      <c r="W96" s="163">
        <f t="shared" si="61"/>
        <v>0</v>
      </c>
      <c r="X96" s="163">
        <f t="shared" si="61"/>
        <v>102.48</v>
      </c>
      <c r="Y96" s="163">
        <f t="shared" si="61"/>
        <v>0</v>
      </c>
      <c r="Z96" s="163">
        <f t="shared" si="61"/>
        <v>102.48</v>
      </c>
      <c r="AA96" s="163">
        <f t="shared" si="61"/>
        <v>0</v>
      </c>
      <c r="AB96" s="163">
        <f t="shared" si="61"/>
        <v>102.48</v>
      </c>
      <c r="AC96" s="163">
        <f>AC98+AC97</f>
        <v>0</v>
      </c>
      <c r="AD96" s="163">
        <f>AD98+AD97</f>
        <v>46.601640000000003</v>
      </c>
      <c r="AE96" s="163">
        <f>AE98+AE97</f>
        <v>0</v>
      </c>
      <c r="AF96" s="265"/>
      <c r="AG96" s="235"/>
      <c r="AH96" s="103"/>
      <c r="AI96" s="235"/>
    </row>
    <row r="97" spans="1:35" s="37" customFormat="1" ht="21.75" customHeight="1" x14ac:dyDescent="0.25">
      <c r="A97" s="101" t="s">
        <v>103</v>
      </c>
      <c r="B97" s="157">
        <f>H97+J97+L97+N97+P97+R97+T97+V97+X97+Z97+AB97+AD97</f>
        <v>202.31999999999996</v>
      </c>
      <c r="C97" s="158">
        <f>H97+J97+L97+N97+P97</f>
        <v>44.96</v>
      </c>
      <c r="D97" s="158">
        <f>C97</f>
        <v>44.96</v>
      </c>
      <c r="E97" s="158">
        <f>I97+K97+M97+O97+Q97+S97+U97+W97+Y97+AA97+AC97+AE97</f>
        <v>0</v>
      </c>
      <c r="F97" s="77">
        <f>E97/B97</f>
        <v>0</v>
      </c>
      <c r="G97" s="77">
        <f>E97/C97</f>
        <v>0</v>
      </c>
      <c r="H97" s="114"/>
      <c r="I97" s="114"/>
      <c r="J97" s="114"/>
      <c r="K97" s="114"/>
      <c r="L97" s="114"/>
      <c r="M97" s="114"/>
      <c r="N97" s="114">
        <v>22.48</v>
      </c>
      <c r="O97" s="114"/>
      <c r="P97" s="114">
        <v>22.48</v>
      </c>
      <c r="Q97" s="114"/>
      <c r="R97" s="114">
        <v>22.48</v>
      </c>
      <c r="S97" s="114"/>
      <c r="T97" s="114">
        <v>22.48</v>
      </c>
      <c r="U97" s="114"/>
      <c r="V97" s="114">
        <v>22.48</v>
      </c>
      <c r="W97" s="114"/>
      <c r="X97" s="114">
        <v>22.48</v>
      </c>
      <c r="Y97" s="114"/>
      <c r="Z97" s="114">
        <v>22.48</v>
      </c>
      <c r="AA97" s="114"/>
      <c r="AB97" s="114">
        <v>22.48</v>
      </c>
      <c r="AC97" s="114"/>
      <c r="AD97" s="114">
        <v>22.48</v>
      </c>
      <c r="AE97" s="114"/>
      <c r="AF97" s="265"/>
      <c r="AG97" s="235"/>
      <c r="AH97" s="103"/>
      <c r="AI97" s="235"/>
    </row>
    <row r="98" spans="1:35" s="37" customFormat="1" ht="22.5" customHeight="1" x14ac:dyDescent="0.25">
      <c r="A98" s="101" t="s">
        <v>104</v>
      </c>
      <c r="B98" s="157">
        <f>H98+J98+L98+N98+P98+R98+T98+V98+X98+Z98+AB98+AD98</f>
        <v>634.12163999999996</v>
      </c>
      <c r="C98" s="158">
        <f>H98+J98+L98+N98+P98</f>
        <v>130</v>
      </c>
      <c r="D98" s="158">
        <f>C98</f>
        <v>130</v>
      </c>
      <c r="E98" s="158">
        <f>I98+K98+M98+O98+Q98+S98+U98+W98+Y98+AA98+AC98+AE98</f>
        <v>6.4</v>
      </c>
      <c r="F98" s="77">
        <f>E98/B98</f>
        <v>1.0092700826295726E-2</v>
      </c>
      <c r="G98" s="77">
        <f>E98/C98</f>
        <v>4.9230769230769231E-2</v>
      </c>
      <c r="H98" s="114"/>
      <c r="I98" s="114"/>
      <c r="J98" s="114"/>
      <c r="K98" s="114"/>
      <c r="L98" s="114"/>
      <c r="M98" s="114"/>
      <c r="N98" s="114">
        <v>60</v>
      </c>
      <c r="O98" s="114">
        <v>0</v>
      </c>
      <c r="P98" s="114">
        <v>70</v>
      </c>
      <c r="Q98" s="114">
        <v>6.4</v>
      </c>
      <c r="R98" s="114">
        <v>80</v>
      </c>
      <c r="S98" s="114"/>
      <c r="T98" s="114">
        <v>80</v>
      </c>
      <c r="U98" s="114"/>
      <c r="V98" s="114">
        <v>80</v>
      </c>
      <c r="W98" s="114"/>
      <c r="X98" s="114">
        <v>80</v>
      </c>
      <c r="Y98" s="114"/>
      <c r="Z98" s="114">
        <v>80</v>
      </c>
      <c r="AA98" s="114"/>
      <c r="AB98" s="114">
        <v>80</v>
      </c>
      <c r="AC98" s="114"/>
      <c r="AD98" s="114">
        <f>24121.64/1000</f>
        <v>24.121639999999999</v>
      </c>
      <c r="AE98" s="114"/>
      <c r="AF98" s="265"/>
      <c r="AG98" s="235"/>
      <c r="AH98" s="103"/>
      <c r="AI98" s="235"/>
    </row>
    <row r="99" spans="1:35" s="37" customFormat="1" ht="102.75" customHeight="1" x14ac:dyDescent="0.25">
      <c r="A99" s="98" t="s">
        <v>156</v>
      </c>
      <c r="B99" s="148"/>
      <c r="C99" s="148"/>
      <c r="D99" s="148"/>
      <c r="E99" s="148"/>
      <c r="F99" s="93"/>
      <c r="G99" s="93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265"/>
      <c r="AG99" s="235"/>
      <c r="AH99" s="103"/>
      <c r="AI99" s="235"/>
    </row>
    <row r="100" spans="1:35" s="37" customFormat="1" ht="22.5" customHeight="1" x14ac:dyDescent="0.25">
      <c r="A100" s="101" t="s">
        <v>104</v>
      </c>
      <c r="B100" s="157">
        <f>H100+J100+L100+N100+P100+R100+T100+V100+X100+Z100+AB100+AD100</f>
        <v>35.463999999999999</v>
      </c>
      <c r="C100" s="158">
        <f>H100+J100+L100+N100+P100</f>
        <v>8.8659999999999997</v>
      </c>
      <c r="D100" s="159">
        <f>C100</f>
        <v>8.8659999999999997</v>
      </c>
      <c r="E100" s="158">
        <f>I100+K100+M100+O100+Q100+S100+U100+W100+Y100+AA100+AC100+AE100</f>
        <v>0</v>
      </c>
      <c r="F100" s="77">
        <f>E100/B100</f>
        <v>0</v>
      </c>
      <c r="G100" s="77">
        <f>E100/C100</f>
        <v>0</v>
      </c>
      <c r="H100" s="114"/>
      <c r="I100" s="114"/>
      <c r="J100" s="114"/>
      <c r="K100" s="114"/>
      <c r="L100" s="114"/>
      <c r="M100" s="114"/>
      <c r="N100" s="114">
        <f>4.433</f>
        <v>4.4329999999999998</v>
      </c>
      <c r="O100" s="114"/>
      <c r="P100" s="114">
        <v>4.4329999999999998</v>
      </c>
      <c r="Q100" s="114"/>
      <c r="R100" s="114">
        <v>4.4329999999999998</v>
      </c>
      <c r="S100" s="114"/>
      <c r="T100" s="114">
        <v>4.4329999999999998</v>
      </c>
      <c r="U100" s="114"/>
      <c r="V100" s="114">
        <v>4.4329999999999998</v>
      </c>
      <c r="W100" s="114"/>
      <c r="X100" s="114">
        <v>4.4329999999999998</v>
      </c>
      <c r="Y100" s="114"/>
      <c r="Z100" s="114">
        <v>4.4329999999999998</v>
      </c>
      <c r="AA100" s="114"/>
      <c r="AB100" s="114">
        <v>4.4329999999999998</v>
      </c>
      <c r="AC100" s="114"/>
      <c r="AD100" s="114"/>
      <c r="AE100" s="114"/>
      <c r="AF100" s="265"/>
      <c r="AG100" s="235"/>
      <c r="AH100" s="103"/>
      <c r="AI100" s="235"/>
    </row>
    <row r="101" spans="1:35" s="37" customFormat="1" ht="22.5" customHeight="1" x14ac:dyDescent="0.25">
      <c r="A101" s="122" t="s">
        <v>182</v>
      </c>
      <c r="B101" s="156">
        <f>B102+B103</f>
        <v>871.90563999999995</v>
      </c>
      <c r="C101" s="156">
        <f t="shared" ref="C101:E101" si="62">C102+C103</f>
        <v>183.82599999999999</v>
      </c>
      <c r="D101" s="156">
        <f t="shared" si="62"/>
        <v>183.82599999999999</v>
      </c>
      <c r="E101" s="156">
        <f t="shared" si="62"/>
        <v>6.4</v>
      </c>
      <c r="F101" s="77">
        <f t="shared" ref="F101:F102" si="63">E101/B101</f>
        <v>7.3402438364775354E-3</v>
      </c>
      <c r="G101" s="77">
        <f>E101/C101</f>
        <v>3.4815532079248861E-2</v>
      </c>
      <c r="H101" s="156">
        <f t="shared" ref="H101:AE101" si="64">H102+H103</f>
        <v>0</v>
      </c>
      <c r="I101" s="156">
        <f t="shared" si="64"/>
        <v>0</v>
      </c>
      <c r="J101" s="156">
        <f t="shared" si="64"/>
        <v>0</v>
      </c>
      <c r="K101" s="156">
        <f t="shared" si="64"/>
        <v>0</v>
      </c>
      <c r="L101" s="156">
        <f t="shared" si="64"/>
        <v>0</v>
      </c>
      <c r="M101" s="156">
        <f t="shared" si="64"/>
        <v>0</v>
      </c>
      <c r="N101" s="156">
        <f t="shared" si="64"/>
        <v>86.912999999999997</v>
      </c>
      <c r="O101" s="156">
        <f t="shared" si="64"/>
        <v>0</v>
      </c>
      <c r="P101" s="156">
        <f t="shared" si="64"/>
        <v>96.912999999999997</v>
      </c>
      <c r="Q101" s="156">
        <f t="shared" si="64"/>
        <v>6.4</v>
      </c>
      <c r="R101" s="156">
        <f t="shared" si="64"/>
        <v>106.913</v>
      </c>
      <c r="S101" s="156">
        <f t="shared" si="64"/>
        <v>0</v>
      </c>
      <c r="T101" s="156">
        <f t="shared" si="64"/>
        <v>106.913</v>
      </c>
      <c r="U101" s="156">
        <f t="shared" si="64"/>
        <v>0</v>
      </c>
      <c r="V101" s="156">
        <f t="shared" si="64"/>
        <v>106.913</v>
      </c>
      <c r="W101" s="156">
        <f t="shared" si="64"/>
        <v>0</v>
      </c>
      <c r="X101" s="156">
        <f t="shared" si="64"/>
        <v>106.913</v>
      </c>
      <c r="Y101" s="156">
        <f t="shared" si="64"/>
        <v>0</v>
      </c>
      <c r="Z101" s="156">
        <f t="shared" si="64"/>
        <v>106.913</v>
      </c>
      <c r="AA101" s="156">
        <f t="shared" si="64"/>
        <v>0</v>
      </c>
      <c r="AB101" s="156">
        <f t="shared" si="64"/>
        <v>106.913</v>
      </c>
      <c r="AC101" s="156">
        <f t="shared" si="64"/>
        <v>0</v>
      </c>
      <c r="AD101" s="156">
        <f t="shared" si="64"/>
        <v>46.601640000000003</v>
      </c>
      <c r="AE101" s="156">
        <f t="shared" si="64"/>
        <v>0</v>
      </c>
      <c r="AF101" s="265"/>
      <c r="AG101" s="235"/>
      <c r="AH101" s="103"/>
      <c r="AI101" s="235"/>
    </row>
    <row r="102" spans="1:35" s="37" customFormat="1" ht="22.5" customHeight="1" x14ac:dyDescent="0.25">
      <c r="A102" s="101" t="s">
        <v>103</v>
      </c>
      <c r="B102" s="157">
        <f>B97</f>
        <v>202.31999999999996</v>
      </c>
      <c r="C102" s="157">
        <f t="shared" ref="C102:E102" si="65">C97</f>
        <v>44.96</v>
      </c>
      <c r="D102" s="157">
        <f t="shared" si="65"/>
        <v>44.96</v>
      </c>
      <c r="E102" s="157">
        <f t="shared" si="65"/>
        <v>0</v>
      </c>
      <c r="F102" s="77">
        <f t="shared" si="63"/>
        <v>0</v>
      </c>
      <c r="G102" s="77">
        <f t="shared" ref="G102:G103" si="66">E102/C102</f>
        <v>0</v>
      </c>
      <c r="H102" s="157">
        <f t="shared" ref="H102:AE102" si="67">H97</f>
        <v>0</v>
      </c>
      <c r="I102" s="157">
        <f t="shared" si="67"/>
        <v>0</v>
      </c>
      <c r="J102" s="157">
        <f t="shared" si="67"/>
        <v>0</v>
      </c>
      <c r="K102" s="157">
        <f t="shared" si="67"/>
        <v>0</v>
      </c>
      <c r="L102" s="157">
        <f t="shared" si="67"/>
        <v>0</v>
      </c>
      <c r="M102" s="157">
        <f t="shared" si="67"/>
        <v>0</v>
      </c>
      <c r="N102" s="157">
        <f t="shared" si="67"/>
        <v>22.48</v>
      </c>
      <c r="O102" s="157">
        <f t="shared" si="67"/>
        <v>0</v>
      </c>
      <c r="P102" s="157">
        <f t="shared" si="67"/>
        <v>22.48</v>
      </c>
      <c r="Q102" s="157">
        <f t="shared" si="67"/>
        <v>0</v>
      </c>
      <c r="R102" s="157">
        <f t="shared" si="67"/>
        <v>22.48</v>
      </c>
      <c r="S102" s="157">
        <f t="shared" si="67"/>
        <v>0</v>
      </c>
      <c r="T102" s="157">
        <f t="shared" si="67"/>
        <v>22.48</v>
      </c>
      <c r="U102" s="157">
        <f t="shared" si="67"/>
        <v>0</v>
      </c>
      <c r="V102" s="157">
        <f t="shared" si="67"/>
        <v>22.48</v>
      </c>
      <c r="W102" s="157">
        <f t="shared" si="67"/>
        <v>0</v>
      </c>
      <c r="X102" s="157">
        <f t="shared" si="67"/>
        <v>22.48</v>
      </c>
      <c r="Y102" s="157">
        <f t="shared" si="67"/>
        <v>0</v>
      </c>
      <c r="Z102" s="157">
        <f t="shared" si="67"/>
        <v>22.48</v>
      </c>
      <c r="AA102" s="157">
        <f t="shared" si="67"/>
        <v>0</v>
      </c>
      <c r="AB102" s="157">
        <f t="shared" si="67"/>
        <v>22.48</v>
      </c>
      <c r="AC102" s="157">
        <f t="shared" si="67"/>
        <v>0</v>
      </c>
      <c r="AD102" s="157">
        <f t="shared" si="67"/>
        <v>22.48</v>
      </c>
      <c r="AE102" s="157">
        <f t="shared" si="67"/>
        <v>0</v>
      </c>
      <c r="AF102" s="265"/>
      <c r="AG102" s="235"/>
      <c r="AH102" s="103"/>
      <c r="AI102" s="235"/>
    </row>
    <row r="103" spans="1:35" s="37" customFormat="1" ht="22.5" customHeight="1" x14ac:dyDescent="0.25">
      <c r="A103" s="101" t="s">
        <v>104</v>
      </c>
      <c r="B103" s="157">
        <f>B98+B100</f>
        <v>669.58564000000001</v>
      </c>
      <c r="C103" s="157">
        <f>C98+C100</f>
        <v>138.86599999999999</v>
      </c>
      <c r="D103" s="157">
        <f t="shared" ref="D103:E103" si="68">D98+D100</f>
        <v>138.86599999999999</v>
      </c>
      <c r="E103" s="157">
        <f t="shared" si="68"/>
        <v>6.4</v>
      </c>
      <c r="F103" s="208">
        <f>E103/B103</f>
        <v>9.5581500224526921E-3</v>
      </c>
      <c r="G103" s="208">
        <f t="shared" si="66"/>
        <v>4.6087595235694848E-2</v>
      </c>
      <c r="H103" s="157">
        <f t="shared" ref="H103:AE103" si="69">H98+H100</f>
        <v>0</v>
      </c>
      <c r="I103" s="157">
        <f t="shared" si="69"/>
        <v>0</v>
      </c>
      <c r="J103" s="157">
        <f t="shared" si="69"/>
        <v>0</v>
      </c>
      <c r="K103" s="157">
        <f t="shared" si="69"/>
        <v>0</v>
      </c>
      <c r="L103" s="157">
        <f t="shared" si="69"/>
        <v>0</v>
      </c>
      <c r="M103" s="157">
        <f t="shared" si="69"/>
        <v>0</v>
      </c>
      <c r="N103" s="157">
        <f t="shared" si="69"/>
        <v>64.432999999999993</v>
      </c>
      <c r="O103" s="157">
        <f t="shared" si="69"/>
        <v>0</v>
      </c>
      <c r="P103" s="157">
        <f t="shared" si="69"/>
        <v>74.432999999999993</v>
      </c>
      <c r="Q103" s="157">
        <f t="shared" si="69"/>
        <v>6.4</v>
      </c>
      <c r="R103" s="157">
        <f t="shared" si="69"/>
        <v>84.432999999999993</v>
      </c>
      <c r="S103" s="157">
        <f t="shared" si="69"/>
        <v>0</v>
      </c>
      <c r="T103" s="157">
        <f t="shared" si="69"/>
        <v>84.432999999999993</v>
      </c>
      <c r="U103" s="157">
        <f t="shared" si="69"/>
        <v>0</v>
      </c>
      <c r="V103" s="157">
        <f t="shared" si="69"/>
        <v>84.432999999999993</v>
      </c>
      <c r="W103" s="157">
        <f t="shared" si="69"/>
        <v>0</v>
      </c>
      <c r="X103" s="157">
        <f t="shared" si="69"/>
        <v>84.432999999999993</v>
      </c>
      <c r="Y103" s="157">
        <f t="shared" si="69"/>
        <v>0</v>
      </c>
      <c r="Z103" s="157">
        <f t="shared" si="69"/>
        <v>84.432999999999993</v>
      </c>
      <c r="AA103" s="157">
        <f t="shared" si="69"/>
        <v>0</v>
      </c>
      <c r="AB103" s="157">
        <f t="shared" si="69"/>
        <v>84.432999999999993</v>
      </c>
      <c r="AC103" s="157">
        <f t="shared" si="69"/>
        <v>0</v>
      </c>
      <c r="AD103" s="157">
        <f t="shared" si="69"/>
        <v>24.121639999999999</v>
      </c>
      <c r="AE103" s="157">
        <f t="shared" si="69"/>
        <v>0</v>
      </c>
      <c r="AF103" s="266"/>
      <c r="AG103" s="235"/>
      <c r="AH103" s="103"/>
      <c r="AI103" s="235"/>
    </row>
    <row r="104" spans="1:35" s="37" customFormat="1" ht="22.5" customHeight="1" x14ac:dyDescent="0.25">
      <c r="A104" s="209" t="s">
        <v>183</v>
      </c>
      <c r="B104" s="162">
        <f>B105+B106</f>
        <v>2188.5970200000002</v>
      </c>
      <c r="C104" s="162">
        <f t="shared" ref="C104:E104" si="70">C105+C106</f>
        <v>485.32988</v>
      </c>
      <c r="D104" s="162">
        <f t="shared" si="70"/>
        <v>485.32988</v>
      </c>
      <c r="E104" s="162">
        <f t="shared" si="70"/>
        <v>9.5</v>
      </c>
      <c r="F104" s="200">
        <f t="shared" ref="F104:F105" si="71">E104/B104</f>
        <v>4.3406803140031685E-3</v>
      </c>
      <c r="G104" s="200">
        <f>E104/C104</f>
        <v>1.9574315102956364E-2</v>
      </c>
      <c r="H104" s="162">
        <f>H105+H106</f>
        <v>0</v>
      </c>
      <c r="I104" s="162">
        <f>I105+I106</f>
        <v>0</v>
      </c>
      <c r="J104" s="162">
        <f t="shared" ref="J104:AE104" si="72">J105+J106</f>
        <v>0</v>
      </c>
      <c r="K104" s="162">
        <f t="shared" si="72"/>
        <v>0</v>
      </c>
      <c r="L104" s="162">
        <f t="shared" si="72"/>
        <v>0</v>
      </c>
      <c r="M104" s="162">
        <f t="shared" si="72"/>
        <v>0</v>
      </c>
      <c r="N104" s="162">
        <f t="shared" si="72"/>
        <v>220.66955000000002</v>
      </c>
      <c r="O104" s="162">
        <f t="shared" si="72"/>
        <v>0</v>
      </c>
      <c r="P104" s="162">
        <f t="shared" si="72"/>
        <v>264.66032999999999</v>
      </c>
      <c r="Q104" s="162">
        <f t="shared" si="72"/>
        <v>9.5</v>
      </c>
      <c r="R104" s="162">
        <f t="shared" si="72"/>
        <v>236.23655000000002</v>
      </c>
      <c r="S104" s="162">
        <f t="shared" si="72"/>
        <v>0</v>
      </c>
      <c r="T104" s="162">
        <f t="shared" si="72"/>
        <v>269.82159999999999</v>
      </c>
      <c r="U104" s="162">
        <f t="shared" si="72"/>
        <v>0</v>
      </c>
      <c r="V104" s="162">
        <f t="shared" si="72"/>
        <v>236.23655000000002</v>
      </c>
      <c r="W104" s="162">
        <f t="shared" si="72"/>
        <v>0</v>
      </c>
      <c r="X104" s="162">
        <f t="shared" si="72"/>
        <v>273.86448000000001</v>
      </c>
      <c r="Y104" s="162">
        <f t="shared" si="72"/>
        <v>0</v>
      </c>
      <c r="Z104" s="162">
        <f t="shared" si="72"/>
        <v>236.23653999999999</v>
      </c>
      <c r="AA104" s="162">
        <f t="shared" si="72"/>
        <v>0</v>
      </c>
      <c r="AB104" s="162">
        <f t="shared" si="72"/>
        <v>264.99847999999997</v>
      </c>
      <c r="AC104" s="162">
        <f t="shared" si="72"/>
        <v>0</v>
      </c>
      <c r="AD104" s="162">
        <f t="shared" si="72"/>
        <v>185.87293999999997</v>
      </c>
      <c r="AE104" s="162">
        <f t="shared" si="72"/>
        <v>0</v>
      </c>
      <c r="AF104" s="265"/>
      <c r="AG104" s="235"/>
      <c r="AH104" s="103"/>
      <c r="AI104" s="235"/>
    </row>
    <row r="105" spans="1:35" s="37" customFormat="1" ht="22.5" customHeight="1" x14ac:dyDescent="0.25">
      <c r="A105" s="101" t="s">
        <v>103</v>
      </c>
      <c r="B105" s="157">
        <f>B72+B82+B92+B102</f>
        <v>505.79999999999995</v>
      </c>
      <c r="C105" s="157">
        <f>C72+C82+C92+C102</f>
        <v>112.4</v>
      </c>
      <c r="D105" s="157">
        <f t="shared" ref="C105:E106" si="73">D72+D82+D92+D102</f>
        <v>112.4</v>
      </c>
      <c r="E105" s="157">
        <f t="shared" si="73"/>
        <v>0.8</v>
      </c>
      <c r="F105" s="77">
        <f t="shared" si="71"/>
        <v>1.5816528272044289E-3</v>
      </c>
      <c r="G105" s="77">
        <f t="shared" ref="G105:G106" si="74">E105/C105</f>
        <v>7.1174377224199285E-3</v>
      </c>
      <c r="H105" s="157">
        <f t="shared" ref="H105:AE106" si="75">H72+H82+H92+H102</f>
        <v>0</v>
      </c>
      <c r="I105" s="157">
        <f t="shared" si="75"/>
        <v>0</v>
      </c>
      <c r="J105" s="157">
        <f t="shared" si="75"/>
        <v>0</v>
      </c>
      <c r="K105" s="157">
        <f t="shared" si="75"/>
        <v>0</v>
      </c>
      <c r="L105" s="157">
        <f t="shared" si="75"/>
        <v>0</v>
      </c>
      <c r="M105" s="157">
        <f t="shared" si="75"/>
        <v>0</v>
      </c>
      <c r="N105" s="157">
        <f t="shared" si="75"/>
        <v>56.2</v>
      </c>
      <c r="O105" s="157">
        <f t="shared" si="75"/>
        <v>0</v>
      </c>
      <c r="P105" s="157">
        <f t="shared" si="75"/>
        <v>56.2</v>
      </c>
      <c r="Q105" s="157">
        <f t="shared" si="75"/>
        <v>0.8</v>
      </c>
      <c r="R105" s="157">
        <f t="shared" si="75"/>
        <v>56.2</v>
      </c>
      <c r="S105" s="157">
        <f t="shared" si="75"/>
        <v>0</v>
      </c>
      <c r="T105" s="157">
        <f t="shared" si="75"/>
        <v>56.2</v>
      </c>
      <c r="U105" s="157">
        <f t="shared" si="75"/>
        <v>0</v>
      </c>
      <c r="V105" s="157">
        <f t="shared" si="75"/>
        <v>56.2</v>
      </c>
      <c r="W105" s="157">
        <f t="shared" si="75"/>
        <v>0</v>
      </c>
      <c r="X105" s="157">
        <f t="shared" si="75"/>
        <v>56.2</v>
      </c>
      <c r="Y105" s="157">
        <f t="shared" si="75"/>
        <v>0</v>
      </c>
      <c r="Z105" s="157">
        <f t="shared" si="75"/>
        <v>56.2</v>
      </c>
      <c r="AA105" s="157">
        <f t="shared" si="75"/>
        <v>0</v>
      </c>
      <c r="AB105" s="157">
        <f t="shared" si="75"/>
        <v>56.2</v>
      </c>
      <c r="AC105" s="157">
        <f t="shared" si="75"/>
        <v>0</v>
      </c>
      <c r="AD105" s="157">
        <f t="shared" si="75"/>
        <v>56.2</v>
      </c>
      <c r="AE105" s="157">
        <f t="shared" si="75"/>
        <v>0</v>
      </c>
      <c r="AF105" s="265"/>
      <c r="AG105" s="235"/>
      <c r="AH105" s="103"/>
      <c r="AI105" s="235"/>
    </row>
    <row r="106" spans="1:35" s="37" customFormat="1" ht="22.5" customHeight="1" x14ac:dyDescent="0.25">
      <c r="A106" s="101" t="s">
        <v>104</v>
      </c>
      <c r="B106" s="157">
        <f>B73+B83+B93+B103</f>
        <v>1682.79702</v>
      </c>
      <c r="C106" s="157">
        <f t="shared" si="73"/>
        <v>372.92987999999997</v>
      </c>
      <c r="D106" s="157">
        <f t="shared" si="73"/>
        <v>372.92987999999997</v>
      </c>
      <c r="E106" s="157">
        <f t="shared" si="73"/>
        <v>8.6999999999999993</v>
      </c>
      <c r="F106" s="208">
        <f>E106/B106</f>
        <v>5.1699639924487149E-3</v>
      </c>
      <c r="G106" s="208">
        <f t="shared" si="74"/>
        <v>2.3328782343747839E-2</v>
      </c>
      <c r="H106" s="157">
        <f>H73+H83+H93+H103</f>
        <v>0</v>
      </c>
      <c r="I106" s="157">
        <f t="shared" si="75"/>
        <v>0</v>
      </c>
      <c r="J106" s="157">
        <f t="shared" si="75"/>
        <v>0</v>
      </c>
      <c r="K106" s="157">
        <f t="shared" si="75"/>
        <v>0</v>
      </c>
      <c r="L106" s="157">
        <f t="shared" si="75"/>
        <v>0</v>
      </c>
      <c r="M106" s="157">
        <f t="shared" si="75"/>
        <v>0</v>
      </c>
      <c r="N106" s="157">
        <f t="shared" si="75"/>
        <v>164.46955</v>
      </c>
      <c r="O106" s="157">
        <f t="shared" si="75"/>
        <v>0</v>
      </c>
      <c r="P106" s="157">
        <f t="shared" si="75"/>
        <v>208.46033</v>
      </c>
      <c r="Q106" s="157">
        <f t="shared" si="75"/>
        <v>8.6999999999999993</v>
      </c>
      <c r="R106" s="157">
        <f t="shared" si="75"/>
        <v>180.03655000000001</v>
      </c>
      <c r="S106" s="157">
        <f t="shared" si="75"/>
        <v>0</v>
      </c>
      <c r="T106" s="157">
        <f t="shared" si="75"/>
        <v>213.6216</v>
      </c>
      <c r="U106" s="157">
        <f t="shared" si="75"/>
        <v>0</v>
      </c>
      <c r="V106" s="157">
        <f t="shared" si="75"/>
        <v>180.03655000000001</v>
      </c>
      <c r="W106" s="157">
        <f t="shared" si="75"/>
        <v>0</v>
      </c>
      <c r="X106" s="157">
        <f t="shared" si="75"/>
        <v>217.66448</v>
      </c>
      <c r="Y106" s="157">
        <f t="shared" si="75"/>
        <v>0</v>
      </c>
      <c r="Z106" s="157">
        <f t="shared" si="75"/>
        <v>180.03654</v>
      </c>
      <c r="AA106" s="157">
        <f t="shared" si="75"/>
        <v>0</v>
      </c>
      <c r="AB106" s="157">
        <f t="shared" si="75"/>
        <v>208.79847999999998</v>
      </c>
      <c r="AC106" s="157">
        <f t="shared" si="75"/>
        <v>0</v>
      </c>
      <c r="AD106" s="157">
        <f>AD73+AD83+AD93+AD103</f>
        <v>129.67293999999998</v>
      </c>
      <c r="AE106" s="157">
        <f t="shared" si="75"/>
        <v>0</v>
      </c>
      <c r="AF106" s="266"/>
      <c r="AG106" s="235"/>
      <c r="AH106" s="103"/>
      <c r="AI106" s="235"/>
    </row>
    <row r="107" spans="1:35" s="37" customFormat="1" ht="21.75" customHeight="1" x14ac:dyDescent="0.25">
      <c r="A107" s="65" t="s">
        <v>159</v>
      </c>
      <c r="B107" s="147">
        <f>B108+B109</f>
        <v>6736.5970200000002</v>
      </c>
      <c r="C107" s="147">
        <f>C109+C108</f>
        <v>1347.90788</v>
      </c>
      <c r="D107" s="147">
        <f>D109+D108</f>
        <v>1347.90788</v>
      </c>
      <c r="E107" s="147">
        <f>E109+E108</f>
        <v>345.57082000000003</v>
      </c>
      <c r="F107" s="66">
        <f>E107/B107</f>
        <v>5.1297534790050427E-2</v>
      </c>
      <c r="G107" s="66">
        <f>E107/C107</f>
        <v>0.25637569534796401</v>
      </c>
      <c r="H107" s="168">
        <f t="shared" ref="H107:M107" si="76">H109+H108</f>
        <v>33.1</v>
      </c>
      <c r="I107" s="168">
        <f t="shared" si="76"/>
        <v>0</v>
      </c>
      <c r="J107" s="168">
        <f t="shared" si="76"/>
        <v>105.52</v>
      </c>
      <c r="K107" s="168">
        <f t="shared" si="76"/>
        <v>0</v>
      </c>
      <c r="L107" s="168">
        <f t="shared" si="76"/>
        <v>115.492</v>
      </c>
      <c r="M107" s="168">
        <f t="shared" si="76"/>
        <v>50.880260000000007</v>
      </c>
      <c r="N107" s="168">
        <f t="shared" ref="N107:AE107" si="77">N109+N108</f>
        <v>406.22354999999999</v>
      </c>
      <c r="O107" s="168">
        <f t="shared" si="77"/>
        <v>127.16199999999999</v>
      </c>
      <c r="P107" s="168">
        <f t="shared" si="77"/>
        <v>687.57232999999997</v>
      </c>
      <c r="Q107" s="168">
        <f t="shared" si="77"/>
        <v>167.52856</v>
      </c>
      <c r="R107" s="168">
        <f t="shared" si="77"/>
        <v>808.18855000000008</v>
      </c>
      <c r="S107" s="168">
        <f t="shared" si="77"/>
        <v>0</v>
      </c>
      <c r="T107" s="168">
        <f>T109+T108</f>
        <v>1090.0756000000001</v>
      </c>
      <c r="U107" s="168">
        <f>U109+U108</f>
        <v>0</v>
      </c>
      <c r="V107" s="168">
        <f t="shared" si="77"/>
        <v>975.55455000000006</v>
      </c>
      <c r="W107" s="168">
        <f t="shared" si="77"/>
        <v>0</v>
      </c>
      <c r="X107" s="168">
        <f t="shared" si="77"/>
        <v>1004.97248</v>
      </c>
      <c r="Y107" s="168">
        <f t="shared" si="77"/>
        <v>0</v>
      </c>
      <c r="Z107" s="168">
        <f t="shared" si="77"/>
        <v>797.88354000000004</v>
      </c>
      <c r="AA107" s="168">
        <f t="shared" si="77"/>
        <v>0</v>
      </c>
      <c r="AB107" s="168">
        <f t="shared" si="77"/>
        <v>421.87148000000002</v>
      </c>
      <c r="AC107" s="168">
        <f t="shared" si="77"/>
        <v>0</v>
      </c>
      <c r="AD107" s="168">
        <f t="shared" si="77"/>
        <v>290.14294000000001</v>
      </c>
      <c r="AE107" s="168">
        <f t="shared" si="77"/>
        <v>0</v>
      </c>
      <c r="AF107" s="67"/>
      <c r="AG107" s="235"/>
      <c r="AH107" s="103"/>
      <c r="AI107" s="235"/>
    </row>
    <row r="108" spans="1:35" s="37" customFormat="1" ht="28.5" customHeight="1" x14ac:dyDescent="0.25">
      <c r="A108" s="83" t="s">
        <v>103</v>
      </c>
      <c r="B108" s="105">
        <f>B52+B62+B105</f>
        <v>1534.3</v>
      </c>
      <c r="C108" s="105">
        <f>C52+C62+C105</f>
        <v>264.18</v>
      </c>
      <c r="D108" s="105">
        <f t="shared" ref="D108" si="78">D52+D62+D105</f>
        <v>264.18</v>
      </c>
      <c r="E108" s="105">
        <f>E52+E62+E105</f>
        <v>61.071359999999999</v>
      </c>
      <c r="F108" s="128">
        <f>E108/B108</f>
        <v>3.980405396597797E-2</v>
      </c>
      <c r="G108" s="105">
        <f>E108/C108</f>
        <v>0.23117329093799682</v>
      </c>
      <c r="H108" s="105">
        <f>H52+H62+H105</f>
        <v>0</v>
      </c>
      <c r="I108" s="105">
        <f t="shared" ref="I108:AE108" si="79">I52+I62+I105</f>
        <v>0</v>
      </c>
      <c r="J108" s="105">
        <f t="shared" si="79"/>
        <v>16.86</v>
      </c>
      <c r="K108" s="105">
        <f t="shared" si="79"/>
        <v>0</v>
      </c>
      <c r="L108" s="105">
        <f t="shared" si="79"/>
        <v>16.86</v>
      </c>
      <c r="M108" s="105">
        <f t="shared" si="79"/>
        <v>0</v>
      </c>
      <c r="N108" s="105">
        <f>N52+N62+N105</f>
        <v>73.06</v>
      </c>
      <c r="O108" s="105">
        <f t="shared" si="79"/>
        <v>35.86</v>
      </c>
      <c r="P108" s="105">
        <f t="shared" si="79"/>
        <v>157.4</v>
      </c>
      <c r="Q108" s="105">
        <f t="shared" si="79"/>
        <v>25.211360000000003</v>
      </c>
      <c r="R108" s="105">
        <f t="shared" si="79"/>
        <v>157.36000000000001</v>
      </c>
      <c r="S108" s="105">
        <f t="shared" si="79"/>
        <v>0</v>
      </c>
      <c r="T108" s="105">
        <f t="shared" si="79"/>
        <v>241.66000000000003</v>
      </c>
      <c r="U108" s="105">
        <f t="shared" si="79"/>
        <v>0</v>
      </c>
      <c r="V108" s="105">
        <f t="shared" si="79"/>
        <v>224.8</v>
      </c>
      <c r="W108" s="105">
        <f t="shared" si="79"/>
        <v>0</v>
      </c>
      <c r="X108" s="105">
        <f t="shared" si="79"/>
        <v>241.65999999999997</v>
      </c>
      <c r="Y108" s="105">
        <f t="shared" si="79"/>
        <v>0</v>
      </c>
      <c r="Z108" s="105">
        <f t="shared" si="79"/>
        <v>207.94</v>
      </c>
      <c r="AA108" s="105">
        <f t="shared" si="79"/>
        <v>0</v>
      </c>
      <c r="AB108" s="105">
        <f t="shared" si="79"/>
        <v>106.78</v>
      </c>
      <c r="AC108" s="105">
        <f t="shared" si="79"/>
        <v>0</v>
      </c>
      <c r="AD108" s="105">
        <f t="shared" si="79"/>
        <v>89.92</v>
      </c>
      <c r="AE108" s="105">
        <f t="shared" si="79"/>
        <v>0</v>
      </c>
      <c r="AF108" s="105"/>
      <c r="AG108" s="235"/>
      <c r="AH108" s="103"/>
      <c r="AI108" s="235"/>
    </row>
    <row r="109" spans="1:35" s="35" customFormat="1" ht="26.25" customHeight="1" x14ac:dyDescent="0.25">
      <c r="A109" s="80" t="s">
        <v>104</v>
      </c>
      <c r="B109" s="142">
        <f>B53+B63+B106</f>
        <v>5202.29702</v>
      </c>
      <c r="C109" s="142">
        <f t="shared" ref="C109:D109" si="80">C53+C63+C106</f>
        <v>1083.7278799999999</v>
      </c>
      <c r="D109" s="142">
        <f t="shared" si="80"/>
        <v>1083.7278799999999</v>
      </c>
      <c r="E109" s="142">
        <f>E53+E63+E106</f>
        <v>284.49946</v>
      </c>
      <c r="F109" s="127">
        <f>E109/B109</f>
        <v>5.4687277351957116E-2</v>
      </c>
      <c r="G109" s="127">
        <f>E109/C109</f>
        <v>0.26251927744075387</v>
      </c>
      <c r="H109" s="142">
        <f>H53+H63+H106</f>
        <v>33.1</v>
      </c>
      <c r="I109" s="142">
        <f t="shared" ref="I109:AE109" si="81">I53+I63+I106</f>
        <v>0</v>
      </c>
      <c r="J109" s="142">
        <f>J53+J63+J106</f>
        <v>88.66</v>
      </c>
      <c r="K109" s="142">
        <f t="shared" si="81"/>
        <v>0</v>
      </c>
      <c r="L109" s="142">
        <f t="shared" si="81"/>
        <v>98.632000000000005</v>
      </c>
      <c r="M109" s="142">
        <f t="shared" si="81"/>
        <v>50.880260000000007</v>
      </c>
      <c r="N109" s="142">
        <f t="shared" si="81"/>
        <v>333.16354999999999</v>
      </c>
      <c r="O109" s="142">
        <f t="shared" si="81"/>
        <v>91.301999999999992</v>
      </c>
      <c r="P109" s="142">
        <f t="shared" si="81"/>
        <v>530.17232999999999</v>
      </c>
      <c r="Q109" s="142">
        <f t="shared" si="81"/>
        <v>142.31719999999999</v>
      </c>
      <c r="R109" s="142">
        <f t="shared" si="81"/>
        <v>650.82855000000006</v>
      </c>
      <c r="S109" s="142">
        <f t="shared" si="81"/>
        <v>0</v>
      </c>
      <c r="T109" s="142">
        <f t="shared" si="81"/>
        <v>848.41560000000004</v>
      </c>
      <c r="U109" s="142">
        <f t="shared" si="81"/>
        <v>0</v>
      </c>
      <c r="V109" s="142">
        <f t="shared" si="81"/>
        <v>750.75455000000011</v>
      </c>
      <c r="W109" s="142">
        <f t="shared" si="81"/>
        <v>0</v>
      </c>
      <c r="X109" s="142">
        <f t="shared" si="81"/>
        <v>763.31248000000005</v>
      </c>
      <c r="Y109" s="142">
        <f t="shared" si="81"/>
        <v>0</v>
      </c>
      <c r="Z109" s="142">
        <f t="shared" si="81"/>
        <v>589.94353999999998</v>
      </c>
      <c r="AA109" s="142">
        <f t="shared" si="81"/>
        <v>0</v>
      </c>
      <c r="AB109" s="142">
        <f t="shared" si="81"/>
        <v>315.09147999999999</v>
      </c>
      <c r="AC109" s="142">
        <f t="shared" si="81"/>
        <v>0</v>
      </c>
      <c r="AD109" s="142">
        <f>AD53+AD63+AD106</f>
        <v>200.22293999999999</v>
      </c>
      <c r="AE109" s="142">
        <f t="shared" si="81"/>
        <v>0</v>
      </c>
      <c r="AF109" s="73"/>
      <c r="AG109" s="235"/>
      <c r="AH109" s="103"/>
      <c r="AI109" s="235"/>
    </row>
    <row r="110" spans="1:35" s="37" customFormat="1" ht="146.25" hidden="1" customHeight="1" x14ac:dyDescent="0.25">
      <c r="A110" s="203" t="s">
        <v>165</v>
      </c>
      <c r="B110" s="159"/>
      <c r="C110" s="204"/>
      <c r="D110" s="204"/>
      <c r="E110" s="205"/>
      <c r="F110" s="206"/>
      <c r="G110" s="206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05"/>
      <c r="X110" s="205"/>
      <c r="Y110" s="205"/>
      <c r="Z110" s="205"/>
      <c r="AA110" s="205"/>
      <c r="AB110" s="205"/>
      <c r="AC110" s="205"/>
      <c r="AD110" s="207"/>
      <c r="AE110" s="195"/>
      <c r="AF110" s="197" t="s">
        <v>167</v>
      </c>
      <c r="AG110" s="235"/>
      <c r="AH110" s="103"/>
      <c r="AI110" s="235"/>
    </row>
    <row r="111" spans="1:35" s="37" customFormat="1" hidden="1" x14ac:dyDescent="0.25">
      <c r="A111" s="65" t="s">
        <v>25</v>
      </c>
      <c r="B111" s="147">
        <f>B112</f>
        <v>0</v>
      </c>
      <c r="C111" s="147">
        <f>C112</f>
        <v>0</v>
      </c>
      <c r="D111" s="147">
        <f>D112</f>
        <v>0</v>
      </c>
      <c r="E111" s="147">
        <f t="shared" ref="E111:AE111" si="82">E112</f>
        <v>0</v>
      </c>
      <c r="F111" s="66" t="e">
        <f>E111/B111</f>
        <v>#DIV/0!</v>
      </c>
      <c r="G111" s="66" t="e">
        <f>E111/C111</f>
        <v>#DIV/0!</v>
      </c>
      <c r="H111" s="147">
        <f>H112</f>
        <v>0</v>
      </c>
      <c r="I111" s="147">
        <f t="shared" si="82"/>
        <v>0</v>
      </c>
      <c r="J111" s="147">
        <f t="shared" si="82"/>
        <v>0</v>
      </c>
      <c r="K111" s="147">
        <f t="shared" si="82"/>
        <v>0</v>
      </c>
      <c r="L111" s="147">
        <f t="shared" si="82"/>
        <v>0</v>
      </c>
      <c r="M111" s="147">
        <f t="shared" si="82"/>
        <v>0</v>
      </c>
      <c r="N111" s="147">
        <f t="shared" si="82"/>
        <v>0</v>
      </c>
      <c r="O111" s="147">
        <f t="shared" si="82"/>
        <v>0</v>
      </c>
      <c r="P111" s="147">
        <f t="shared" si="82"/>
        <v>0</v>
      </c>
      <c r="Q111" s="147">
        <f t="shared" si="82"/>
        <v>0</v>
      </c>
      <c r="R111" s="147">
        <f t="shared" si="82"/>
        <v>0</v>
      </c>
      <c r="S111" s="147">
        <f t="shared" si="82"/>
        <v>0</v>
      </c>
      <c r="T111" s="147">
        <f t="shared" si="82"/>
        <v>0</v>
      </c>
      <c r="U111" s="147">
        <f t="shared" si="82"/>
        <v>0</v>
      </c>
      <c r="V111" s="147">
        <f t="shared" si="82"/>
        <v>0</v>
      </c>
      <c r="W111" s="147">
        <f t="shared" si="82"/>
        <v>0</v>
      </c>
      <c r="X111" s="147">
        <f t="shared" si="82"/>
        <v>0</v>
      </c>
      <c r="Y111" s="147">
        <f t="shared" si="82"/>
        <v>0</v>
      </c>
      <c r="Z111" s="147">
        <f t="shared" si="82"/>
        <v>0</v>
      </c>
      <c r="AA111" s="147">
        <f t="shared" si="82"/>
        <v>0</v>
      </c>
      <c r="AB111" s="147">
        <f t="shared" si="82"/>
        <v>0</v>
      </c>
      <c r="AC111" s="147">
        <f t="shared" si="82"/>
        <v>0</v>
      </c>
      <c r="AD111" s="147">
        <f t="shared" si="82"/>
        <v>0</v>
      </c>
      <c r="AE111" s="171">
        <f t="shared" si="82"/>
        <v>0</v>
      </c>
      <c r="AF111" s="39"/>
      <c r="AG111" s="235"/>
      <c r="AH111" s="103"/>
      <c r="AI111" s="235"/>
    </row>
    <row r="112" spans="1:35" s="37" customFormat="1" ht="20.25" hidden="1" customHeight="1" x14ac:dyDescent="0.25">
      <c r="A112" s="68" t="s">
        <v>103</v>
      </c>
      <c r="B112" s="140">
        <f>H112+J112+L112+N112+P112+R112+T112+V112+X112+Z112+AB112+AD112</f>
        <v>0</v>
      </c>
      <c r="C112" s="141">
        <f>H112+J112+L112+N112+P112+R112+T112+V112+X112+Z112+AB112</f>
        <v>0</v>
      </c>
      <c r="D112" s="141">
        <v>0</v>
      </c>
      <c r="E112" s="141">
        <f>I112+K112+M112+O112+Q112+S112+U112+W112+Y112+AA112+AC112+AE112</f>
        <v>0</v>
      </c>
      <c r="F112" s="71" t="e">
        <f>E112/B112</f>
        <v>#DIV/0!</v>
      </c>
      <c r="G112" s="71" t="e">
        <f>E112/C112</f>
        <v>#DIV/0!</v>
      </c>
      <c r="H112" s="141">
        <v>0</v>
      </c>
      <c r="I112" s="141">
        <v>0</v>
      </c>
      <c r="J112" s="141">
        <v>0</v>
      </c>
      <c r="K112" s="141">
        <v>0</v>
      </c>
      <c r="L112" s="141">
        <v>0</v>
      </c>
      <c r="M112" s="141">
        <v>0</v>
      </c>
      <c r="N112" s="141">
        <v>0</v>
      </c>
      <c r="O112" s="141">
        <v>0</v>
      </c>
      <c r="P112" s="141">
        <v>0</v>
      </c>
      <c r="Q112" s="141">
        <v>0</v>
      </c>
      <c r="R112" s="141">
        <v>0</v>
      </c>
      <c r="S112" s="141">
        <v>0</v>
      </c>
      <c r="T112" s="141"/>
      <c r="U112" s="141"/>
      <c r="V112" s="141">
        <v>0</v>
      </c>
      <c r="W112" s="141">
        <v>0</v>
      </c>
      <c r="X112" s="141">
        <v>0</v>
      </c>
      <c r="Y112" s="141">
        <v>0</v>
      </c>
      <c r="Z112" s="141"/>
      <c r="AA112" s="141"/>
      <c r="AB112" s="141"/>
      <c r="AC112" s="141">
        <v>0</v>
      </c>
      <c r="AD112" s="141">
        <v>0</v>
      </c>
      <c r="AE112" s="182">
        <v>0</v>
      </c>
      <c r="AF112" s="70"/>
      <c r="AG112" s="235"/>
      <c r="AH112" s="103"/>
      <c r="AI112" s="235"/>
    </row>
    <row r="113" spans="1:35" s="37" customFormat="1" ht="87.75" customHeight="1" x14ac:dyDescent="0.25">
      <c r="A113" s="64" t="s">
        <v>174</v>
      </c>
      <c r="B113" s="198"/>
      <c r="C113" s="199"/>
      <c r="D113" s="199"/>
      <c r="E113" s="199"/>
      <c r="F113" s="200"/>
      <c r="G113" s="200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84"/>
      <c r="AF113" s="201"/>
      <c r="AG113" s="235"/>
      <c r="AH113" s="103"/>
      <c r="AI113" s="235"/>
    </row>
    <row r="114" spans="1:35" s="37" customFormat="1" x14ac:dyDescent="0.25">
      <c r="A114" s="85" t="s">
        <v>25</v>
      </c>
      <c r="B114" s="147">
        <f>B115+B116</f>
        <v>50</v>
      </c>
      <c r="C114" s="147">
        <f>C115+C116</f>
        <v>0</v>
      </c>
      <c r="D114" s="147">
        <f>D115+D116</f>
        <v>0</v>
      </c>
      <c r="E114" s="147">
        <f>E115+E116</f>
        <v>0</v>
      </c>
      <c r="F114" s="66">
        <f>E114/B114</f>
        <v>0</v>
      </c>
      <c r="G114" s="66">
        <f t="shared" ref="G114:G120" si="83">IFERROR(E114/C114,0)</f>
        <v>0</v>
      </c>
      <c r="H114" s="147">
        <f>H115+H116</f>
        <v>0</v>
      </c>
      <c r="I114" s="147">
        <f>I115+I116</f>
        <v>0</v>
      </c>
      <c r="J114" s="147">
        <f t="shared" ref="J114:AE114" si="84">J115+J116</f>
        <v>0</v>
      </c>
      <c r="K114" s="147">
        <f t="shared" si="84"/>
        <v>0</v>
      </c>
      <c r="L114" s="147">
        <f t="shared" si="84"/>
        <v>0</v>
      </c>
      <c r="M114" s="147">
        <f t="shared" si="84"/>
        <v>0</v>
      </c>
      <c r="N114" s="147">
        <f t="shared" si="84"/>
        <v>0</v>
      </c>
      <c r="O114" s="147">
        <f t="shared" si="84"/>
        <v>0</v>
      </c>
      <c r="P114" s="147">
        <f t="shared" si="84"/>
        <v>0</v>
      </c>
      <c r="Q114" s="147">
        <f t="shared" si="84"/>
        <v>0</v>
      </c>
      <c r="R114" s="147">
        <f t="shared" si="84"/>
        <v>0</v>
      </c>
      <c r="S114" s="147">
        <f t="shared" si="84"/>
        <v>0</v>
      </c>
      <c r="T114" s="147">
        <f t="shared" si="84"/>
        <v>0</v>
      </c>
      <c r="U114" s="147">
        <f t="shared" si="84"/>
        <v>0</v>
      </c>
      <c r="V114" s="147">
        <f t="shared" si="84"/>
        <v>0</v>
      </c>
      <c r="W114" s="147">
        <f t="shared" si="84"/>
        <v>0</v>
      </c>
      <c r="X114" s="147">
        <f t="shared" si="84"/>
        <v>0</v>
      </c>
      <c r="Y114" s="147">
        <f t="shared" si="84"/>
        <v>0</v>
      </c>
      <c r="Z114" s="147">
        <f t="shared" si="84"/>
        <v>50</v>
      </c>
      <c r="AA114" s="147">
        <f t="shared" si="84"/>
        <v>0</v>
      </c>
      <c r="AB114" s="147">
        <f t="shared" si="84"/>
        <v>0</v>
      </c>
      <c r="AC114" s="147">
        <f t="shared" si="84"/>
        <v>0</v>
      </c>
      <c r="AD114" s="147">
        <f t="shared" si="84"/>
        <v>0</v>
      </c>
      <c r="AE114" s="147">
        <f t="shared" si="84"/>
        <v>0</v>
      </c>
      <c r="AF114" s="87"/>
      <c r="AG114" s="235"/>
      <c r="AH114" s="103"/>
      <c r="AI114" s="235"/>
    </row>
    <row r="115" spans="1:35" s="37" customFormat="1" x14ac:dyDescent="0.25">
      <c r="A115" s="68" t="s">
        <v>103</v>
      </c>
      <c r="B115" s="141">
        <f>H115+J115+L115+N115+P115+R115+T115+V115+X115+Z115+AB115+AD115</f>
        <v>50</v>
      </c>
      <c r="C115" s="141">
        <f>C119</f>
        <v>0</v>
      </c>
      <c r="D115" s="141">
        <f t="shared" ref="C115:E116" si="85">D119</f>
        <v>0</v>
      </c>
      <c r="E115" s="141">
        <f t="shared" si="85"/>
        <v>0</v>
      </c>
      <c r="F115" s="71">
        <f>E115/B115</f>
        <v>0</v>
      </c>
      <c r="G115" s="128">
        <f t="shared" si="83"/>
        <v>0</v>
      </c>
      <c r="H115" s="141">
        <f>H119</f>
        <v>0</v>
      </c>
      <c r="I115" s="141">
        <f>I119</f>
        <v>0</v>
      </c>
      <c r="J115" s="141">
        <f>J119</f>
        <v>0</v>
      </c>
      <c r="K115" s="141">
        <f t="shared" ref="K115:AE115" si="86">K119</f>
        <v>0</v>
      </c>
      <c r="L115" s="141">
        <f t="shared" si="86"/>
        <v>0</v>
      </c>
      <c r="M115" s="141">
        <f t="shared" si="86"/>
        <v>0</v>
      </c>
      <c r="N115" s="141">
        <f t="shared" si="86"/>
        <v>0</v>
      </c>
      <c r="O115" s="141">
        <f t="shared" si="86"/>
        <v>0</v>
      </c>
      <c r="P115" s="141">
        <f t="shared" si="86"/>
        <v>0</v>
      </c>
      <c r="Q115" s="141">
        <f t="shared" si="86"/>
        <v>0</v>
      </c>
      <c r="R115" s="141">
        <f t="shared" si="86"/>
        <v>0</v>
      </c>
      <c r="S115" s="141">
        <f t="shared" si="86"/>
        <v>0</v>
      </c>
      <c r="T115" s="141">
        <f t="shared" si="86"/>
        <v>0</v>
      </c>
      <c r="U115" s="141">
        <f t="shared" si="86"/>
        <v>0</v>
      </c>
      <c r="V115" s="141">
        <f t="shared" si="86"/>
        <v>0</v>
      </c>
      <c r="W115" s="141">
        <f t="shared" si="86"/>
        <v>0</v>
      </c>
      <c r="X115" s="141">
        <f t="shared" si="86"/>
        <v>0</v>
      </c>
      <c r="Y115" s="141">
        <f t="shared" si="86"/>
        <v>0</v>
      </c>
      <c r="Z115" s="141">
        <f t="shared" si="86"/>
        <v>50</v>
      </c>
      <c r="AA115" s="141">
        <f t="shared" si="86"/>
        <v>0</v>
      </c>
      <c r="AB115" s="141">
        <f t="shared" si="86"/>
        <v>0</v>
      </c>
      <c r="AC115" s="141">
        <f t="shared" si="86"/>
        <v>0</v>
      </c>
      <c r="AD115" s="141">
        <f t="shared" si="86"/>
        <v>0</v>
      </c>
      <c r="AE115" s="141">
        <f t="shared" si="86"/>
        <v>0</v>
      </c>
      <c r="AF115" s="70"/>
      <c r="AG115" s="235"/>
      <c r="AH115" s="103"/>
      <c r="AI115" s="235"/>
    </row>
    <row r="116" spans="1:35" s="37" customFormat="1" x14ac:dyDescent="0.25">
      <c r="A116" s="72" t="s">
        <v>104</v>
      </c>
      <c r="B116" s="142">
        <f>H116+J116+L116+N116+P116+R116+T116+V116+X116+Z116+AB116+AD116</f>
        <v>0</v>
      </c>
      <c r="C116" s="143">
        <f t="shared" si="85"/>
        <v>0</v>
      </c>
      <c r="D116" s="143">
        <f t="shared" si="85"/>
        <v>0</v>
      </c>
      <c r="E116" s="143">
        <f t="shared" si="85"/>
        <v>0</v>
      </c>
      <c r="F116" s="75">
        <f>IFERROR(E116/B116,0)</f>
        <v>0</v>
      </c>
      <c r="G116" s="127">
        <f t="shared" si="83"/>
        <v>0</v>
      </c>
      <c r="H116" s="143">
        <f>H120</f>
        <v>0</v>
      </c>
      <c r="I116" s="143">
        <f t="shared" ref="I116:AE116" si="87">I120</f>
        <v>0</v>
      </c>
      <c r="J116" s="143">
        <f t="shared" si="87"/>
        <v>0</v>
      </c>
      <c r="K116" s="143">
        <f t="shared" si="87"/>
        <v>0</v>
      </c>
      <c r="L116" s="143">
        <f t="shared" si="87"/>
        <v>0</v>
      </c>
      <c r="M116" s="143">
        <f t="shared" si="87"/>
        <v>0</v>
      </c>
      <c r="N116" s="143">
        <f t="shared" si="87"/>
        <v>0</v>
      </c>
      <c r="O116" s="143">
        <f t="shared" si="87"/>
        <v>0</v>
      </c>
      <c r="P116" s="143">
        <f t="shared" si="87"/>
        <v>0</v>
      </c>
      <c r="Q116" s="143">
        <f t="shared" si="87"/>
        <v>0</v>
      </c>
      <c r="R116" s="143">
        <f t="shared" si="87"/>
        <v>0</v>
      </c>
      <c r="S116" s="143">
        <f t="shared" si="87"/>
        <v>0</v>
      </c>
      <c r="T116" s="143">
        <f t="shared" si="87"/>
        <v>0</v>
      </c>
      <c r="U116" s="143">
        <f t="shared" si="87"/>
        <v>0</v>
      </c>
      <c r="V116" s="143">
        <f t="shared" si="87"/>
        <v>0</v>
      </c>
      <c r="W116" s="143">
        <f t="shared" si="87"/>
        <v>0</v>
      </c>
      <c r="X116" s="143">
        <f t="shared" si="87"/>
        <v>0</v>
      </c>
      <c r="Y116" s="143">
        <f t="shared" si="87"/>
        <v>0</v>
      </c>
      <c r="Z116" s="143">
        <f t="shared" si="87"/>
        <v>0</v>
      </c>
      <c r="AA116" s="143">
        <f t="shared" si="87"/>
        <v>0</v>
      </c>
      <c r="AB116" s="143">
        <f t="shared" si="87"/>
        <v>0</v>
      </c>
      <c r="AC116" s="143">
        <f t="shared" si="87"/>
        <v>0</v>
      </c>
      <c r="AD116" s="143">
        <f t="shared" si="87"/>
        <v>0</v>
      </c>
      <c r="AE116" s="143">
        <f t="shared" si="87"/>
        <v>0</v>
      </c>
      <c r="AF116" s="74"/>
      <c r="AG116" s="235"/>
      <c r="AH116" s="103"/>
      <c r="AI116" s="235"/>
    </row>
    <row r="117" spans="1:35" s="37" customFormat="1" ht="120.75" x14ac:dyDescent="0.25">
      <c r="A117" s="115" t="s">
        <v>173</v>
      </c>
      <c r="B117" s="144"/>
      <c r="C117" s="145"/>
      <c r="D117" s="145"/>
      <c r="E117" s="146"/>
      <c r="F117" s="116"/>
      <c r="G117" s="11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66"/>
      <c r="AE117" s="167"/>
      <c r="AF117" s="197" t="s">
        <v>185</v>
      </c>
      <c r="AG117" s="235"/>
      <c r="AH117" s="103"/>
      <c r="AI117" s="235"/>
    </row>
    <row r="118" spans="1:35" s="37" customFormat="1" x14ac:dyDescent="0.25">
      <c r="A118" s="65" t="s">
        <v>25</v>
      </c>
      <c r="B118" s="147">
        <f>B119</f>
        <v>50</v>
      </c>
      <c r="C118" s="147">
        <f>C119</f>
        <v>0</v>
      </c>
      <c r="D118" s="147">
        <f>D119</f>
        <v>0</v>
      </c>
      <c r="E118" s="147">
        <f t="shared" ref="E118" si="88">E119</f>
        <v>0</v>
      </c>
      <c r="F118" s="66">
        <f>E118/B118</f>
        <v>0</v>
      </c>
      <c r="G118" s="66">
        <f t="shared" si="83"/>
        <v>0</v>
      </c>
      <c r="H118" s="147">
        <f>H119+H120</f>
        <v>0</v>
      </c>
      <c r="I118" s="147">
        <f t="shared" ref="I118:AE118" si="89">I119+I120</f>
        <v>0</v>
      </c>
      <c r="J118" s="147">
        <f t="shared" si="89"/>
        <v>0</v>
      </c>
      <c r="K118" s="147">
        <f t="shared" si="89"/>
        <v>0</v>
      </c>
      <c r="L118" s="147">
        <f t="shared" si="89"/>
        <v>0</v>
      </c>
      <c r="M118" s="147">
        <f t="shared" si="89"/>
        <v>0</v>
      </c>
      <c r="N118" s="147">
        <f t="shared" si="89"/>
        <v>0</v>
      </c>
      <c r="O118" s="147">
        <f t="shared" si="89"/>
        <v>0</v>
      </c>
      <c r="P118" s="147">
        <f t="shared" si="89"/>
        <v>0</v>
      </c>
      <c r="Q118" s="147">
        <f t="shared" si="89"/>
        <v>0</v>
      </c>
      <c r="R118" s="147">
        <f t="shared" si="89"/>
        <v>0</v>
      </c>
      <c r="S118" s="147">
        <f t="shared" si="89"/>
        <v>0</v>
      </c>
      <c r="T118" s="147">
        <f t="shared" si="89"/>
        <v>0</v>
      </c>
      <c r="U118" s="147">
        <f t="shared" si="89"/>
        <v>0</v>
      </c>
      <c r="V118" s="147">
        <f t="shared" si="89"/>
        <v>0</v>
      </c>
      <c r="W118" s="147">
        <f t="shared" si="89"/>
        <v>0</v>
      </c>
      <c r="X118" s="147">
        <f t="shared" si="89"/>
        <v>0</v>
      </c>
      <c r="Y118" s="147">
        <f t="shared" si="89"/>
        <v>0</v>
      </c>
      <c r="Z118" s="147">
        <f t="shared" si="89"/>
        <v>50</v>
      </c>
      <c r="AA118" s="147">
        <f t="shared" si="89"/>
        <v>0</v>
      </c>
      <c r="AB118" s="147">
        <f t="shared" si="89"/>
        <v>0</v>
      </c>
      <c r="AC118" s="147">
        <f t="shared" si="89"/>
        <v>0</v>
      </c>
      <c r="AD118" s="147">
        <f t="shared" si="89"/>
        <v>0</v>
      </c>
      <c r="AE118" s="147">
        <f t="shared" si="89"/>
        <v>0</v>
      </c>
      <c r="AF118" s="39"/>
      <c r="AG118" s="235"/>
      <c r="AH118" s="103"/>
      <c r="AI118" s="235"/>
    </row>
    <row r="119" spans="1:35" s="37" customFormat="1" ht="20.25" customHeight="1" x14ac:dyDescent="0.25">
      <c r="A119" s="68" t="s">
        <v>103</v>
      </c>
      <c r="B119" s="140">
        <f>H119+J119+L119+N119+P119+R119+T119+V119+X119+Z119+AB119+AD119</f>
        <v>50</v>
      </c>
      <c r="C119" s="140">
        <f>H119+J119+L119+N119+P119</f>
        <v>0</v>
      </c>
      <c r="D119" s="141">
        <v>0</v>
      </c>
      <c r="E119" s="140">
        <f>I119+K119+M119+O119+Q119+S119+U119+W119+Y119+AA119+AC119+AE119</f>
        <v>0</v>
      </c>
      <c r="F119" s="71">
        <f>E119/B119</f>
        <v>0</v>
      </c>
      <c r="G119" s="128">
        <f t="shared" si="83"/>
        <v>0</v>
      </c>
      <c r="H119" s="141">
        <v>0</v>
      </c>
      <c r="I119" s="141">
        <v>0</v>
      </c>
      <c r="J119" s="141">
        <v>0</v>
      </c>
      <c r="K119" s="141">
        <v>0</v>
      </c>
      <c r="L119" s="141">
        <v>0</v>
      </c>
      <c r="M119" s="141">
        <v>0</v>
      </c>
      <c r="N119" s="141">
        <v>0</v>
      </c>
      <c r="O119" s="141">
        <v>0</v>
      </c>
      <c r="P119" s="141">
        <v>0</v>
      </c>
      <c r="Q119" s="141">
        <v>0</v>
      </c>
      <c r="R119" s="141">
        <v>0</v>
      </c>
      <c r="S119" s="141">
        <v>0</v>
      </c>
      <c r="T119" s="141"/>
      <c r="U119" s="141"/>
      <c r="V119" s="141">
        <v>0</v>
      </c>
      <c r="W119" s="141">
        <v>0</v>
      </c>
      <c r="X119" s="141">
        <v>0</v>
      </c>
      <c r="Y119" s="141">
        <v>0</v>
      </c>
      <c r="Z119" s="141">
        <f>50000/1000</f>
        <v>50</v>
      </c>
      <c r="AA119" s="141"/>
      <c r="AB119" s="141"/>
      <c r="AC119" s="141">
        <v>0</v>
      </c>
      <c r="AD119" s="141">
        <v>0</v>
      </c>
      <c r="AE119" s="141">
        <v>0</v>
      </c>
      <c r="AF119" s="70"/>
      <c r="AG119" s="235"/>
      <c r="AH119" s="103"/>
      <c r="AI119" s="235"/>
    </row>
    <row r="120" spans="1:35" s="37" customFormat="1" x14ac:dyDescent="0.25">
      <c r="A120" s="72" t="s">
        <v>104</v>
      </c>
      <c r="B120" s="142">
        <f>H120+J120+L120+N120+P120+R120+T120+V120+X120+Z120+AB120+AD120</f>
        <v>0</v>
      </c>
      <c r="C120" s="142">
        <f>H120+J120+L120+N120+P120</f>
        <v>0</v>
      </c>
      <c r="D120" s="143">
        <v>0</v>
      </c>
      <c r="E120" s="142">
        <f>I120+K120+M120+O120+Q120+S120+U120+W120+Y120+AA120+AC120+AE120</f>
        <v>0</v>
      </c>
      <c r="F120" s="75">
        <f>IFERROR(E120/B120,0)</f>
        <v>0</v>
      </c>
      <c r="G120" s="127">
        <f t="shared" si="83"/>
        <v>0</v>
      </c>
      <c r="H120" s="143">
        <f>H154+H178</f>
        <v>0</v>
      </c>
      <c r="I120" s="143">
        <f>I154+I178</f>
        <v>0</v>
      </c>
      <c r="J120" s="143">
        <f t="shared" ref="J120:AE120" si="90">J154+J178</f>
        <v>0</v>
      </c>
      <c r="K120" s="143">
        <f t="shared" si="90"/>
        <v>0</v>
      </c>
      <c r="L120" s="143">
        <f t="shared" si="90"/>
        <v>0</v>
      </c>
      <c r="M120" s="143">
        <f t="shared" si="90"/>
        <v>0</v>
      </c>
      <c r="N120" s="143">
        <f t="shared" si="90"/>
        <v>0</v>
      </c>
      <c r="O120" s="143">
        <f t="shared" si="90"/>
        <v>0</v>
      </c>
      <c r="P120" s="143">
        <f t="shared" si="90"/>
        <v>0</v>
      </c>
      <c r="Q120" s="143">
        <f t="shared" si="90"/>
        <v>0</v>
      </c>
      <c r="R120" s="143">
        <f t="shared" si="90"/>
        <v>0</v>
      </c>
      <c r="S120" s="143">
        <f t="shared" si="90"/>
        <v>0</v>
      </c>
      <c r="T120" s="143">
        <f t="shared" si="90"/>
        <v>0</v>
      </c>
      <c r="U120" s="143">
        <f t="shared" si="90"/>
        <v>0</v>
      </c>
      <c r="V120" s="143">
        <f t="shared" si="90"/>
        <v>0</v>
      </c>
      <c r="W120" s="143">
        <f t="shared" si="90"/>
        <v>0</v>
      </c>
      <c r="X120" s="143">
        <f t="shared" si="90"/>
        <v>0</v>
      </c>
      <c r="Y120" s="143">
        <f t="shared" si="90"/>
        <v>0</v>
      </c>
      <c r="Z120" s="143">
        <f t="shared" si="90"/>
        <v>0</v>
      </c>
      <c r="AA120" s="143">
        <f t="shared" si="90"/>
        <v>0</v>
      </c>
      <c r="AB120" s="143">
        <f t="shared" si="90"/>
        <v>0</v>
      </c>
      <c r="AC120" s="143">
        <f t="shared" si="90"/>
        <v>0</v>
      </c>
      <c r="AD120" s="143">
        <f t="shared" si="90"/>
        <v>0</v>
      </c>
      <c r="AE120" s="143">
        <f t="shared" si="90"/>
        <v>0</v>
      </c>
      <c r="AF120" s="74"/>
      <c r="AG120" s="235"/>
      <c r="AH120" s="103"/>
      <c r="AI120" s="235"/>
    </row>
    <row r="121" spans="1:35" s="37" customFormat="1" ht="51" customHeight="1" x14ac:dyDescent="0.25">
      <c r="A121" s="91" t="s">
        <v>112</v>
      </c>
      <c r="B121" s="161">
        <f t="shared" ref="B121:AD121" si="91">B124+B125</f>
        <v>3287.2</v>
      </c>
      <c r="C121" s="161">
        <f t="shared" si="91"/>
        <v>1345.47154</v>
      </c>
      <c r="D121" s="161">
        <f t="shared" si="91"/>
        <v>1376.7</v>
      </c>
      <c r="E121" s="161">
        <f t="shared" si="91"/>
        <v>1272.9978199999998</v>
      </c>
      <c r="F121" s="129">
        <f>E121/B121</f>
        <v>0.38725901070820146</v>
      </c>
      <c r="G121" s="129">
        <f>E121/C121</f>
        <v>0.94613507766949856</v>
      </c>
      <c r="H121" s="161">
        <f t="shared" si="91"/>
        <v>549.18630000000007</v>
      </c>
      <c r="I121" s="161">
        <f t="shared" si="91"/>
        <v>501.40995000000004</v>
      </c>
      <c r="J121" s="161">
        <f t="shared" si="91"/>
        <v>252.65505999999999</v>
      </c>
      <c r="K121" s="161">
        <f t="shared" si="91"/>
        <v>270.34140000000002</v>
      </c>
      <c r="L121" s="161">
        <f t="shared" si="91"/>
        <v>107.53406</v>
      </c>
      <c r="M121" s="161">
        <f t="shared" si="91"/>
        <v>108.55</v>
      </c>
      <c r="N121" s="161">
        <f t="shared" si="91"/>
        <v>275.43006000000003</v>
      </c>
      <c r="O121" s="161">
        <f t="shared" si="91"/>
        <v>260.88</v>
      </c>
      <c r="P121" s="161">
        <f t="shared" si="91"/>
        <v>160.66605999999999</v>
      </c>
      <c r="Q121" s="161">
        <f t="shared" si="91"/>
        <v>131.81647000000001</v>
      </c>
      <c r="R121" s="161">
        <f t="shared" si="91"/>
        <v>404.28805999999997</v>
      </c>
      <c r="S121" s="161">
        <f t="shared" si="91"/>
        <v>0</v>
      </c>
      <c r="T121" s="161">
        <f t="shared" si="91"/>
        <v>306.48205999999999</v>
      </c>
      <c r="U121" s="161">
        <f t="shared" si="91"/>
        <v>0</v>
      </c>
      <c r="V121" s="161">
        <f t="shared" si="91"/>
        <v>429.85205999999999</v>
      </c>
      <c r="W121" s="161">
        <f t="shared" si="91"/>
        <v>0</v>
      </c>
      <c r="X121" s="161">
        <f t="shared" si="91"/>
        <v>222.39406</v>
      </c>
      <c r="Y121" s="161">
        <f t="shared" si="91"/>
        <v>0</v>
      </c>
      <c r="Z121" s="161">
        <f t="shared" si="91"/>
        <v>177.75106</v>
      </c>
      <c r="AA121" s="161">
        <f t="shared" si="91"/>
        <v>0</v>
      </c>
      <c r="AB121" s="161">
        <f t="shared" si="91"/>
        <v>115.36206</v>
      </c>
      <c r="AC121" s="161">
        <f t="shared" si="91"/>
        <v>0</v>
      </c>
      <c r="AD121" s="161">
        <f t="shared" si="91"/>
        <v>285.59909999999996</v>
      </c>
      <c r="AE121" s="183"/>
      <c r="AF121" s="40"/>
      <c r="AG121" s="235"/>
      <c r="AH121" s="103"/>
      <c r="AI121" s="235"/>
    </row>
    <row r="122" spans="1:35" s="37" customFormat="1" ht="69.75" customHeight="1" x14ac:dyDescent="0.2">
      <c r="A122" s="192" t="s">
        <v>171</v>
      </c>
      <c r="B122" s="193"/>
      <c r="C122" s="193"/>
      <c r="D122" s="193"/>
      <c r="E122" s="193"/>
      <c r="F122" s="194"/>
      <c r="G122" s="194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5"/>
      <c r="AF122" s="196"/>
      <c r="AG122" s="235"/>
      <c r="AH122" s="103"/>
      <c r="AI122" s="235"/>
    </row>
    <row r="123" spans="1:35" s="37" customFormat="1" x14ac:dyDescent="0.25">
      <c r="A123" s="65" t="s">
        <v>25</v>
      </c>
      <c r="B123" s="147">
        <f>B124+B125</f>
        <v>3287.2</v>
      </c>
      <c r="C123" s="147">
        <f t="shared" ref="C123:AD123" si="92">C124+C125</f>
        <v>1345.47154</v>
      </c>
      <c r="D123" s="147">
        <f t="shared" si="92"/>
        <v>1376.7</v>
      </c>
      <c r="E123" s="147">
        <f t="shared" si="92"/>
        <v>1272.9978199999998</v>
      </c>
      <c r="F123" s="66">
        <f>E123/B123</f>
        <v>0.38725901070820146</v>
      </c>
      <c r="G123" s="66">
        <f t="shared" ref="G123:G127" si="93">E123/C123</f>
        <v>0.94613507766949856</v>
      </c>
      <c r="H123" s="147">
        <f>H124+H125</f>
        <v>549.18630000000007</v>
      </c>
      <c r="I123" s="147">
        <f t="shared" si="92"/>
        <v>501.40995000000004</v>
      </c>
      <c r="J123" s="147">
        <f>J124+J125</f>
        <v>252.65505999999999</v>
      </c>
      <c r="K123" s="147">
        <f t="shared" si="92"/>
        <v>270.34140000000002</v>
      </c>
      <c r="L123" s="147">
        <f>L124+L125</f>
        <v>107.53406</v>
      </c>
      <c r="M123" s="147">
        <f t="shared" si="92"/>
        <v>108.55</v>
      </c>
      <c r="N123" s="147">
        <f>N124+N125</f>
        <v>275.43006000000003</v>
      </c>
      <c r="O123" s="147">
        <f t="shared" si="92"/>
        <v>260.88</v>
      </c>
      <c r="P123" s="147">
        <f t="shared" si="92"/>
        <v>160.66605999999999</v>
      </c>
      <c r="Q123" s="147">
        <f t="shared" si="92"/>
        <v>131.81647000000001</v>
      </c>
      <c r="R123" s="147">
        <f t="shared" si="92"/>
        <v>404.28805999999997</v>
      </c>
      <c r="S123" s="147">
        <f t="shared" si="92"/>
        <v>0</v>
      </c>
      <c r="T123" s="147">
        <f t="shared" si="92"/>
        <v>306.48205999999999</v>
      </c>
      <c r="U123" s="147">
        <f t="shared" si="92"/>
        <v>0</v>
      </c>
      <c r="V123" s="147">
        <f t="shared" si="92"/>
        <v>429.85205999999999</v>
      </c>
      <c r="W123" s="147">
        <f t="shared" si="92"/>
        <v>0</v>
      </c>
      <c r="X123" s="147">
        <f t="shared" si="92"/>
        <v>222.39406</v>
      </c>
      <c r="Y123" s="147">
        <f t="shared" si="92"/>
        <v>0</v>
      </c>
      <c r="Z123" s="147">
        <f t="shared" si="92"/>
        <v>177.75106</v>
      </c>
      <c r="AA123" s="147">
        <f t="shared" si="92"/>
        <v>0</v>
      </c>
      <c r="AB123" s="147">
        <f t="shared" si="92"/>
        <v>115.36206</v>
      </c>
      <c r="AC123" s="147">
        <f t="shared" si="92"/>
        <v>0</v>
      </c>
      <c r="AD123" s="147">
        <f t="shared" si="92"/>
        <v>285.59909999999996</v>
      </c>
      <c r="AE123" s="180">
        <f t="shared" ref="AE123" si="94">AE124</f>
        <v>0</v>
      </c>
      <c r="AF123" s="39"/>
      <c r="AG123" s="235"/>
      <c r="AH123" s="103"/>
      <c r="AI123" s="235"/>
    </row>
    <row r="124" spans="1:35" s="60" customFormat="1" ht="24.75" customHeight="1" x14ac:dyDescent="0.25">
      <c r="A124" s="83" t="s">
        <v>103</v>
      </c>
      <c r="B124" s="140">
        <f>H124+J124+L124+N124+P124+R124+T124+V124+X124+Z124+AB124+AD124</f>
        <v>3287.2</v>
      </c>
      <c r="C124" s="140">
        <f>C127</f>
        <v>1345.47154</v>
      </c>
      <c r="D124" s="140">
        <f t="shared" ref="D124:AC124" si="95">D127</f>
        <v>1376.7</v>
      </c>
      <c r="E124" s="140">
        <f t="shared" si="95"/>
        <v>1272.9978199999998</v>
      </c>
      <c r="F124" s="130">
        <f>E124/C124</f>
        <v>0.94613507766949856</v>
      </c>
      <c r="G124" s="130">
        <f t="shared" si="93"/>
        <v>0.94613507766949856</v>
      </c>
      <c r="H124" s="140">
        <f>H127</f>
        <v>549.18630000000007</v>
      </c>
      <c r="I124" s="140">
        <f t="shared" si="95"/>
        <v>501.40995000000004</v>
      </c>
      <c r="J124" s="140">
        <f>J127</f>
        <v>252.65505999999999</v>
      </c>
      <c r="K124" s="140">
        <f t="shared" si="95"/>
        <v>270.34140000000002</v>
      </c>
      <c r="L124" s="140">
        <f>L127</f>
        <v>107.53406</v>
      </c>
      <c r="M124" s="140">
        <f t="shared" si="95"/>
        <v>108.55</v>
      </c>
      <c r="N124" s="140">
        <f>N127</f>
        <v>275.43006000000003</v>
      </c>
      <c r="O124" s="140">
        <f t="shared" si="95"/>
        <v>260.88</v>
      </c>
      <c r="P124" s="140">
        <f>P127</f>
        <v>160.66605999999999</v>
      </c>
      <c r="Q124" s="140">
        <f t="shared" si="95"/>
        <v>131.81647000000001</v>
      </c>
      <c r="R124" s="140">
        <f>R127</f>
        <v>404.28805999999997</v>
      </c>
      <c r="S124" s="140">
        <f t="shared" si="95"/>
        <v>0</v>
      </c>
      <c r="T124" s="140">
        <f>T127</f>
        <v>306.48205999999999</v>
      </c>
      <c r="U124" s="140">
        <f t="shared" si="95"/>
        <v>0</v>
      </c>
      <c r="V124" s="140">
        <f>V127</f>
        <v>429.85205999999999</v>
      </c>
      <c r="W124" s="140">
        <f t="shared" si="95"/>
        <v>0</v>
      </c>
      <c r="X124" s="140">
        <f>X127</f>
        <v>222.39406</v>
      </c>
      <c r="Y124" s="140">
        <f t="shared" si="95"/>
        <v>0</v>
      </c>
      <c r="Z124" s="140">
        <f>Z127</f>
        <v>177.75106</v>
      </c>
      <c r="AA124" s="140">
        <f t="shared" si="95"/>
        <v>0</v>
      </c>
      <c r="AB124" s="140">
        <f>AB127</f>
        <v>115.36206</v>
      </c>
      <c r="AC124" s="140">
        <f t="shared" si="95"/>
        <v>0</v>
      </c>
      <c r="AD124" s="140">
        <f>AD127</f>
        <v>285.59909999999996</v>
      </c>
      <c r="AE124" s="184"/>
      <c r="AF124" s="61"/>
      <c r="AG124" s="235"/>
      <c r="AH124" s="103"/>
      <c r="AI124" s="235"/>
    </row>
    <row r="125" spans="1:35" s="37" customFormat="1" ht="22.5" customHeight="1" x14ac:dyDescent="0.25">
      <c r="A125" s="80" t="s">
        <v>104</v>
      </c>
      <c r="B125" s="142">
        <f>H125+J125+L125+N125+P125+R125+T125+V125+X125+Z125+AB125+AD125</f>
        <v>0</v>
      </c>
      <c r="C125" s="142">
        <f t="shared" ref="C125:AF125" si="96">C130</f>
        <v>0</v>
      </c>
      <c r="D125" s="142">
        <f t="shared" si="96"/>
        <v>0</v>
      </c>
      <c r="E125" s="142">
        <f t="shared" si="96"/>
        <v>0</v>
      </c>
      <c r="F125" s="75">
        <f>IFERROR(E125/B125,0)</f>
        <v>0</v>
      </c>
      <c r="G125" s="127">
        <f t="shared" ref="G125" si="97">IFERROR(E125/C125,0)</f>
        <v>0</v>
      </c>
      <c r="H125" s="142">
        <f t="shared" si="96"/>
        <v>0</v>
      </c>
      <c r="I125" s="142">
        <f t="shared" si="96"/>
        <v>0</v>
      </c>
      <c r="J125" s="142">
        <f t="shared" si="96"/>
        <v>0</v>
      </c>
      <c r="K125" s="142">
        <f t="shared" si="96"/>
        <v>0</v>
      </c>
      <c r="L125" s="142">
        <f t="shared" si="96"/>
        <v>0</v>
      </c>
      <c r="M125" s="142">
        <f t="shared" si="96"/>
        <v>0</v>
      </c>
      <c r="N125" s="142">
        <f t="shared" si="96"/>
        <v>0</v>
      </c>
      <c r="O125" s="142">
        <f t="shared" si="96"/>
        <v>0</v>
      </c>
      <c r="P125" s="142">
        <f t="shared" si="96"/>
        <v>0</v>
      </c>
      <c r="Q125" s="142">
        <f t="shared" si="96"/>
        <v>0</v>
      </c>
      <c r="R125" s="142">
        <f t="shared" si="96"/>
        <v>0</v>
      </c>
      <c r="S125" s="142">
        <f t="shared" si="96"/>
        <v>0</v>
      </c>
      <c r="T125" s="142">
        <f t="shared" si="96"/>
        <v>0</v>
      </c>
      <c r="U125" s="142">
        <f t="shared" si="96"/>
        <v>0</v>
      </c>
      <c r="V125" s="142">
        <f t="shared" si="96"/>
        <v>0</v>
      </c>
      <c r="W125" s="142">
        <f t="shared" si="96"/>
        <v>0</v>
      </c>
      <c r="X125" s="142">
        <f t="shared" si="96"/>
        <v>0</v>
      </c>
      <c r="Y125" s="142">
        <f t="shared" si="96"/>
        <v>0</v>
      </c>
      <c r="Z125" s="142">
        <f t="shared" si="96"/>
        <v>0</v>
      </c>
      <c r="AA125" s="142">
        <f t="shared" si="96"/>
        <v>0</v>
      </c>
      <c r="AB125" s="142">
        <f t="shared" si="96"/>
        <v>0</v>
      </c>
      <c r="AC125" s="142">
        <f t="shared" si="96"/>
        <v>0</v>
      </c>
      <c r="AD125" s="142">
        <f t="shared" si="96"/>
        <v>0</v>
      </c>
      <c r="AE125" s="142">
        <f t="shared" si="96"/>
        <v>0</v>
      </c>
      <c r="AF125" s="73">
        <f t="shared" si="96"/>
        <v>0</v>
      </c>
      <c r="AG125" s="235"/>
      <c r="AH125" s="103"/>
      <c r="AI125" s="235"/>
    </row>
    <row r="126" spans="1:35" s="60" customFormat="1" ht="170.25" customHeight="1" x14ac:dyDescent="0.25">
      <c r="A126" s="190" t="s">
        <v>150</v>
      </c>
      <c r="B126" s="162">
        <f>B127</f>
        <v>3287.2</v>
      </c>
      <c r="C126" s="162">
        <f t="shared" ref="C126:AD126" si="98">C127</f>
        <v>1345.47154</v>
      </c>
      <c r="D126" s="162">
        <f>D127</f>
        <v>1376.7</v>
      </c>
      <c r="E126" s="162">
        <f t="shared" si="98"/>
        <v>1272.9978199999998</v>
      </c>
      <c r="F126" s="124">
        <f t="shared" ref="F126:F127" si="99">E126/B126</f>
        <v>0.38725901070820146</v>
      </c>
      <c r="G126" s="124">
        <f t="shared" si="93"/>
        <v>0.94613507766949856</v>
      </c>
      <c r="H126" s="162">
        <f>H127</f>
        <v>549.18630000000007</v>
      </c>
      <c r="I126" s="162">
        <f>I127</f>
        <v>501.40995000000004</v>
      </c>
      <c r="J126" s="162">
        <f>J127</f>
        <v>252.65505999999999</v>
      </c>
      <c r="K126" s="162">
        <f>K127</f>
        <v>270.34140000000002</v>
      </c>
      <c r="L126" s="162">
        <f>L127</f>
        <v>107.53406</v>
      </c>
      <c r="M126" s="162">
        <f t="shared" si="98"/>
        <v>108.55</v>
      </c>
      <c r="N126" s="162">
        <f t="shared" si="98"/>
        <v>275.43006000000003</v>
      </c>
      <c r="O126" s="162">
        <f t="shared" si="98"/>
        <v>260.88</v>
      </c>
      <c r="P126" s="162">
        <f t="shared" si="98"/>
        <v>160.66605999999999</v>
      </c>
      <c r="Q126" s="162">
        <f t="shared" si="98"/>
        <v>131.81647000000001</v>
      </c>
      <c r="R126" s="162">
        <f t="shared" si="98"/>
        <v>404.28805999999997</v>
      </c>
      <c r="S126" s="162">
        <f t="shared" si="98"/>
        <v>0</v>
      </c>
      <c r="T126" s="162">
        <f t="shared" si="98"/>
        <v>306.48205999999999</v>
      </c>
      <c r="U126" s="162">
        <f t="shared" si="98"/>
        <v>0</v>
      </c>
      <c r="V126" s="162">
        <f t="shared" si="98"/>
        <v>429.85205999999999</v>
      </c>
      <c r="W126" s="162">
        <f t="shared" si="98"/>
        <v>0</v>
      </c>
      <c r="X126" s="162">
        <f t="shared" si="98"/>
        <v>222.39406</v>
      </c>
      <c r="Y126" s="162">
        <f t="shared" si="98"/>
        <v>0</v>
      </c>
      <c r="Z126" s="162">
        <f t="shared" si="98"/>
        <v>177.75106</v>
      </c>
      <c r="AA126" s="162">
        <f t="shared" si="98"/>
        <v>0</v>
      </c>
      <c r="AB126" s="162">
        <f t="shared" si="98"/>
        <v>115.36206</v>
      </c>
      <c r="AC126" s="162">
        <f t="shared" si="98"/>
        <v>0</v>
      </c>
      <c r="AD126" s="162">
        <f t="shared" si="98"/>
        <v>285.59909999999996</v>
      </c>
      <c r="AE126" s="185"/>
      <c r="AF126" s="236" t="s">
        <v>240</v>
      </c>
      <c r="AG126" s="235"/>
      <c r="AH126" s="103"/>
      <c r="AI126" s="235"/>
    </row>
    <row r="127" spans="1:35" s="60" customFormat="1" ht="24.75" customHeight="1" x14ac:dyDescent="0.25">
      <c r="A127" s="83" t="s">
        <v>103</v>
      </c>
      <c r="B127" s="140">
        <f>H127+J127+L127+N127+P127+R127+T127+V127+X127+Z127+AB127+AD127</f>
        <v>3287.2</v>
      </c>
      <c r="C127" s="141">
        <f>H127+J127+L127+N127+P127</f>
        <v>1345.47154</v>
      </c>
      <c r="D127" s="141">
        <f>1376.7</f>
        <v>1376.7</v>
      </c>
      <c r="E127" s="141">
        <f>I127+K127+M127+O127+Q127+S127+U127+W127+Y127+AA127+AC127+AE127</f>
        <v>1272.9978199999998</v>
      </c>
      <c r="F127" s="71">
        <f t="shared" si="99"/>
        <v>0.38725901070820146</v>
      </c>
      <c r="G127" s="71">
        <f t="shared" si="93"/>
        <v>0.94613507766949856</v>
      </c>
      <c r="H127" s="141">
        <f>549186.3/1000</f>
        <v>549.18630000000007</v>
      </c>
      <c r="I127" s="141">
        <f>501409.95/1000</f>
        <v>501.40995000000004</v>
      </c>
      <c r="J127" s="141">
        <f>252655.06/1000</f>
        <v>252.65505999999999</v>
      </c>
      <c r="K127" s="141">
        <f>270341.4/1000</f>
        <v>270.34140000000002</v>
      </c>
      <c r="L127" s="141">
        <f>107534.06/1000</f>
        <v>107.53406</v>
      </c>
      <c r="M127" s="141">
        <v>108.55</v>
      </c>
      <c r="N127" s="141">
        <f>275430.06/1000</f>
        <v>275.43006000000003</v>
      </c>
      <c r="O127" s="141">
        <v>260.88</v>
      </c>
      <c r="P127" s="141">
        <f>160666.06/1000</f>
        <v>160.66605999999999</v>
      </c>
      <c r="Q127" s="141">
        <f>131816.47/1000</f>
        <v>131.81647000000001</v>
      </c>
      <c r="R127" s="141">
        <f>404288.06/1000</f>
        <v>404.28805999999997</v>
      </c>
      <c r="S127" s="169"/>
      <c r="T127" s="141">
        <f>306482.06/1000</f>
        <v>306.48205999999999</v>
      </c>
      <c r="U127" s="169"/>
      <c r="V127" s="141">
        <f>429852.06/1000</f>
        <v>429.85205999999999</v>
      </c>
      <c r="W127" s="169"/>
      <c r="X127" s="141">
        <f>222394.06/1000</f>
        <v>222.39406</v>
      </c>
      <c r="Y127" s="169"/>
      <c r="Z127" s="141">
        <f>177751.06/1000</f>
        <v>177.75106</v>
      </c>
      <c r="AA127" s="169"/>
      <c r="AB127" s="141">
        <f>115362.06/1000</f>
        <v>115.36206</v>
      </c>
      <c r="AC127" s="169"/>
      <c r="AD127" s="141">
        <f>285599.1/1000</f>
        <v>285.59909999999996</v>
      </c>
      <c r="AE127" s="184"/>
      <c r="AF127" s="169"/>
      <c r="AG127" s="235"/>
      <c r="AH127" s="103"/>
      <c r="AI127" s="235"/>
    </row>
    <row r="128" spans="1:35" s="37" customFormat="1" ht="112.5" customHeight="1" x14ac:dyDescent="0.25">
      <c r="A128" s="79" t="s">
        <v>151</v>
      </c>
      <c r="B128" s="162">
        <f>B130</f>
        <v>0</v>
      </c>
      <c r="C128" s="162">
        <f t="shared" ref="C128:AB128" si="100">C130</f>
        <v>0</v>
      </c>
      <c r="D128" s="162"/>
      <c r="E128" s="162">
        <f t="shared" si="100"/>
        <v>0</v>
      </c>
      <c r="F128" s="124">
        <f>IFERROR(E128/B128,0)</f>
        <v>0</v>
      </c>
      <c r="G128" s="124">
        <f>IFERROR(E128/G130,0)</f>
        <v>0</v>
      </c>
      <c r="H128" s="162">
        <f>H130</f>
        <v>0</v>
      </c>
      <c r="I128" s="162">
        <f>I130</f>
        <v>0</v>
      </c>
      <c r="J128" s="162">
        <f t="shared" si="100"/>
        <v>0</v>
      </c>
      <c r="K128" s="162">
        <f t="shared" si="100"/>
        <v>0</v>
      </c>
      <c r="L128" s="162">
        <f t="shared" si="100"/>
        <v>0</v>
      </c>
      <c r="M128" s="162">
        <f t="shared" si="100"/>
        <v>0</v>
      </c>
      <c r="N128" s="162">
        <f t="shared" si="100"/>
        <v>0</v>
      </c>
      <c r="O128" s="162">
        <f t="shared" si="100"/>
        <v>0</v>
      </c>
      <c r="P128" s="162">
        <f t="shared" si="100"/>
        <v>0</v>
      </c>
      <c r="Q128" s="162">
        <f t="shared" si="100"/>
        <v>0</v>
      </c>
      <c r="R128" s="162">
        <f t="shared" si="100"/>
        <v>0</v>
      </c>
      <c r="S128" s="162">
        <f t="shared" si="100"/>
        <v>0</v>
      </c>
      <c r="T128" s="162">
        <f t="shared" si="100"/>
        <v>0</v>
      </c>
      <c r="U128" s="162">
        <f t="shared" si="100"/>
        <v>0</v>
      </c>
      <c r="V128" s="162">
        <f t="shared" si="100"/>
        <v>0</v>
      </c>
      <c r="W128" s="162">
        <f t="shared" si="100"/>
        <v>0</v>
      </c>
      <c r="X128" s="162">
        <f t="shared" si="100"/>
        <v>0</v>
      </c>
      <c r="Y128" s="162">
        <f t="shared" si="100"/>
        <v>0</v>
      </c>
      <c r="Z128" s="162">
        <f t="shared" si="100"/>
        <v>0</v>
      </c>
      <c r="AA128" s="162">
        <f t="shared" si="100"/>
        <v>0</v>
      </c>
      <c r="AB128" s="162">
        <f t="shared" si="100"/>
        <v>0</v>
      </c>
      <c r="AC128" s="162">
        <f t="shared" ref="AC128" si="101">AC130</f>
        <v>0</v>
      </c>
      <c r="AD128" s="162">
        <f t="shared" ref="AD128" si="102">AD130</f>
        <v>0</v>
      </c>
      <c r="AE128" s="162"/>
      <c r="AF128" s="61"/>
      <c r="AG128" s="235"/>
      <c r="AH128" s="103"/>
      <c r="AI128" s="235"/>
    </row>
    <row r="129" spans="1:35" s="37" customFormat="1" x14ac:dyDescent="0.25">
      <c r="A129" s="65" t="s">
        <v>25</v>
      </c>
      <c r="B129" s="147">
        <f>B130</f>
        <v>0</v>
      </c>
      <c r="C129" s="147">
        <f t="shared" ref="C129:AD129" si="103">C130</f>
        <v>0</v>
      </c>
      <c r="D129" s="147">
        <f t="shared" si="103"/>
        <v>0</v>
      </c>
      <c r="E129" s="147">
        <f t="shared" si="103"/>
        <v>0</v>
      </c>
      <c r="F129" s="66">
        <f>IFERROR(E129/B129,0)</f>
        <v>0</v>
      </c>
      <c r="G129" s="131">
        <f>IFERROR(E129/G131,0)</f>
        <v>0</v>
      </c>
      <c r="H129" s="147">
        <f>H130</f>
        <v>0</v>
      </c>
      <c r="I129" s="147">
        <f t="shared" si="103"/>
        <v>0</v>
      </c>
      <c r="J129" s="147">
        <f>J130</f>
        <v>0</v>
      </c>
      <c r="K129" s="147">
        <f t="shared" si="103"/>
        <v>0</v>
      </c>
      <c r="L129" s="147">
        <f t="shared" si="103"/>
        <v>0</v>
      </c>
      <c r="M129" s="147">
        <f t="shared" si="103"/>
        <v>0</v>
      </c>
      <c r="N129" s="147">
        <f t="shared" si="103"/>
        <v>0</v>
      </c>
      <c r="O129" s="147">
        <f t="shared" si="103"/>
        <v>0</v>
      </c>
      <c r="P129" s="147">
        <f t="shared" si="103"/>
        <v>0</v>
      </c>
      <c r="Q129" s="147">
        <f t="shared" si="103"/>
        <v>0</v>
      </c>
      <c r="R129" s="147">
        <f t="shared" si="103"/>
        <v>0</v>
      </c>
      <c r="S129" s="147">
        <f t="shared" si="103"/>
        <v>0</v>
      </c>
      <c r="T129" s="147">
        <f t="shared" si="103"/>
        <v>0</v>
      </c>
      <c r="U129" s="147">
        <f t="shared" si="103"/>
        <v>0</v>
      </c>
      <c r="V129" s="147">
        <f t="shared" si="103"/>
        <v>0</v>
      </c>
      <c r="W129" s="147">
        <f t="shared" si="103"/>
        <v>0</v>
      </c>
      <c r="X129" s="147">
        <f t="shared" si="103"/>
        <v>0</v>
      </c>
      <c r="Y129" s="147">
        <f t="shared" si="103"/>
        <v>0</v>
      </c>
      <c r="Z129" s="147">
        <f t="shared" si="103"/>
        <v>0</v>
      </c>
      <c r="AA129" s="147">
        <f t="shared" si="103"/>
        <v>0</v>
      </c>
      <c r="AB129" s="147">
        <f t="shared" si="103"/>
        <v>0</v>
      </c>
      <c r="AC129" s="147">
        <f t="shared" si="103"/>
        <v>0</v>
      </c>
      <c r="AD129" s="147">
        <f t="shared" si="103"/>
        <v>0</v>
      </c>
      <c r="AE129" s="180">
        <f t="shared" ref="AE129" si="104">AE130</f>
        <v>0</v>
      </c>
      <c r="AF129" s="39"/>
      <c r="AG129" s="235"/>
      <c r="AH129" s="103"/>
      <c r="AI129" s="235"/>
    </row>
    <row r="130" spans="1:35" s="37" customFormat="1" ht="22.5" customHeight="1" x14ac:dyDescent="0.25">
      <c r="A130" s="80" t="s">
        <v>104</v>
      </c>
      <c r="B130" s="142">
        <f>H130+J130+L130+N130+P130+R130+T130+V130+X130+Z130+AB130+AD130</f>
        <v>0</v>
      </c>
      <c r="C130" s="143">
        <f>H130+J130+L130+N130+P130+R130+T130+V130+X130+Z130+AB130</f>
        <v>0</v>
      </c>
      <c r="D130" s="143"/>
      <c r="E130" s="143">
        <f>I130+K130+M130+O130+Q130+S130+U130+W130+Y130+AA130+AC130+AE130</f>
        <v>0</v>
      </c>
      <c r="F130" s="75">
        <f>IFERROR(E130/B130,0)</f>
        <v>0</v>
      </c>
      <c r="G130" s="127">
        <f t="shared" ref="G130" si="105">IFERROR(E130/C130,0)</f>
        <v>0</v>
      </c>
      <c r="H130" s="172">
        <f t="shared" ref="H130:AD130" si="106">H132+H134</f>
        <v>0</v>
      </c>
      <c r="I130" s="172">
        <f t="shared" si="106"/>
        <v>0</v>
      </c>
      <c r="J130" s="172">
        <f t="shared" si="106"/>
        <v>0</v>
      </c>
      <c r="K130" s="172">
        <f t="shared" si="106"/>
        <v>0</v>
      </c>
      <c r="L130" s="172">
        <f t="shared" si="106"/>
        <v>0</v>
      </c>
      <c r="M130" s="172">
        <f t="shared" si="106"/>
        <v>0</v>
      </c>
      <c r="N130" s="172">
        <f t="shared" si="106"/>
        <v>0</v>
      </c>
      <c r="O130" s="172">
        <f t="shared" si="106"/>
        <v>0</v>
      </c>
      <c r="P130" s="172">
        <f t="shared" si="106"/>
        <v>0</v>
      </c>
      <c r="Q130" s="172">
        <f t="shared" si="106"/>
        <v>0</v>
      </c>
      <c r="R130" s="172">
        <f t="shared" si="106"/>
        <v>0</v>
      </c>
      <c r="S130" s="172">
        <f t="shared" si="106"/>
        <v>0</v>
      </c>
      <c r="T130" s="172">
        <f t="shared" si="106"/>
        <v>0</v>
      </c>
      <c r="U130" s="172">
        <f t="shared" si="106"/>
        <v>0</v>
      </c>
      <c r="V130" s="172">
        <f t="shared" si="106"/>
        <v>0</v>
      </c>
      <c r="W130" s="172">
        <f t="shared" si="106"/>
        <v>0</v>
      </c>
      <c r="X130" s="172">
        <f t="shared" si="106"/>
        <v>0</v>
      </c>
      <c r="Y130" s="172">
        <f t="shared" si="106"/>
        <v>0</v>
      </c>
      <c r="Z130" s="172">
        <f t="shared" si="106"/>
        <v>0</v>
      </c>
      <c r="AA130" s="172">
        <f t="shared" si="106"/>
        <v>0</v>
      </c>
      <c r="AB130" s="172">
        <f t="shared" si="106"/>
        <v>0</v>
      </c>
      <c r="AC130" s="172">
        <f t="shared" si="106"/>
        <v>0</v>
      </c>
      <c r="AD130" s="172">
        <f t="shared" si="106"/>
        <v>0</v>
      </c>
      <c r="AE130" s="172"/>
      <c r="AF130" s="78"/>
      <c r="AG130" s="235"/>
      <c r="AH130" s="103"/>
      <c r="AI130" s="235"/>
    </row>
    <row r="131" spans="1:35" s="37" customFormat="1" ht="73.5" customHeight="1" x14ac:dyDescent="0.25">
      <c r="A131" s="136" t="s">
        <v>125</v>
      </c>
      <c r="B131" s="157"/>
      <c r="C131" s="163"/>
      <c r="D131" s="163"/>
      <c r="E131" s="163"/>
      <c r="F131" s="76"/>
      <c r="G131" s="76"/>
      <c r="H131" s="163"/>
      <c r="I131" s="163"/>
      <c r="J131" s="163"/>
      <c r="K131" s="163"/>
      <c r="L131" s="163"/>
      <c r="M131" s="188"/>
      <c r="N131" s="163"/>
      <c r="O131" s="163"/>
      <c r="P131" s="163"/>
      <c r="Q131" s="163"/>
      <c r="R131" s="163"/>
      <c r="S131" s="163"/>
      <c r="T131" s="163"/>
      <c r="U131" s="163"/>
      <c r="V131" s="163"/>
      <c r="W131" s="163"/>
      <c r="X131" s="163"/>
      <c r="Y131" s="163"/>
      <c r="Z131" s="163"/>
      <c r="AA131" s="163"/>
      <c r="AB131" s="163"/>
      <c r="AC131" s="163"/>
      <c r="AD131" s="163"/>
      <c r="AE131" s="186"/>
      <c r="AF131" s="187" t="s">
        <v>241</v>
      </c>
      <c r="AG131" s="235"/>
      <c r="AH131" s="103"/>
      <c r="AI131" s="235"/>
    </row>
    <row r="132" spans="1:35" s="35" customFormat="1" ht="23.25" customHeight="1" x14ac:dyDescent="0.25">
      <c r="A132" s="72" t="s">
        <v>104</v>
      </c>
      <c r="B132" s="142">
        <f>H132+J132+L132+N132+P132+R132+T132+V132+X132+Z132+AB132+AD132</f>
        <v>0</v>
      </c>
      <c r="C132" s="143">
        <f>H132+J132+L132+N132+P132+R132+T132+V132</f>
        <v>0</v>
      </c>
      <c r="D132" s="143">
        <f>H132+J132+L132+N132+P132+R132+T132+V132</f>
        <v>0</v>
      </c>
      <c r="E132" s="143">
        <f>I132+K132+M132+O132+Q132+S132+U132+W132+Y132+AA132+AC132+AE132</f>
        <v>0</v>
      </c>
      <c r="F132" s="75">
        <f>IFERROR(E132/B132,0)</f>
        <v>0</v>
      </c>
      <c r="G132" s="127">
        <f t="shared" ref="G132" si="107">IFERROR(E132/C132,0)</f>
        <v>0</v>
      </c>
      <c r="H132" s="143">
        <v>0</v>
      </c>
      <c r="I132" s="143">
        <v>0</v>
      </c>
      <c r="J132" s="143">
        <v>0</v>
      </c>
      <c r="K132" s="143">
        <v>0</v>
      </c>
      <c r="L132" s="143">
        <v>0</v>
      </c>
      <c r="M132" s="143">
        <v>0</v>
      </c>
      <c r="N132" s="143">
        <v>0</v>
      </c>
      <c r="O132" s="143">
        <v>0</v>
      </c>
      <c r="P132" s="143">
        <v>0</v>
      </c>
      <c r="Q132" s="143">
        <v>0</v>
      </c>
      <c r="R132" s="143">
        <v>0</v>
      </c>
      <c r="S132" s="143">
        <v>0</v>
      </c>
      <c r="T132" s="143">
        <v>0</v>
      </c>
      <c r="U132" s="143">
        <v>0</v>
      </c>
      <c r="V132" s="143">
        <v>0</v>
      </c>
      <c r="W132" s="143">
        <v>0</v>
      </c>
      <c r="X132" s="143">
        <v>0</v>
      </c>
      <c r="Y132" s="143">
        <v>0</v>
      </c>
      <c r="Z132" s="143">
        <v>0</v>
      </c>
      <c r="AA132" s="143">
        <v>0</v>
      </c>
      <c r="AB132" s="143">
        <v>0</v>
      </c>
      <c r="AC132" s="143">
        <v>0</v>
      </c>
      <c r="AD132" s="143">
        <v>0</v>
      </c>
      <c r="AE132" s="172">
        <v>0</v>
      </c>
      <c r="AF132" s="78"/>
      <c r="AG132" s="235"/>
      <c r="AH132" s="103"/>
      <c r="AI132" s="235"/>
    </row>
    <row r="133" spans="1:35" s="37" customFormat="1" ht="207" x14ac:dyDescent="0.25">
      <c r="A133" s="136" t="s">
        <v>126</v>
      </c>
      <c r="B133" s="157"/>
      <c r="C133" s="163"/>
      <c r="D133" s="163"/>
      <c r="E133" s="163"/>
      <c r="F133" s="76"/>
      <c r="G133" s="76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  <c r="V133" s="163"/>
      <c r="W133" s="163"/>
      <c r="X133" s="163"/>
      <c r="Y133" s="163"/>
      <c r="Z133" s="163"/>
      <c r="AA133" s="163"/>
      <c r="AB133" s="163"/>
      <c r="AC133" s="163"/>
      <c r="AD133" s="163"/>
      <c r="AE133" s="186"/>
      <c r="AF133" s="191" t="s">
        <v>168</v>
      </c>
      <c r="AG133" s="235"/>
      <c r="AH133" s="103"/>
      <c r="AI133" s="235"/>
    </row>
    <row r="134" spans="1:35" s="35" customFormat="1" ht="23.25" customHeight="1" x14ac:dyDescent="0.25">
      <c r="A134" s="72" t="s">
        <v>104</v>
      </c>
      <c r="B134" s="142">
        <f>H134+J134+L134+N134+P134+R134+T134+V134+X134+Z134+AB134+AD134</f>
        <v>0</v>
      </c>
      <c r="C134" s="143">
        <f>H134+J134+L134+N134+P134+R134+T134+V134</f>
        <v>0</v>
      </c>
      <c r="D134" s="143">
        <f>H134+J134+L134+N134+P134+R134+T134+V134</f>
        <v>0</v>
      </c>
      <c r="E134" s="143">
        <f>I134+K134+M134+O134+Q134+S134+U134+W134+Y134+AA134+AC134+AE134</f>
        <v>0</v>
      </c>
      <c r="F134" s="75"/>
      <c r="G134" s="75"/>
      <c r="H134" s="143">
        <v>0</v>
      </c>
      <c r="I134" s="143">
        <v>0</v>
      </c>
      <c r="J134" s="143">
        <v>0</v>
      </c>
      <c r="K134" s="143">
        <v>0</v>
      </c>
      <c r="L134" s="143">
        <v>0</v>
      </c>
      <c r="M134" s="143">
        <v>0</v>
      </c>
      <c r="N134" s="143">
        <v>0</v>
      </c>
      <c r="O134" s="143">
        <v>0</v>
      </c>
      <c r="P134" s="143">
        <v>0</v>
      </c>
      <c r="Q134" s="143">
        <v>0</v>
      </c>
      <c r="R134" s="143">
        <v>0</v>
      </c>
      <c r="S134" s="143">
        <v>0</v>
      </c>
      <c r="T134" s="143">
        <v>0</v>
      </c>
      <c r="U134" s="143">
        <v>0</v>
      </c>
      <c r="V134" s="143">
        <v>0</v>
      </c>
      <c r="W134" s="143">
        <v>0</v>
      </c>
      <c r="X134" s="143">
        <v>0</v>
      </c>
      <c r="Y134" s="143">
        <v>0</v>
      </c>
      <c r="Z134" s="143">
        <v>0</v>
      </c>
      <c r="AA134" s="143">
        <v>0</v>
      </c>
      <c r="AB134" s="143">
        <v>0</v>
      </c>
      <c r="AC134" s="143">
        <v>0</v>
      </c>
      <c r="AD134" s="143">
        <v>0</v>
      </c>
      <c r="AE134" s="172">
        <v>0</v>
      </c>
      <c r="AF134" s="78"/>
      <c r="AG134" s="235"/>
      <c r="AH134" s="103"/>
      <c r="AI134" s="235"/>
    </row>
    <row r="135" spans="1:35" s="37" customFormat="1" ht="63" customHeight="1" x14ac:dyDescent="0.25">
      <c r="A135" s="82" t="s">
        <v>137</v>
      </c>
      <c r="B135" s="164">
        <f>B137</f>
        <v>72.69</v>
      </c>
      <c r="C135" s="164">
        <f t="shared" ref="C135:AD135" si="108">C137</f>
        <v>0</v>
      </c>
      <c r="D135" s="164">
        <f t="shared" si="108"/>
        <v>0</v>
      </c>
      <c r="E135" s="164">
        <f t="shared" si="108"/>
        <v>0</v>
      </c>
      <c r="F135" s="132">
        <f t="shared" ref="F135:F141" si="109">E135/B135</f>
        <v>0</v>
      </c>
      <c r="G135" s="132">
        <f t="shared" ref="G135:G138" si="110">IFERROR(E135/C135,0)</f>
        <v>0</v>
      </c>
      <c r="H135" s="164">
        <f>H137</f>
        <v>0</v>
      </c>
      <c r="I135" s="164">
        <f t="shared" si="108"/>
        <v>0</v>
      </c>
      <c r="J135" s="164">
        <f t="shared" si="108"/>
        <v>0</v>
      </c>
      <c r="K135" s="164">
        <f t="shared" si="108"/>
        <v>0</v>
      </c>
      <c r="L135" s="164">
        <f t="shared" si="108"/>
        <v>0</v>
      </c>
      <c r="M135" s="164">
        <f t="shared" si="108"/>
        <v>0</v>
      </c>
      <c r="N135" s="164">
        <f t="shared" si="108"/>
        <v>0</v>
      </c>
      <c r="O135" s="164">
        <f t="shared" si="108"/>
        <v>0</v>
      </c>
      <c r="P135" s="164">
        <f t="shared" si="108"/>
        <v>0</v>
      </c>
      <c r="Q135" s="164">
        <f t="shared" si="108"/>
        <v>0</v>
      </c>
      <c r="R135" s="164">
        <f t="shared" si="108"/>
        <v>0</v>
      </c>
      <c r="S135" s="164">
        <f t="shared" si="108"/>
        <v>0</v>
      </c>
      <c r="T135" s="164">
        <f t="shared" si="108"/>
        <v>0</v>
      </c>
      <c r="U135" s="164">
        <f t="shared" si="108"/>
        <v>0</v>
      </c>
      <c r="V135" s="164">
        <f t="shared" si="108"/>
        <v>0</v>
      </c>
      <c r="W135" s="164">
        <f t="shared" si="108"/>
        <v>0</v>
      </c>
      <c r="X135" s="164">
        <f t="shared" si="108"/>
        <v>0</v>
      </c>
      <c r="Y135" s="164">
        <f t="shared" si="108"/>
        <v>0</v>
      </c>
      <c r="Z135" s="164">
        <f t="shared" si="108"/>
        <v>72.69</v>
      </c>
      <c r="AA135" s="164">
        <f t="shared" si="108"/>
        <v>0</v>
      </c>
      <c r="AB135" s="164">
        <f t="shared" si="108"/>
        <v>0</v>
      </c>
      <c r="AC135" s="164">
        <f t="shared" si="108"/>
        <v>0</v>
      </c>
      <c r="AD135" s="164">
        <f t="shared" si="108"/>
        <v>0</v>
      </c>
      <c r="AE135" s="183"/>
      <c r="AF135" s="40"/>
      <c r="AG135" s="235"/>
      <c r="AH135" s="103"/>
      <c r="AI135" s="235"/>
    </row>
    <row r="136" spans="1:35" s="37" customFormat="1" ht="87" customHeight="1" x14ac:dyDescent="0.2">
      <c r="A136" s="192" t="s">
        <v>172</v>
      </c>
      <c r="B136" s="193"/>
      <c r="C136" s="193"/>
      <c r="D136" s="193"/>
      <c r="E136" s="193"/>
      <c r="F136" s="194"/>
      <c r="G136" s="194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  <c r="R136" s="193"/>
      <c r="S136" s="193"/>
      <c r="T136" s="193"/>
      <c r="U136" s="193"/>
      <c r="V136" s="193"/>
      <c r="W136" s="193"/>
      <c r="X136" s="193"/>
      <c r="Y136" s="193"/>
      <c r="Z136" s="193"/>
      <c r="AA136" s="193"/>
      <c r="AB136" s="193"/>
      <c r="AC136" s="193"/>
      <c r="AD136" s="193"/>
      <c r="AE136" s="195"/>
      <c r="AF136" s="196"/>
      <c r="AG136" s="235"/>
      <c r="AH136" s="103"/>
      <c r="AI136" s="235"/>
    </row>
    <row r="137" spans="1:35" s="60" customFormat="1" ht="99" customHeight="1" x14ac:dyDescent="0.25">
      <c r="A137" s="79" t="s">
        <v>152</v>
      </c>
      <c r="B137" s="162">
        <f>B138</f>
        <v>72.69</v>
      </c>
      <c r="C137" s="162">
        <f t="shared" ref="C137" si="111">C138</f>
        <v>0</v>
      </c>
      <c r="D137" s="162">
        <f>D138</f>
        <v>0</v>
      </c>
      <c r="E137" s="162">
        <f t="shared" ref="E137" si="112">E138</f>
        <v>0</v>
      </c>
      <c r="F137" s="124">
        <f t="shared" si="109"/>
        <v>0</v>
      </c>
      <c r="G137" s="124">
        <f t="shared" si="110"/>
        <v>0</v>
      </c>
      <c r="H137" s="162">
        <f t="shared" ref="H137" si="113">H138</f>
        <v>0</v>
      </c>
      <c r="I137" s="162">
        <f t="shared" ref="I137" si="114">I138</f>
        <v>0</v>
      </c>
      <c r="J137" s="162">
        <f t="shared" ref="J137" si="115">J138</f>
        <v>0</v>
      </c>
      <c r="K137" s="162">
        <f t="shared" ref="K137" si="116">K138</f>
        <v>0</v>
      </c>
      <c r="L137" s="162">
        <f t="shared" ref="L137" si="117">L138</f>
        <v>0</v>
      </c>
      <c r="M137" s="162">
        <f t="shared" ref="M137" si="118">M138</f>
        <v>0</v>
      </c>
      <c r="N137" s="162">
        <f t="shared" ref="N137" si="119">N138</f>
        <v>0</v>
      </c>
      <c r="O137" s="162">
        <f t="shared" ref="O137" si="120">O138</f>
        <v>0</v>
      </c>
      <c r="P137" s="162">
        <f t="shared" ref="P137" si="121">P138</f>
        <v>0</v>
      </c>
      <c r="Q137" s="162">
        <f t="shared" ref="Q137" si="122">Q138</f>
        <v>0</v>
      </c>
      <c r="R137" s="162">
        <f t="shared" ref="R137" si="123">R138</f>
        <v>0</v>
      </c>
      <c r="S137" s="162">
        <f t="shared" ref="S137" si="124">S138</f>
        <v>0</v>
      </c>
      <c r="T137" s="162">
        <f t="shared" ref="T137" si="125">T138</f>
        <v>0</v>
      </c>
      <c r="U137" s="162">
        <f t="shared" ref="U137" si="126">U138</f>
        <v>0</v>
      </c>
      <c r="V137" s="162">
        <f t="shared" ref="V137" si="127">V138</f>
        <v>0</v>
      </c>
      <c r="W137" s="162">
        <f t="shared" ref="W137" si="128">W138</f>
        <v>0</v>
      </c>
      <c r="X137" s="162">
        <f t="shared" ref="X137" si="129">X138</f>
        <v>0</v>
      </c>
      <c r="Y137" s="162">
        <f t="shared" ref="Y137" si="130">Y138</f>
        <v>0</v>
      </c>
      <c r="Z137" s="162">
        <f t="shared" ref="Z137" si="131">Z138</f>
        <v>72.69</v>
      </c>
      <c r="AA137" s="162">
        <f t="shared" ref="AA137" si="132">AA138</f>
        <v>0</v>
      </c>
      <c r="AB137" s="162">
        <f t="shared" ref="AB137" si="133">AB138</f>
        <v>0</v>
      </c>
      <c r="AC137" s="162">
        <f t="shared" ref="AC137" si="134">AC138</f>
        <v>0</v>
      </c>
      <c r="AD137" s="162">
        <f t="shared" ref="AD137" si="135">AD138</f>
        <v>0</v>
      </c>
      <c r="AE137" s="185"/>
      <c r="AF137" s="187" t="s">
        <v>186</v>
      </c>
      <c r="AG137" s="235"/>
      <c r="AH137" s="103"/>
      <c r="AI137" s="235"/>
    </row>
    <row r="138" spans="1:35" s="60" customFormat="1" ht="24.75" customHeight="1" x14ac:dyDescent="0.25">
      <c r="A138" s="83" t="s">
        <v>103</v>
      </c>
      <c r="B138" s="140">
        <f>H138+J138+L138+N138+P138+R138+T138+V138+X138+Z138+AB138+AD138</f>
        <v>72.69</v>
      </c>
      <c r="C138" s="141">
        <f>H138+J138+L138+N138+P138</f>
        <v>0</v>
      </c>
      <c r="D138" s="141"/>
      <c r="E138" s="141">
        <f>I138+K138+M138+O138+Q138+S138+U138+W138+Y138+AA138+AC138+AE138</f>
        <v>0</v>
      </c>
      <c r="F138" s="71">
        <f t="shared" si="109"/>
        <v>0</v>
      </c>
      <c r="G138" s="71">
        <f t="shared" si="110"/>
        <v>0</v>
      </c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141"/>
      <c r="U138" s="141"/>
      <c r="V138" s="141"/>
      <c r="W138" s="141"/>
      <c r="X138" s="141"/>
      <c r="Y138" s="141"/>
      <c r="Z138" s="141">
        <f>72690/1000</f>
        <v>72.69</v>
      </c>
      <c r="AA138" s="141"/>
      <c r="AB138" s="141"/>
      <c r="AC138" s="141"/>
      <c r="AD138" s="141"/>
      <c r="AE138" s="141"/>
      <c r="AF138" s="61"/>
      <c r="AG138" s="235"/>
      <c r="AH138" s="103"/>
      <c r="AI138" s="235"/>
    </row>
    <row r="139" spans="1:35" s="42" customFormat="1" ht="25.5" customHeight="1" x14ac:dyDescent="0.25">
      <c r="A139" s="65" t="s">
        <v>105</v>
      </c>
      <c r="B139" s="147">
        <f>B140+B141</f>
        <v>25102.185330000004</v>
      </c>
      <c r="C139" s="147">
        <f>C140+C141</f>
        <v>4470.8192300000001</v>
      </c>
      <c r="D139" s="147">
        <f>D140+D141</f>
        <v>4501.7923499999997</v>
      </c>
      <c r="E139" s="147">
        <f t="shared" ref="E139:AE139" si="136">E140+E141</f>
        <v>3117.6742699999995</v>
      </c>
      <c r="F139" s="66">
        <f t="shared" si="109"/>
        <v>0.12419931687278317</v>
      </c>
      <c r="G139" s="66">
        <f t="shared" ref="G139:G141" si="137">E139/C139</f>
        <v>0.69733847637583846</v>
      </c>
      <c r="H139" s="147">
        <f t="shared" si="136"/>
        <v>582.2863000000001</v>
      </c>
      <c r="I139" s="147">
        <f t="shared" si="136"/>
        <v>501.40995000000004</v>
      </c>
      <c r="J139" s="147">
        <f t="shared" si="136"/>
        <v>717.86668000000009</v>
      </c>
      <c r="K139" s="147">
        <f t="shared" si="136"/>
        <v>629.26767999999993</v>
      </c>
      <c r="L139" s="147">
        <f t="shared" si="136"/>
        <v>1118.08125</v>
      </c>
      <c r="M139" s="147">
        <f t="shared" si="136"/>
        <v>454.33565000000004</v>
      </c>
      <c r="N139" s="147">
        <f t="shared" si="136"/>
        <v>942.62761000000012</v>
      </c>
      <c r="O139" s="147">
        <f t="shared" si="136"/>
        <v>970.4831999999999</v>
      </c>
      <c r="P139" s="147">
        <f t="shared" si="136"/>
        <v>1109.95739</v>
      </c>
      <c r="Q139" s="147">
        <f t="shared" si="136"/>
        <v>562.17778999999996</v>
      </c>
      <c r="R139" s="147">
        <f t="shared" si="136"/>
        <v>5503.1931100000002</v>
      </c>
      <c r="S139" s="147">
        <f t="shared" si="136"/>
        <v>0</v>
      </c>
      <c r="T139" s="147">
        <f t="shared" si="136"/>
        <v>5449.9906600000004</v>
      </c>
      <c r="U139" s="147">
        <f t="shared" si="136"/>
        <v>0</v>
      </c>
      <c r="V139" s="147">
        <f t="shared" si="136"/>
        <v>5458.8376100000005</v>
      </c>
      <c r="W139" s="147">
        <f t="shared" si="136"/>
        <v>0</v>
      </c>
      <c r="X139" s="147">
        <f t="shared" si="136"/>
        <v>1489.0845399999998</v>
      </c>
      <c r="Y139" s="147">
        <f t="shared" si="136"/>
        <v>0</v>
      </c>
      <c r="Z139" s="147">
        <f t="shared" si="136"/>
        <v>1355.6086</v>
      </c>
      <c r="AA139" s="147">
        <f t="shared" si="136"/>
        <v>0</v>
      </c>
      <c r="AB139" s="147">
        <f t="shared" si="136"/>
        <v>798.90953999999988</v>
      </c>
      <c r="AC139" s="147">
        <f t="shared" si="136"/>
        <v>0</v>
      </c>
      <c r="AD139" s="147">
        <f t="shared" si="136"/>
        <v>575.74203999999997</v>
      </c>
      <c r="AE139" s="147">
        <f t="shared" si="136"/>
        <v>0</v>
      </c>
      <c r="AF139" s="41"/>
      <c r="AG139" s="235"/>
      <c r="AH139" s="103"/>
      <c r="AI139" s="235"/>
    </row>
    <row r="140" spans="1:35" s="37" customFormat="1" ht="24" customHeight="1" x14ac:dyDescent="0.25">
      <c r="A140" s="68" t="s">
        <v>103</v>
      </c>
      <c r="B140" s="140">
        <f>B11+B115+B124+B138</f>
        <v>6765.8899999999994</v>
      </c>
      <c r="C140" s="140">
        <f>C11+C115+C124+C138</f>
        <v>1743.4015400000001</v>
      </c>
      <c r="D140" s="140">
        <f>D11+D115+D124+D138</f>
        <v>1774.3746599999999</v>
      </c>
      <c r="E140" s="140">
        <f>E11+E115+E124+E138</f>
        <v>1467.5638399999998</v>
      </c>
      <c r="F140" s="130">
        <f t="shared" si="109"/>
        <v>0.21690625180131512</v>
      </c>
      <c r="G140" s="130">
        <f t="shared" si="137"/>
        <v>0.84178188806693366</v>
      </c>
      <c r="H140" s="140">
        <f t="shared" ref="H140:AE140" si="138">H11+H115+H124+H138</f>
        <v>549.18630000000007</v>
      </c>
      <c r="I140" s="140">
        <f t="shared" si="138"/>
        <v>501.40995000000004</v>
      </c>
      <c r="J140" s="140">
        <f t="shared" si="138"/>
        <v>269.51506000000001</v>
      </c>
      <c r="K140" s="140">
        <f t="shared" si="138"/>
        <v>270.34140000000002</v>
      </c>
      <c r="L140" s="140">
        <f t="shared" si="138"/>
        <v>169.86905999999999</v>
      </c>
      <c r="M140" s="140">
        <f t="shared" si="138"/>
        <v>108.55</v>
      </c>
      <c r="N140" s="140">
        <f t="shared" si="138"/>
        <v>396.64006000000006</v>
      </c>
      <c r="O140" s="140">
        <f t="shared" si="138"/>
        <v>390.23124999999999</v>
      </c>
      <c r="P140" s="140">
        <f t="shared" si="138"/>
        <v>358.19105999999999</v>
      </c>
      <c r="Q140" s="140">
        <f t="shared" si="138"/>
        <v>197.03124000000003</v>
      </c>
      <c r="R140" s="140">
        <f t="shared" si="138"/>
        <v>1051.1730600000001</v>
      </c>
      <c r="S140" s="140">
        <f t="shared" si="138"/>
        <v>0</v>
      </c>
      <c r="T140" s="140">
        <f t="shared" si="138"/>
        <v>620.41705999999999</v>
      </c>
      <c r="U140" s="140">
        <f t="shared" si="138"/>
        <v>0</v>
      </c>
      <c r="V140" s="140">
        <f t="shared" si="138"/>
        <v>1697.8520599999999</v>
      </c>
      <c r="W140" s="140">
        <f t="shared" si="138"/>
        <v>0</v>
      </c>
      <c r="X140" s="140">
        <f t="shared" si="138"/>
        <v>504.17905999999994</v>
      </c>
      <c r="Y140" s="140">
        <f t="shared" si="138"/>
        <v>0</v>
      </c>
      <c r="Z140" s="140">
        <f t="shared" si="138"/>
        <v>548.50605999999993</v>
      </c>
      <c r="AA140" s="140">
        <f t="shared" si="138"/>
        <v>0</v>
      </c>
      <c r="AB140" s="140">
        <f t="shared" si="138"/>
        <v>224.84206</v>
      </c>
      <c r="AC140" s="140">
        <f t="shared" si="138"/>
        <v>0</v>
      </c>
      <c r="AD140" s="140">
        <f t="shared" si="138"/>
        <v>375.51909999999998</v>
      </c>
      <c r="AE140" s="140">
        <f t="shared" si="138"/>
        <v>0</v>
      </c>
      <c r="AF140" s="69"/>
      <c r="AG140" s="235"/>
      <c r="AH140" s="103"/>
      <c r="AI140" s="235"/>
    </row>
    <row r="141" spans="1:35" s="37" customFormat="1" ht="27.75" customHeight="1" x14ac:dyDescent="0.25">
      <c r="A141" s="72" t="s">
        <v>104</v>
      </c>
      <c r="B141" s="142">
        <f>B12+B125+B116</f>
        <v>18336.295330000004</v>
      </c>
      <c r="C141" s="142">
        <f>C12+C125+C116</f>
        <v>2727.4176900000002</v>
      </c>
      <c r="D141" s="142">
        <f>D12+D125+D116</f>
        <v>2727.4176900000002</v>
      </c>
      <c r="E141" s="142">
        <f>E12+E125+E116</f>
        <v>1650.11043</v>
      </c>
      <c r="F141" s="127">
        <f t="shared" si="109"/>
        <v>8.9991484119491413E-2</v>
      </c>
      <c r="G141" s="127">
        <f t="shared" si="137"/>
        <v>0.60500833299207646</v>
      </c>
      <c r="H141" s="142">
        <f t="shared" ref="H141:AE141" si="139">H12+H125+H116</f>
        <v>33.1</v>
      </c>
      <c r="I141" s="142">
        <f t="shared" si="139"/>
        <v>0</v>
      </c>
      <c r="J141" s="142">
        <f t="shared" si="139"/>
        <v>448.35162000000003</v>
      </c>
      <c r="K141" s="142">
        <f t="shared" si="139"/>
        <v>358.92627999999996</v>
      </c>
      <c r="L141" s="142">
        <f t="shared" si="139"/>
        <v>948.21218999999996</v>
      </c>
      <c r="M141" s="142">
        <f t="shared" si="139"/>
        <v>345.78565000000003</v>
      </c>
      <c r="N141" s="142">
        <f t="shared" si="139"/>
        <v>545.98755000000006</v>
      </c>
      <c r="O141" s="142">
        <f t="shared" si="139"/>
        <v>580.25194999999997</v>
      </c>
      <c r="P141" s="142">
        <f t="shared" si="139"/>
        <v>751.76632999999993</v>
      </c>
      <c r="Q141" s="142">
        <f t="shared" si="139"/>
        <v>365.14654999999999</v>
      </c>
      <c r="R141" s="142">
        <f t="shared" si="139"/>
        <v>4452.0200500000001</v>
      </c>
      <c r="S141" s="142">
        <f t="shared" si="139"/>
        <v>0</v>
      </c>
      <c r="T141" s="142">
        <f t="shared" si="139"/>
        <v>4829.5736000000006</v>
      </c>
      <c r="U141" s="142">
        <f t="shared" si="139"/>
        <v>0</v>
      </c>
      <c r="V141" s="142">
        <f t="shared" si="139"/>
        <v>3760.9855500000003</v>
      </c>
      <c r="W141" s="142">
        <f t="shared" si="139"/>
        <v>0</v>
      </c>
      <c r="X141" s="142">
        <f t="shared" si="139"/>
        <v>984.90548000000001</v>
      </c>
      <c r="Y141" s="142">
        <f t="shared" si="139"/>
        <v>0</v>
      </c>
      <c r="Z141" s="142">
        <f t="shared" si="139"/>
        <v>807.10253999999998</v>
      </c>
      <c r="AA141" s="142">
        <f t="shared" si="139"/>
        <v>0</v>
      </c>
      <c r="AB141" s="142">
        <f t="shared" si="139"/>
        <v>574.06747999999993</v>
      </c>
      <c r="AC141" s="142">
        <f t="shared" si="139"/>
        <v>0</v>
      </c>
      <c r="AD141" s="142">
        <f t="shared" si="139"/>
        <v>200.22293999999999</v>
      </c>
      <c r="AE141" s="142">
        <f t="shared" si="139"/>
        <v>0</v>
      </c>
      <c r="AF141" s="73"/>
      <c r="AG141" s="235"/>
      <c r="AH141" s="103"/>
      <c r="AI141" s="235"/>
    </row>
    <row r="142" spans="1:35" s="37" customFormat="1" ht="9.75" customHeight="1" x14ac:dyDescent="0.3">
      <c r="A142" s="43"/>
      <c r="B142" s="43"/>
      <c r="C142" s="44"/>
      <c r="D142" s="44"/>
      <c r="E142" s="45"/>
      <c r="F142" s="45"/>
      <c r="G142" s="45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7"/>
      <c r="AH142" s="38"/>
    </row>
    <row r="143" spans="1:35" s="37" customFormat="1" ht="33" customHeight="1" x14ac:dyDescent="0.3">
      <c r="A143" s="43" t="s">
        <v>231</v>
      </c>
      <c r="B143" s="53"/>
      <c r="C143" s="202"/>
      <c r="D143" s="277" t="s">
        <v>242</v>
      </c>
      <c r="E143" s="277"/>
      <c r="F143" s="45"/>
      <c r="G143" s="45"/>
      <c r="H143" s="284"/>
      <c r="I143" s="284"/>
      <c r="J143" s="284"/>
      <c r="K143" s="46"/>
      <c r="L143" s="46"/>
      <c r="M143" s="46"/>
      <c r="N143" s="46"/>
      <c r="O143" s="46"/>
      <c r="P143" s="275"/>
      <c r="Q143" s="275"/>
      <c r="R143" s="275"/>
      <c r="S143" s="275"/>
      <c r="T143" s="275"/>
      <c r="U143" s="275"/>
      <c r="V143" s="275"/>
      <c r="W143" s="275"/>
      <c r="X143" s="275"/>
      <c r="Y143" s="275"/>
      <c r="Z143" s="275"/>
      <c r="AA143" s="275"/>
      <c r="AB143" s="275"/>
      <c r="AC143" s="46"/>
      <c r="AD143" s="46"/>
      <c r="AE143" s="46"/>
      <c r="AF143" s="47"/>
      <c r="AH143" s="38"/>
    </row>
    <row r="144" spans="1:35" ht="15.75" customHeight="1" x14ac:dyDescent="0.3">
      <c r="B144" s="56" t="s">
        <v>106</v>
      </c>
      <c r="D144" s="285" t="s">
        <v>107</v>
      </c>
      <c r="E144" s="285"/>
      <c r="F144" s="285"/>
      <c r="G144" s="58"/>
      <c r="H144" s="286"/>
      <c r="I144" s="286"/>
      <c r="J144" s="286"/>
      <c r="M144" s="35"/>
      <c r="N144" s="35"/>
      <c r="P144" s="276"/>
      <c r="Q144" s="276"/>
      <c r="R144" s="276"/>
      <c r="S144" s="276"/>
      <c r="T144" s="276"/>
      <c r="U144" s="49"/>
      <c r="AA144" s="57"/>
      <c r="AB144" s="57"/>
      <c r="AC144" s="57"/>
      <c r="AD144" s="50"/>
    </row>
    <row r="145" spans="1:43" ht="10.5" customHeight="1" x14ac:dyDescent="0.3">
      <c r="A145" s="49"/>
      <c r="B145" s="48"/>
      <c r="E145" s="49"/>
      <c r="F145" s="50"/>
      <c r="G145" s="50"/>
      <c r="H145" s="51"/>
      <c r="I145" s="52"/>
      <c r="M145" s="35"/>
      <c r="N145" s="35"/>
      <c r="P145" s="276"/>
      <c r="Q145" s="276"/>
      <c r="R145" s="276"/>
      <c r="S145" s="276"/>
      <c r="T145" s="276"/>
      <c r="U145" s="49"/>
      <c r="V145" s="20"/>
      <c r="W145" s="20"/>
      <c r="X145" s="20"/>
      <c r="Y145" s="20"/>
      <c r="AA145" s="20"/>
      <c r="AB145" s="35"/>
      <c r="AC145" s="57"/>
      <c r="AD145" s="50"/>
      <c r="AE145" s="20"/>
      <c r="AF145" s="19"/>
      <c r="AG145" s="19"/>
      <c r="AH145" s="54"/>
      <c r="AI145" s="19"/>
      <c r="AJ145" s="19"/>
      <c r="AK145" s="19"/>
      <c r="AL145" s="19"/>
      <c r="AM145" s="19"/>
      <c r="AN145" s="19"/>
      <c r="AO145" s="19"/>
      <c r="AP145" s="19"/>
      <c r="AQ145" s="18"/>
    </row>
    <row r="146" spans="1:43" ht="18.75" customHeight="1" x14ac:dyDescent="0.25">
      <c r="A146" s="260" t="s">
        <v>108</v>
      </c>
      <c r="B146" s="260"/>
      <c r="C146" s="260"/>
      <c r="D146" s="260"/>
      <c r="E146" s="260"/>
      <c r="F146" s="260"/>
      <c r="G146" s="260"/>
      <c r="H146" s="260"/>
      <c r="U146" s="55"/>
      <c r="Y146" s="55"/>
    </row>
    <row r="147" spans="1:43" ht="15.75" customHeight="1" x14ac:dyDescent="0.25">
      <c r="A147" s="260" t="s">
        <v>109</v>
      </c>
      <c r="B147" s="260"/>
    </row>
    <row r="148" spans="1:43" ht="7.5" customHeight="1" x14ac:dyDescent="0.25">
      <c r="A148" s="62"/>
    </row>
    <row r="149" spans="1:43" ht="15.75" customHeight="1" x14ac:dyDescent="0.25"/>
    <row r="150" spans="1:43" ht="15.75" customHeight="1" x14ac:dyDescent="0.25"/>
    <row r="151" spans="1:43" ht="15.75" customHeight="1" x14ac:dyDescent="0.25">
      <c r="F151" s="20"/>
      <c r="G151" s="20"/>
    </row>
    <row r="152" spans="1:43" ht="15.75" customHeight="1" x14ac:dyDescent="0.25"/>
  </sheetData>
  <mergeCells count="41">
    <mergeCell ref="A2:AF2"/>
    <mergeCell ref="AD4:AE4"/>
    <mergeCell ref="AB4:AC4"/>
    <mergeCell ref="Z4:AA4"/>
    <mergeCell ref="X4:Y4"/>
    <mergeCell ref="V4:W4"/>
    <mergeCell ref="T4:U4"/>
    <mergeCell ref="R4:S4"/>
    <mergeCell ref="P4:Q4"/>
    <mergeCell ref="N4:O4"/>
    <mergeCell ref="L4:M4"/>
    <mergeCell ref="J4:K4"/>
    <mergeCell ref="H4:I4"/>
    <mergeCell ref="AB3:AD3"/>
    <mergeCell ref="F4:G4"/>
    <mergeCell ref="E4:E5"/>
    <mergeCell ref="AF104:AF106"/>
    <mergeCell ref="A146:H146"/>
    <mergeCell ref="A4:A5"/>
    <mergeCell ref="B4:B5"/>
    <mergeCell ref="D4:D5"/>
    <mergeCell ref="C4:C5"/>
    <mergeCell ref="H143:J143"/>
    <mergeCell ref="D144:F144"/>
    <mergeCell ref="H144:J144"/>
    <mergeCell ref="A147:B147"/>
    <mergeCell ref="AF64:AF73"/>
    <mergeCell ref="AF74:AF83"/>
    <mergeCell ref="A3:T3"/>
    <mergeCell ref="AF44:AF53"/>
    <mergeCell ref="AF54:AF63"/>
    <mergeCell ref="AF4:AF5"/>
    <mergeCell ref="AF13:AF16"/>
    <mergeCell ref="AF25:AF29"/>
    <mergeCell ref="AF17:AF24"/>
    <mergeCell ref="AF30:AF36"/>
    <mergeCell ref="P143:AB143"/>
    <mergeCell ref="P144:T145"/>
    <mergeCell ref="D143:E143"/>
    <mergeCell ref="AF84:AF93"/>
    <mergeCell ref="AF94:AF103"/>
  </mergeCells>
  <printOptions horizontalCentered="1"/>
  <pageMargins left="0" right="0" top="0.98425196850393704" bottom="0.15748031496062992" header="0" footer="0"/>
  <pageSetup paperSize="9" scale="36" fitToHeight="0" orientation="landscape" r:id="rId1"/>
  <rowBreaks count="3" manualBreakCount="3">
    <brk id="36" max="31" man="1"/>
    <brk id="73" max="31" man="1"/>
    <brk id="103" max="31" man="1"/>
  </rowBreaks>
  <colBreaks count="1" manualBreakCount="1">
    <brk id="21" max="147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8"/>
  <sheetViews>
    <sheetView topLeftCell="A121" workbookViewId="0">
      <selection activeCell="D227" sqref="D227"/>
    </sheetView>
  </sheetViews>
  <sheetFormatPr defaultColWidth="9.140625" defaultRowHeight="16.5" x14ac:dyDescent="0.25"/>
  <cols>
    <col min="1" max="1" width="14" style="88" customWidth="1"/>
    <col min="2" max="2" width="37" style="88" customWidth="1"/>
    <col min="3" max="3" width="26.85546875" style="88" customWidth="1"/>
    <col min="4" max="4" width="20.140625" style="88" customWidth="1"/>
    <col min="5" max="5" width="13.28515625" style="88" customWidth="1"/>
    <col min="6" max="6" width="13.7109375" style="88" customWidth="1"/>
    <col min="7" max="7" width="13" style="88" customWidth="1"/>
    <col min="8" max="8" width="12" style="88" customWidth="1"/>
    <col min="9" max="11" width="13.85546875" style="88" bestFit="1" customWidth="1"/>
    <col min="12" max="20" width="9.140625" style="88"/>
    <col min="21" max="21" width="11.85546875" style="88" bestFit="1" customWidth="1"/>
    <col min="22" max="16384" width="9.140625" style="88"/>
  </cols>
  <sheetData>
    <row r="1" spans="1:8" ht="20.25" customHeight="1" x14ac:dyDescent="0.25">
      <c r="A1" s="213"/>
      <c r="B1" s="213"/>
      <c r="C1" s="213"/>
      <c r="D1" s="213"/>
      <c r="E1" s="213"/>
      <c r="F1" s="313" t="s">
        <v>127</v>
      </c>
      <c r="G1" s="313"/>
      <c r="H1" s="313"/>
    </row>
    <row r="2" spans="1:8" ht="20.25" customHeight="1" x14ac:dyDescent="0.25">
      <c r="A2" s="213"/>
      <c r="B2" s="213"/>
      <c r="C2" s="213"/>
      <c r="D2" s="213"/>
      <c r="E2" s="213"/>
      <c r="F2" s="214"/>
      <c r="G2" s="214"/>
      <c r="H2" s="214"/>
    </row>
    <row r="3" spans="1:8" ht="18.75" customHeight="1" x14ac:dyDescent="0.3">
      <c r="A3" s="314"/>
      <c r="B3" s="314"/>
      <c r="C3" s="314"/>
      <c r="D3" s="314"/>
      <c r="E3" s="314"/>
      <c r="F3" s="314"/>
      <c r="G3" s="314"/>
      <c r="H3" s="314"/>
    </row>
    <row r="4" spans="1:8" ht="18.75" customHeight="1" x14ac:dyDescent="0.3">
      <c r="A4" s="314" t="s">
        <v>113</v>
      </c>
      <c r="B4" s="314"/>
      <c r="C4" s="314"/>
      <c r="D4" s="314"/>
      <c r="E4" s="314"/>
      <c r="F4" s="314"/>
      <c r="G4" s="314"/>
      <c r="H4" s="314"/>
    </row>
    <row r="5" spans="1:8" ht="18.75" customHeight="1" x14ac:dyDescent="0.3">
      <c r="A5" s="215"/>
      <c r="B5" s="215"/>
      <c r="C5" s="215"/>
      <c r="D5" s="215"/>
      <c r="E5" s="215"/>
      <c r="F5" s="215"/>
      <c r="G5" s="215"/>
      <c r="H5" s="215"/>
    </row>
    <row r="6" spans="1:8" ht="33" customHeight="1" x14ac:dyDescent="0.25">
      <c r="A6" s="309" t="s">
        <v>128</v>
      </c>
      <c r="B6" s="309" t="s">
        <v>129</v>
      </c>
      <c r="C6" s="309" t="s">
        <v>130</v>
      </c>
      <c r="D6" s="309" t="s">
        <v>2</v>
      </c>
      <c r="E6" s="309" t="s">
        <v>30</v>
      </c>
      <c r="F6" s="309"/>
      <c r="G6" s="309"/>
      <c r="H6" s="309"/>
    </row>
    <row r="7" spans="1:8" ht="22.5" customHeight="1" x14ac:dyDescent="0.25">
      <c r="A7" s="309"/>
      <c r="B7" s="309"/>
      <c r="C7" s="309"/>
      <c r="D7" s="309"/>
      <c r="E7" s="309" t="s">
        <v>3</v>
      </c>
      <c r="F7" s="309"/>
      <c r="G7" s="309"/>
      <c r="H7" s="309"/>
    </row>
    <row r="8" spans="1:8" ht="27.75" customHeight="1" x14ac:dyDescent="0.25">
      <c r="A8" s="309"/>
      <c r="B8" s="309"/>
      <c r="C8" s="309"/>
      <c r="D8" s="309"/>
      <c r="E8" s="315"/>
      <c r="F8" s="211" t="s">
        <v>131</v>
      </c>
      <c r="G8" s="211" t="s">
        <v>132</v>
      </c>
      <c r="H8" s="211" t="s">
        <v>133</v>
      </c>
    </row>
    <row r="9" spans="1:8" ht="19.5" customHeight="1" x14ac:dyDescent="0.25">
      <c r="A9" s="216">
        <v>1</v>
      </c>
      <c r="B9" s="216">
        <v>2</v>
      </c>
      <c r="C9" s="216">
        <v>3</v>
      </c>
      <c r="D9" s="216">
        <v>4</v>
      </c>
      <c r="E9" s="216">
        <v>5</v>
      </c>
      <c r="F9" s="216">
        <v>6</v>
      </c>
      <c r="G9" s="216">
        <v>7</v>
      </c>
      <c r="H9" s="216">
        <v>8</v>
      </c>
    </row>
    <row r="10" spans="1:8" ht="21" customHeight="1" x14ac:dyDescent="0.25">
      <c r="A10" s="310" t="s">
        <v>58</v>
      </c>
      <c r="B10" s="310"/>
      <c r="C10" s="310"/>
      <c r="D10" s="310"/>
      <c r="E10" s="310"/>
      <c r="F10" s="310"/>
      <c r="G10" s="310"/>
      <c r="H10" s="310"/>
    </row>
    <row r="11" spans="1:8" ht="27" customHeight="1" x14ac:dyDescent="0.25">
      <c r="A11" s="302" t="s">
        <v>31</v>
      </c>
      <c r="B11" s="305" t="s">
        <v>188</v>
      </c>
      <c r="C11" s="298" t="s">
        <v>189</v>
      </c>
      <c r="D11" s="211" t="s">
        <v>3</v>
      </c>
      <c r="E11" s="217">
        <f>E13+E14</f>
        <v>65191.125870000003</v>
      </c>
      <c r="F11" s="217">
        <f t="shared" ref="F11:G11" si="0">F13+F14</f>
        <v>21692.230610000002</v>
      </c>
      <c r="G11" s="217">
        <f t="shared" si="0"/>
        <v>21748.441569999999</v>
      </c>
      <c r="H11" s="217">
        <f>H13+H14</f>
        <v>21750.453689999998</v>
      </c>
    </row>
    <row r="12" spans="1:8" ht="35.25" customHeight="1" x14ac:dyDescent="0.25">
      <c r="A12" s="303"/>
      <c r="B12" s="306"/>
      <c r="C12" s="299"/>
      <c r="D12" s="211" t="s">
        <v>190</v>
      </c>
      <c r="E12" s="217">
        <v>0</v>
      </c>
      <c r="F12" s="217">
        <v>0</v>
      </c>
      <c r="G12" s="217">
        <v>0</v>
      </c>
      <c r="H12" s="217">
        <v>0</v>
      </c>
    </row>
    <row r="13" spans="1:8" ht="49.5" customHeight="1" x14ac:dyDescent="0.25">
      <c r="A13" s="303"/>
      <c r="B13" s="306"/>
      <c r="C13" s="299"/>
      <c r="D13" s="211" t="s">
        <v>103</v>
      </c>
      <c r="E13" s="217">
        <f>F13+G13+H13</f>
        <v>10067.605</v>
      </c>
      <c r="F13" s="217">
        <f>F17+F20+F23+F27</f>
        <v>3355.9349999999999</v>
      </c>
      <c r="G13" s="217">
        <f t="shared" ref="G13:H14" si="1">G17+G20+G23+G27</f>
        <v>3355.835</v>
      </c>
      <c r="H13" s="217">
        <f t="shared" si="1"/>
        <v>3355.835</v>
      </c>
    </row>
    <row r="14" spans="1:8" ht="39" customHeight="1" x14ac:dyDescent="0.25">
      <c r="A14" s="303"/>
      <c r="B14" s="306"/>
      <c r="C14" s="299"/>
      <c r="D14" s="211" t="s">
        <v>104</v>
      </c>
      <c r="E14" s="217">
        <f>F14+G14+H14</f>
        <v>55123.520870000008</v>
      </c>
      <c r="F14" s="217">
        <f>F18+F21+F24+F28</f>
        <v>18336.295610000001</v>
      </c>
      <c r="G14" s="217">
        <f t="shared" si="1"/>
        <v>18392.60657</v>
      </c>
      <c r="H14" s="217">
        <f t="shared" si="1"/>
        <v>18394.618689999999</v>
      </c>
    </row>
    <row r="15" spans="1:8" ht="50.25" customHeight="1" x14ac:dyDescent="0.25">
      <c r="A15" s="304"/>
      <c r="B15" s="307"/>
      <c r="C15" s="300"/>
      <c r="D15" s="211" t="s">
        <v>191</v>
      </c>
      <c r="E15" s="217">
        <v>0</v>
      </c>
      <c r="F15" s="217">
        <v>0</v>
      </c>
      <c r="G15" s="217">
        <v>0</v>
      </c>
      <c r="H15" s="217">
        <v>0</v>
      </c>
    </row>
    <row r="16" spans="1:8" ht="27.75" customHeight="1" x14ac:dyDescent="0.25">
      <c r="A16" s="308" t="s">
        <v>114</v>
      </c>
      <c r="B16" s="305" t="s">
        <v>192</v>
      </c>
      <c r="C16" s="309" t="s">
        <v>193</v>
      </c>
      <c r="D16" s="211" t="s">
        <v>3</v>
      </c>
      <c r="E16" s="217">
        <f t="shared" ref="E16:H16" si="2">E17+E18</f>
        <v>33742.588480000006</v>
      </c>
      <c r="F16" s="217">
        <f t="shared" si="2"/>
        <v>11208.887780000001</v>
      </c>
      <c r="G16" s="217">
        <f t="shared" si="2"/>
        <v>11266.850350000001</v>
      </c>
      <c r="H16" s="217">
        <f t="shared" si="2"/>
        <v>11266.850350000001</v>
      </c>
    </row>
    <row r="17" spans="1:21" ht="49.5" customHeight="1" x14ac:dyDescent="0.25">
      <c r="A17" s="308"/>
      <c r="B17" s="306"/>
      <c r="C17" s="309"/>
      <c r="D17" s="211" t="s">
        <v>115</v>
      </c>
      <c r="E17" s="217">
        <f>F17+G17+H17</f>
        <v>4815</v>
      </c>
      <c r="F17" s="217">
        <f>(2675*600)/1000</f>
        <v>1605</v>
      </c>
      <c r="G17" s="217">
        <f t="shared" ref="G17:H17" si="3">(2675*600)/1000</f>
        <v>1605</v>
      </c>
      <c r="H17" s="217">
        <f t="shared" si="3"/>
        <v>1605</v>
      </c>
    </row>
    <row r="18" spans="1:21" ht="39.75" customHeight="1" x14ac:dyDescent="0.25">
      <c r="A18" s="308"/>
      <c r="B18" s="307"/>
      <c r="C18" s="309"/>
      <c r="D18" s="211" t="s">
        <v>104</v>
      </c>
      <c r="E18" s="217">
        <f>F18+G18+H18</f>
        <v>28927.588480000002</v>
      </c>
      <c r="F18" s="217">
        <f>10441.23398+60.12067+520.70605-1605+175.01782+1.00396+10.8053</f>
        <v>9603.8877800000009</v>
      </c>
      <c r="G18" s="217">
        <f>10439.66907+60.12067+580.77205-1605+174.4793+1.00396+10.8053</f>
        <v>9661.8503500000006</v>
      </c>
      <c r="H18" s="217">
        <f>10439.66907+60.12067+580.77205-1605+174.4793+1.00396+10.8053</f>
        <v>9661.8503500000006</v>
      </c>
    </row>
    <row r="19" spans="1:21" ht="25.5" customHeight="1" x14ac:dyDescent="0.25">
      <c r="A19" s="308" t="s">
        <v>116</v>
      </c>
      <c r="B19" s="305" t="s">
        <v>194</v>
      </c>
      <c r="C19" s="309" t="s">
        <v>193</v>
      </c>
      <c r="D19" s="211" t="s">
        <v>3</v>
      </c>
      <c r="E19" s="217">
        <f t="shared" ref="E19:H19" si="4">E20+E21</f>
        <v>5756.7364799999996</v>
      </c>
      <c r="F19" s="217">
        <f t="shared" si="4"/>
        <v>1919.0013000000001</v>
      </c>
      <c r="G19" s="217">
        <f t="shared" si="4"/>
        <v>1918.8761200000001</v>
      </c>
      <c r="H19" s="217">
        <f t="shared" si="4"/>
        <v>1918.85906</v>
      </c>
    </row>
    <row r="20" spans="1:21" ht="49.5" customHeight="1" x14ac:dyDescent="0.25">
      <c r="A20" s="308"/>
      <c r="B20" s="306"/>
      <c r="C20" s="309"/>
      <c r="D20" s="211" t="s">
        <v>115</v>
      </c>
      <c r="E20" s="217">
        <f>F20+G20+H20</f>
        <v>650.02500000000009</v>
      </c>
      <c r="F20" s="217">
        <f>(2675*81)/1000</f>
        <v>216.67500000000001</v>
      </c>
      <c r="G20" s="217">
        <f>(2675*81)/1000</f>
        <v>216.67500000000001</v>
      </c>
      <c r="H20" s="217">
        <f>(2675*81)/1000</f>
        <v>216.67500000000001</v>
      </c>
    </row>
    <row r="21" spans="1:21" ht="39.75" customHeight="1" x14ac:dyDescent="0.25">
      <c r="A21" s="308"/>
      <c r="B21" s="307"/>
      <c r="C21" s="309"/>
      <c r="D21" s="211" t="s">
        <v>104</v>
      </c>
      <c r="E21" s="217">
        <f>F21+G21+H21</f>
        <v>5106.7114799999999</v>
      </c>
      <c r="F21" s="217">
        <f>1412.66091-216.675+506.34039</f>
        <v>1702.3263000000002</v>
      </c>
      <c r="G21" s="217">
        <f>1412.7715-216.675+506.10462</f>
        <v>1702.2011200000002</v>
      </c>
      <c r="H21" s="217">
        <f>1412.71615-216.675+506.14291</f>
        <v>1702.18406</v>
      </c>
    </row>
    <row r="22" spans="1:21" ht="30" customHeight="1" x14ac:dyDescent="0.25">
      <c r="A22" s="308" t="s">
        <v>117</v>
      </c>
      <c r="B22" s="305" t="s">
        <v>124</v>
      </c>
      <c r="C22" s="309" t="s">
        <v>193</v>
      </c>
      <c r="D22" s="211" t="s">
        <v>3</v>
      </c>
      <c r="E22" s="217">
        <f t="shared" ref="E22:H22" si="5">E24+E23</f>
        <v>5482.9058399999994</v>
      </c>
      <c r="F22" s="217">
        <f t="shared" si="5"/>
        <v>1827.8378399999999</v>
      </c>
      <c r="G22" s="217">
        <f t="shared" si="5"/>
        <v>1827.5339999999999</v>
      </c>
      <c r="H22" s="217">
        <f t="shared" si="5"/>
        <v>1827.5339999999999</v>
      </c>
    </row>
    <row r="23" spans="1:21" ht="51" customHeight="1" x14ac:dyDescent="0.25">
      <c r="A23" s="308"/>
      <c r="B23" s="306"/>
      <c r="C23" s="309"/>
      <c r="D23" s="211" t="s">
        <v>103</v>
      </c>
      <c r="E23" s="217">
        <f>F23+G23+H23</f>
        <v>0</v>
      </c>
      <c r="F23" s="217">
        <v>0</v>
      </c>
      <c r="G23" s="217">
        <v>0</v>
      </c>
      <c r="H23" s="217">
        <v>0</v>
      </c>
    </row>
    <row r="24" spans="1:21" ht="36" customHeight="1" x14ac:dyDescent="0.25">
      <c r="A24" s="308"/>
      <c r="B24" s="307"/>
      <c r="C24" s="309"/>
      <c r="D24" s="211" t="s">
        <v>104</v>
      </c>
      <c r="E24" s="217">
        <f>F24+G24+H24</f>
        <v>5482.9058399999994</v>
      </c>
      <c r="F24" s="217">
        <f>1526.7953+272.34585+24.37374+4.32295</f>
        <v>1827.8378399999999</v>
      </c>
      <c r="G24" s="217">
        <f>1526.56646+272.34585+24.29874+4.32295</f>
        <v>1827.5339999999999</v>
      </c>
      <c r="H24" s="217">
        <f>1526.56646+272.34585+24.29874+4.32295</f>
        <v>1827.5339999999999</v>
      </c>
    </row>
    <row r="25" spans="1:21" ht="104.25" customHeight="1" x14ac:dyDescent="0.25">
      <c r="A25" s="212" t="s">
        <v>118</v>
      </c>
      <c r="B25" s="210" t="s">
        <v>195</v>
      </c>
      <c r="C25" s="211" t="s">
        <v>193</v>
      </c>
      <c r="D25" s="309" t="s">
        <v>16</v>
      </c>
      <c r="E25" s="309"/>
      <c r="F25" s="309"/>
      <c r="G25" s="309"/>
      <c r="H25" s="309"/>
    </row>
    <row r="26" spans="1:21" ht="32.25" customHeight="1" x14ac:dyDescent="0.25">
      <c r="A26" s="302" t="s">
        <v>119</v>
      </c>
      <c r="B26" s="305" t="s">
        <v>196</v>
      </c>
      <c r="C26" s="312" t="s">
        <v>197</v>
      </c>
      <c r="D26" s="211" t="s">
        <v>3</v>
      </c>
      <c r="E26" s="217">
        <f>E27+E28</f>
        <v>20208.895069999999</v>
      </c>
      <c r="F26" s="217">
        <f>F27+F28</f>
        <v>6736.5036900000005</v>
      </c>
      <c r="G26" s="217">
        <f>G27+G28</f>
        <v>6735.1810999999998</v>
      </c>
      <c r="H26" s="217">
        <f>H27+H28</f>
        <v>6737.2102799999993</v>
      </c>
    </row>
    <row r="27" spans="1:21" ht="53.25" customHeight="1" x14ac:dyDescent="0.25">
      <c r="A27" s="303"/>
      <c r="B27" s="306"/>
      <c r="C27" s="312"/>
      <c r="D27" s="211" t="s">
        <v>115</v>
      </c>
      <c r="E27" s="217">
        <f>F27+G27+H27</f>
        <v>4602.58</v>
      </c>
      <c r="F27" s="217">
        <f>F30+F33+F36+F39+F42+F45</f>
        <v>1534.26</v>
      </c>
      <c r="G27" s="217">
        <f>G30+G33+G36+G39+G42+G45-0.1</f>
        <v>1534.1600000000003</v>
      </c>
      <c r="H27" s="217">
        <f>H30+H33+H36+H39+H42+H45-0.1</f>
        <v>1534.1600000000003</v>
      </c>
    </row>
    <row r="28" spans="1:21" ht="81" customHeight="1" x14ac:dyDescent="0.25">
      <c r="A28" s="303"/>
      <c r="B28" s="306"/>
      <c r="C28" s="312"/>
      <c r="D28" s="211" t="s">
        <v>104</v>
      </c>
      <c r="E28" s="217">
        <f>F28+G28+H28</f>
        <v>15606.315070000001</v>
      </c>
      <c r="F28" s="218">
        <f>F31+F34+F37+F40+F43+F46</f>
        <v>5202.2436900000002</v>
      </c>
      <c r="G28" s="218">
        <f t="shared" ref="G28:H28" si="6">G31+G34+G37+G40+G43+G46</f>
        <v>5201.0210999999999</v>
      </c>
      <c r="H28" s="218">
        <f t="shared" si="6"/>
        <v>5203.0502799999995</v>
      </c>
      <c r="N28" s="219"/>
      <c r="O28" s="219"/>
      <c r="P28" s="219"/>
      <c r="Q28" s="219"/>
      <c r="R28" s="220"/>
    </row>
    <row r="29" spans="1:21" ht="29.25" customHeight="1" x14ac:dyDescent="0.25">
      <c r="A29" s="303"/>
      <c r="B29" s="306"/>
      <c r="C29" s="309" t="s">
        <v>198</v>
      </c>
      <c r="D29" s="211" t="s">
        <v>3</v>
      </c>
      <c r="E29" s="217">
        <f>E30+E31</f>
        <v>11361.679620000001</v>
      </c>
      <c r="F29" s="217">
        <f t="shared" ref="F29:H29" si="7">F30+F31</f>
        <v>3787.1214500000001</v>
      </c>
      <c r="G29" s="217">
        <f t="shared" si="7"/>
        <v>3786.9039200000002</v>
      </c>
      <c r="H29" s="217">
        <f t="shared" si="7"/>
        <v>3787.65425</v>
      </c>
    </row>
    <row r="30" spans="1:21" ht="51.75" customHeight="1" x14ac:dyDescent="0.25">
      <c r="A30" s="303"/>
      <c r="B30" s="306"/>
      <c r="C30" s="309"/>
      <c r="D30" s="211" t="s">
        <v>115</v>
      </c>
      <c r="E30" s="217">
        <f>F30+G30+H30</f>
        <v>2579.58</v>
      </c>
      <c r="F30" s="217">
        <f>(8430*51*2)/1000</f>
        <v>859.86</v>
      </c>
      <c r="G30" s="217">
        <f>(8430*51*2)/1000</f>
        <v>859.86</v>
      </c>
      <c r="H30" s="217">
        <f>(8430*51*2)/1000</f>
        <v>859.86</v>
      </c>
    </row>
    <row r="31" spans="1:21" ht="42.75" customHeight="1" x14ac:dyDescent="0.25">
      <c r="A31" s="303"/>
      <c r="B31" s="306"/>
      <c r="C31" s="309"/>
      <c r="D31" s="211" t="s">
        <v>104</v>
      </c>
      <c r="E31" s="217">
        <f>F31+G31+H31</f>
        <v>8782.0996200000009</v>
      </c>
      <c r="F31" s="217">
        <f>3550.47941-859.86+236.64204</f>
        <v>2927.26145</v>
      </c>
      <c r="G31" s="217">
        <f>3550.26188-859.86+236.64204</f>
        <v>2927.0439200000001</v>
      </c>
      <c r="H31" s="217">
        <f>3551.01221-859.86+236.64204</f>
        <v>2927.7942499999999</v>
      </c>
    </row>
    <row r="32" spans="1:21" ht="24" customHeight="1" x14ac:dyDescent="0.25">
      <c r="A32" s="303"/>
      <c r="B32" s="306"/>
      <c r="C32" s="298" t="s">
        <v>199</v>
      </c>
      <c r="D32" s="211" t="s">
        <v>3</v>
      </c>
      <c r="E32" s="217">
        <f t="shared" ref="E32:H32" si="8">E33+E34</f>
        <v>2279.4250099999999</v>
      </c>
      <c r="F32" s="217">
        <f t="shared" si="8"/>
        <v>760.81504999999993</v>
      </c>
      <c r="G32" s="217">
        <f t="shared" si="8"/>
        <v>760.13432999999998</v>
      </c>
      <c r="H32" s="221">
        <f t="shared" si="8"/>
        <v>758.47562999999991</v>
      </c>
      <c r="I32" s="222"/>
      <c r="J32" s="222"/>
      <c r="K32" s="222"/>
      <c r="L32" s="223"/>
      <c r="U32" s="224"/>
    </row>
    <row r="33" spans="1:17" ht="53.25" customHeight="1" x14ac:dyDescent="0.25">
      <c r="A33" s="303"/>
      <c r="B33" s="306"/>
      <c r="C33" s="299"/>
      <c r="D33" s="211" t="s">
        <v>115</v>
      </c>
      <c r="E33" s="217">
        <f>F33+G33+H33</f>
        <v>505.79999999999995</v>
      </c>
      <c r="F33" s="217">
        <f>((8430*40*2)-505800)/1000</f>
        <v>168.6</v>
      </c>
      <c r="G33" s="217">
        <f t="shared" ref="G33:H33" si="9">((8430*40*2)-505800)/1000</f>
        <v>168.6</v>
      </c>
      <c r="H33" s="217">
        <f t="shared" si="9"/>
        <v>168.6</v>
      </c>
      <c r="I33" s="225"/>
      <c r="J33" s="225"/>
      <c r="K33" s="225"/>
    </row>
    <row r="34" spans="1:17" ht="38.25" customHeight="1" x14ac:dyDescent="0.25">
      <c r="A34" s="303"/>
      <c r="B34" s="306"/>
      <c r="C34" s="300"/>
      <c r="D34" s="211" t="s">
        <v>104</v>
      </c>
      <c r="E34" s="217">
        <f>F34+G34+H34</f>
        <v>1773.6250099999997</v>
      </c>
      <c r="F34" s="217">
        <f>(721.79505+38.92)-168.6+0.1</f>
        <v>592.21504999999991</v>
      </c>
      <c r="G34" s="217">
        <f>(721.11433+38.92)-168.6+0.1</f>
        <v>591.53432999999995</v>
      </c>
      <c r="H34" s="217">
        <f>719.55563+38.92-168.6</f>
        <v>589.87562999999989</v>
      </c>
      <c r="I34" s="225"/>
      <c r="J34" s="225"/>
      <c r="K34" s="225"/>
    </row>
    <row r="35" spans="1:17" s="213" customFormat="1" ht="25.5" customHeight="1" x14ac:dyDescent="0.25">
      <c r="A35" s="303"/>
      <c r="B35" s="306"/>
      <c r="C35" s="309" t="s">
        <v>200</v>
      </c>
      <c r="D35" s="211" t="s">
        <v>3</v>
      </c>
      <c r="E35" s="217">
        <f t="shared" ref="E35:H35" si="10">E36+E37</f>
        <v>2410.8499900000002</v>
      </c>
      <c r="F35" s="217">
        <f t="shared" si="10"/>
        <v>662.87296000000003</v>
      </c>
      <c r="G35" s="217">
        <f t="shared" si="10"/>
        <v>873.51781000000005</v>
      </c>
      <c r="H35" s="217">
        <f t="shared" si="10"/>
        <v>874.45921999999996</v>
      </c>
      <c r="N35" s="88"/>
      <c r="O35" s="226"/>
      <c r="P35" s="226"/>
      <c r="Q35" s="226"/>
    </row>
    <row r="36" spans="1:17" s="213" customFormat="1" ht="56.25" customHeight="1" x14ac:dyDescent="0.25">
      <c r="A36" s="303"/>
      <c r="B36" s="306"/>
      <c r="C36" s="309"/>
      <c r="D36" s="211" t="s">
        <v>115</v>
      </c>
      <c r="E36" s="217">
        <f>F36+G36+H36</f>
        <v>556.38</v>
      </c>
      <c r="F36" s="217">
        <f>((8430*8*2)+(8430*2))/1000</f>
        <v>151.74</v>
      </c>
      <c r="G36" s="217">
        <f>((8430*12*2)/1000)</f>
        <v>202.32</v>
      </c>
      <c r="H36" s="217">
        <f>((8430*12*2)/1000)</f>
        <v>202.32</v>
      </c>
      <c r="I36" s="227"/>
      <c r="J36" s="227"/>
      <c r="K36" s="227"/>
      <c r="N36" s="88"/>
      <c r="O36" s="226"/>
      <c r="P36" s="226"/>
      <c r="Q36" s="226"/>
    </row>
    <row r="37" spans="1:17" s="213" customFormat="1" ht="42.75" customHeight="1" x14ac:dyDescent="0.25">
      <c r="A37" s="303"/>
      <c r="B37" s="306"/>
      <c r="C37" s="309"/>
      <c r="D37" s="211" t="s">
        <v>104</v>
      </c>
      <c r="E37" s="217">
        <f>F37+G37+H37</f>
        <v>1854.4699900000001</v>
      </c>
      <c r="F37" s="217">
        <f>(627.30896+35.464)-151.74+0.1</f>
        <v>511.13296000000003</v>
      </c>
      <c r="G37" s="217">
        <f>(838.05381+35.464)-202.32</f>
        <v>671.19781000000012</v>
      </c>
      <c r="H37" s="217">
        <f>838.41122+36.048-202.32</f>
        <v>672.13922000000002</v>
      </c>
      <c r="I37" s="226"/>
      <c r="J37" s="226"/>
      <c r="K37" s="226"/>
    </row>
    <row r="38" spans="1:17" s="213" customFormat="1" ht="28.5" customHeight="1" x14ac:dyDescent="0.25">
      <c r="A38" s="303"/>
      <c r="B38" s="306"/>
      <c r="C38" s="309" t="s">
        <v>201</v>
      </c>
      <c r="D38" s="211" t="s">
        <v>3</v>
      </c>
      <c r="E38" s="217">
        <f t="shared" ref="E38:H38" si="11">E39+E40</f>
        <v>1201.1334899999999</v>
      </c>
      <c r="F38" s="217">
        <f t="shared" si="11"/>
        <v>326.95333999999997</v>
      </c>
      <c r="G38" s="217">
        <f t="shared" si="11"/>
        <v>436.75872000000004</v>
      </c>
      <c r="H38" s="217">
        <f t="shared" si="11"/>
        <v>437.5214299999999</v>
      </c>
      <c r="I38" s="228"/>
      <c r="J38" s="228"/>
      <c r="K38" s="228"/>
    </row>
    <row r="39" spans="1:17" s="213" customFormat="1" ht="55.5" customHeight="1" x14ac:dyDescent="0.25">
      <c r="A39" s="303"/>
      <c r="B39" s="306"/>
      <c r="C39" s="309"/>
      <c r="D39" s="211" t="s">
        <v>115</v>
      </c>
      <c r="E39" s="89">
        <f>F39+G39+H39-0.1</f>
        <v>278.08999999999997</v>
      </c>
      <c r="F39" s="89">
        <f>((4*8430)*2+(8430*1))/1000</f>
        <v>75.87</v>
      </c>
      <c r="G39" s="229">
        <f>(8430*6*2)/1000</f>
        <v>101.16</v>
      </c>
      <c r="H39" s="229">
        <f>(8430*6*2)/1000</f>
        <v>101.16</v>
      </c>
    </row>
    <row r="40" spans="1:17" s="213" customFormat="1" ht="39.75" customHeight="1" x14ac:dyDescent="0.25">
      <c r="A40" s="303"/>
      <c r="B40" s="306"/>
      <c r="C40" s="309"/>
      <c r="D40" s="211" t="s">
        <v>104</v>
      </c>
      <c r="E40" s="89">
        <f>F40+G40+H40</f>
        <v>923.04349000000002</v>
      </c>
      <c r="F40" s="89">
        <f>(313.65434+13.299)-75.87</f>
        <v>251.08333999999996</v>
      </c>
      <c r="G40" s="229">
        <f>(419.02672+17.732)-101.16</f>
        <v>335.59872000000007</v>
      </c>
      <c r="H40" s="229">
        <f>419.20543+18.316-101.16</f>
        <v>336.36142999999993</v>
      </c>
    </row>
    <row r="41" spans="1:17" s="213" customFormat="1" ht="27" customHeight="1" x14ac:dyDescent="0.25">
      <c r="A41" s="303"/>
      <c r="B41" s="306"/>
      <c r="C41" s="309" t="s">
        <v>202</v>
      </c>
      <c r="D41" s="211" t="s">
        <v>3</v>
      </c>
      <c r="E41" s="229">
        <f t="shared" ref="E41:H41" si="12">E42+E43</f>
        <v>1201.1771699999999</v>
      </c>
      <c r="F41" s="229">
        <f t="shared" si="12"/>
        <v>326.96524999999997</v>
      </c>
      <c r="G41" s="229">
        <f t="shared" si="12"/>
        <v>436.77459999999996</v>
      </c>
      <c r="H41" s="229">
        <f t="shared" si="12"/>
        <v>437.53731999999991</v>
      </c>
    </row>
    <row r="42" spans="1:17" s="213" customFormat="1" ht="52.5" customHeight="1" x14ac:dyDescent="0.25">
      <c r="A42" s="303"/>
      <c r="B42" s="306"/>
      <c r="C42" s="309"/>
      <c r="D42" s="211" t="s">
        <v>115</v>
      </c>
      <c r="E42" s="229">
        <f>F42+G42+H42-0.1</f>
        <v>278.08999999999997</v>
      </c>
      <c r="F42" s="229">
        <f>((4*8430)*2+(8430*1))/1000</f>
        <v>75.87</v>
      </c>
      <c r="G42" s="229">
        <f>(8430*6*2)/1000</f>
        <v>101.16</v>
      </c>
      <c r="H42" s="229">
        <f>(8430*6*2)/1000</f>
        <v>101.16</v>
      </c>
      <c r="I42" s="226"/>
    </row>
    <row r="43" spans="1:17" s="213" customFormat="1" ht="45" customHeight="1" x14ac:dyDescent="0.25">
      <c r="A43" s="303"/>
      <c r="B43" s="306"/>
      <c r="C43" s="309"/>
      <c r="D43" s="211" t="s">
        <v>104</v>
      </c>
      <c r="E43" s="229">
        <f>F43+G43+H43</f>
        <v>923.0871699999999</v>
      </c>
      <c r="F43" s="229">
        <f>(313.66625+13.299)-75.87</f>
        <v>251.09524999999996</v>
      </c>
      <c r="G43" s="229">
        <f>(419.0426+17.732)-101.16</f>
        <v>335.6146</v>
      </c>
      <c r="H43" s="229">
        <f>419.22132+18.316-101.16</f>
        <v>336.37731999999994</v>
      </c>
    </row>
    <row r="44" spans="1:17" s="213" customFormat="1" ht="35.25" customHeight="1" x14ac:dyDescent="0.25">
      <c r="A44" s="303"/>
      <c r="B44" s="306"/>
      <c r="C44" s="309" t="s">
        <v>203</v>
      </c>
      <c r="D44" s="211" t="s">
        <v>3</v>
      </c>
      <c r="E44" s="229">
        <f t="shared" ref="E44:H44" si="13">E45+E46</f>
        <v>1754.52979</v>
      </c>
      <c r="F44" s="229">
        <f t="shared" si="13"/>
        <v>871.77564000000007</v>
      </c>
      <c r="G44" s="229">
        <f t="shared" si="13"/>
        <v>441.19172000000003</v>
      </c>
      <c r="H44" s="229">
        <f t="shared" si="13"/>
        <v>441.66242999999997</v>
      </c>
    </row>
    <row r="45" spans="1:17" s="213" customFormat="1" ht="58.5" customHeight="1" x14ac:dyDescent="0.25">
      <c r="A45" s="303"/>
      <c r="B45" s="306"/>
      <c r="C45" s="309"/>
      <c r="D45" s="211" t="s">
        <v>115</v>
      </c>
      <c r="E45" s="229">
        <f>F45+G45+H45-0.1</f>
        <v>404.53999999999996</v>
      </c>
      <c r="F45" s="229">
        <f>((8430*11*2)+(8430*2))/1000</f>
        <v>202.32</v>
      </c>
      <c r="G45" s="229">
        <f>(8430*6*2)/1000</f>
        <v>101.16</v>
      </c>
      <c r="H45" s="229">
        <f>(8430*6*2)/1000</f>
        <v>101.16</v>
      </c>
    </row>
    <row r="46" spans="1:17" s="213" customFormat="1" ht="39.75" customHeight="1" x14ac:dyDescent="0.25">
      <c r="A46" s="304"/>
      <c r="B46" s="307"/>
      <c r="C46" s="309"/>
      <c r="D46" s="211" t="s">
        <v>104</v>
      </c>
      <c r="E46" s="229">
        <f>F46+G46+H46</f>
        <v>1349.9897900000001</v>
      </c>
      <c r="F46" s="229">
        <f>(836.31164+35.464)-202.32</f>
        <v>669.45564000000013</v>
      </c>
      <c r="G46" s="229">
        <f>(419.02672+22.165)-101.16</f>
        <v>340.03172000000006</v>
      </c>
      <c r="H46" s="229">
        <f>419.20543+22.457-101.16</f>
        <v>340.50243</v>
      </c>
    </row>
    <row r="47" spans="1:17" ht="27" customHeight="1" x14ac:dyDescent="0.25">
      <c r="A47" s="302" t="s">
        <v>32</v>
      </c>
      <c r="B47" s="305" t="s">
        <v>204</v>
      </c>
      <c r="C47" s="298" t="s">
        <v>205</v>
      </c>
      <c r="D47" s="211" t="s">
        <v>3</v>
      </c>
      <c r="E47" s="229">
        <f>E49+E50</f>
        <v>50</v>
      </c>
      <c r="F47" s="229">
        <f>F49+F50</f>
        <v>50</v>
      </c>
      <c r="G47" s="229">
        <f t="shared" ref="G47:H47" si="14">G49+G50</f>
        <v>0</v>
      </c>
      <c r="H47" s="229">
        <f t="shared" si="14"/>
        <v>0</v>
      </c>
    </row>
    <row r="48" spans="1:17" ht="27.75" customHeight="1" x14ac:dyDescent="0.25">
      <c r="A48" s="303"/>
      <c r="B48" s="306"/>
      <c r="C48" s="299"/>
      <c r="D48" s="211" t="s">
        <v>190</v>
      </c>
      <c r="E48" s="229">
        <f>F48+G48+H48</f>
        <v>0</v>
      </c>
      <c r="F48" s="229">
        <v>0</v>
      </c>
      <c r="G48" s="229">
        <v>0</v>
      </c>
      <c r="H48" s="229">
        <v>0</v>
      </c>
    </row>
    <row r="49" spans="1:8" ht="52.5" customHeight="1" x14ac:dyDescent="0.25">
      <c r="A49" s="303"/>
      <c r="B49" s="306"/>
      <c r="C49" s="299"/>
      <c r="D49" s="211" t="s">
        <v>115</v>
      </c>
      <c r="E49" s="229">
        <f>F49+G49+H49</f>
        <v>50</v>
      </c>
      <c r="F49" s="229">
        <f>F53</f>
        <v>50</v>
      </c>
      <c r="G49" s="229">
        <f t="shared" ref="G49:H50" si="15">G53</f>
        <v>0</v>
      </c>
      <c r="H49" s="229">
        <f t="shared" si="15"/>
        <v>0</v>
      </c>
    </row>
    <row r="50" spans="1:8" ht="36.75" customHeight="1" x14ac:dyDescent="0.25">
      <c r="A50" s="303"/>
      <c r="B50" s="306"/>
      <c r="C50" s="299"/>
      <c r="D50" s="211" t="s">
        <v>104</v>
      </c>
      <c r="E50" s="229">
        <f>F50+G50+H50</f>
        <v>0</v>
      </c>
      <c r="F50" s="229">
        <f>F54</f>
        <v>0</v>
      </c>
      <c r="G50" s="229">
        <f t="shared" si="15"/>
        <v>0</v>
      </c>
      <c r="H50" s="229">
        <f t="shared" si="15"/>
        <v>0</v>
      </c>
    </row>
    <row r="51" spans="1:8" ht="51.75" customHeight="1" x14ac:dyDescent="0.25">
      <c r="A51" s="304"/>
      <c r="B51" s="307"/>
      <c r="C51" s="300"/>
      <c r="D51" s="211" t="s">
        <v>191</v>
      </c>
      <c r="E51" s="229">
        <v>0</v>
      </c>
      <c r="F51" s="229">
        <v>0</v>
      </c>
      <c r="G51" s="229">
        <v>0</v>
      </c>
      <c r="H51" s="229">
        <v>0</v>
      </c>
    </row>
    <row r="52" spans="1:8" ht="30" customHeight="1" x14ac:dyDescent="0.25">
      <c r="A52" s="308" t="s">
        <v>206</v>
      </c>
      <c r="B52" s="305" t="s">
        <v>207</v>
      </c>
      <c r="C52" s="309" t="s">
        <v>205</v>
      </c>
      <c r="D52" s="211" t="s">
        <v>3</v>
      </c>
      <c r="E52" s="229">
        <f>E53+E54</f>
        <v>50</v>
      </c>
      <c r="F52" s="229">
        <f>F53+F54</f>
        <v>50</v>
      </c>
      <c r="G52" s="229">
        <f t="shared" ref="G52:H52" si="16">G53+G54</f>
        <v>0</v>
      </c>
      <c r="H52" s="229">
        <f t="shared" si="16"/>
        <v>0</v>
      </c>
    </row>
    <row r="53" spans="1:8" ht="54" customHeight="1" x14ac:dyDescent="0.25">
      <c r="A53" s="308"/>
      <c r="B53" s="306"/>
      <c r="C53" s="309"/>
      <c r="D53" s="211" t="s">
        <v>115</v>
      </c>
      <c r="E53" s="229">
        <f>F53+G53+H53</f>
        <v>50</v>
      </c>
      <c r="F53" s="229">
        <f>50</f>
        <v>50</v>
      </c>
      <c r="G53" s="229">
        <v>0</v>
      </c>
      <c r="H53" s="229">
        <v>0</v>
      </c>
    </row>
    <row r="54" spans="1:8" ht="41.25" customHeight="1" x14ac:dyDescent="0.25">
      <c r="A54" s="308"/>
      <c r="B54" s="307"/>
      <c r="C54" s="309"/>
      <c r="D54" s="211" t="s">
        <v>104</v>
      </c>
      <c r="E54" s="229">
        <f>F54+G54+H54</f>
        <v>0</v>
      </c>
      <c r="F54" s="229">
        <v>0</v>
      </c>
      <c r="G54" s="229">
        <v>0</v>
      </c>
      <c r="H54" s="229">
        <v>0</v>
      </c>
    </row>
    <row r="55" spans="1:8" ht="34.5" customHeight="1" x14ac:dyDescent="0.25">
      <c r="A55" s="302"/>
      <c r="B55" s="305" t="s">
        <v>21</v>
      </c>
      <c r="C55" s="298" t="s">
        <v>189</v>
      </c>
      <c r="D55" s="211" t="s">
        <v>3</v>
      </c>
      <c r="E55" s="229">
        <f>E57+E58</f>
        <v>65241.125870000003</v>
      </c>
      <c r="F55" s="229">
        <f>F57+F58</f>
        <v>21742.230610000002</v>
      </c>
      <c r="G55" s="229">
        <f t="shared" ref="G55:H55" si="17">G57+G58</f>
        <v>21748.441569999999</v>
      </c>
      <c r="H55" s="229">
        <f t="shared" si="17"/>
        <v>21750.453689999998</v>
      </c>
    </row>
    <row r="56" spans="1:8" ht="41.25" customHeight="1" x14ac:dyDescent="0.25">
      <c r="A56" s="303"/>
      <c r="B56" s="306"/>
      <c r="C56" s="299"/>
      <c r="D56" s="211" t="s">
        <v>190</v>
      </c>
      <c r="E56" s="229">
        <v>0</v>
      </c>
      <c r="F56" s="229">
        <v>0</v>
      </c>
      <c r="G56" s="229">
        <v>0</v>
      </c>
      <c r="H56" s="229">
        <v>0</v>
      </c>
    </row>
    <row r="57" spans="1:8" ht="51.75" customHeight="1" x14ac:dyDescent="0.25">
      <c r="A57" s="303"/>
      <c r="B57" s="306"/>
      <c r="C57" s="299"/>
      <c r="D57" s="211" t="s">
        <v>115</v>
      </c>
      <c r="E57" s="229">
        <f>F57+G57+H57</f>
        <v>10117.605</v>
      </c>
      <c r="F57" s="229">
        <f t="shared" ref="F57:H58" si="18">F13+F49</f>
        <v>3405.9349999999999</v>
      </c>
      <c r="G57" s="229">
        <f t="shared" si="18"/>
        <v>3355.835</v>
      </c>
      <c r="H57" s="229">
        <f t="shared" si="18"/>
        <v>3355.835</v>
      </c>
    </row>
    <row r="58" spans="1:8" ht="45" customHeight="1" x14ac:dyDescent="0.25">
      <c r="A58" s="303"/>
      <c r="B58" s="306"/>
      <c r="C58" s="299"/>
      <c r="D58" s="211" t="s">
        <v>104</v>
      </c>
      <c r="E58" s="229">
        <f>F58+G58+H58</f>
        <v>55123.520870000008</v>
      </c>
      <c r="F58" s="229">
        <f t="shared" si="18"/>
        <v>18336.295610000001</v>
      </c>
      <c r="G58" s="229">
        <f t="shared" si="18"/>
        <v>18392.60657</v>
      </c>
      <c r="H58" s="229">
        <f t="shared" si="18"/>
        <v>18394.618689999999</v>
      </c>
    </row>
    <row r="59" spans="1:8" ht="61.5" customHeight="1" x14ac:dyDescent="0.25">
      <c r="A59" s="304"/>
      <c r="B59" s="307"/>
      <c r="C59" s="300"/>
      <c r="D59" s="211" t="s">
        <v>191</v>
      </c>
      <c r="E59" s="229">
        <v>0</v>
      </c>
      <c r="F59" s="229">
        <v>0</v>
      </c>
      <c r="G59" s="229">
        <v>0</v>
      </c>
      <c r="H59" s="229">
        <v>0</v>
      </c>
    </row>
    <row r="60" spans="1:8" ht="29.25" customHeight="1" x14ac:dyDescent="0.25">
      <c r="A60" s="302"/>
      <c r="B60" s="305" t="s">
        <v>134</v>
      </c>
      <c r="C60" s="298"/>
      <c r="D60" s="211" t="s">
        <v>3</v>
      </c>
      <c r="E60" s="229">
        <f>E62+E63</f>
        <v>50</v>
      </c>
      <c r="F60" s="229">
        <f t="shared" ref="F60:H60" si="19">F62+F63</f>
        <v>50</v>
      </c>
      <c r="G60" s="229">
        <f t="shared" si="19"/>
        <v>0</v>
      </c>
      <c r="H60" s="229">
        <f t="shared" si="19"/>
        <v>0</v>
      </c>
    </row>
    <row r="61" spans="1:8" ht="37.5" customHeight="1" x14ac:dyDescent="0.25">
      <c r="A61" s="303"/>
      <c r="B61" s="306"/>
      <c r="C61" s="299"/>
      <c r="D61" s="211" t="s">
        <v>190</v>
      </c>
      <c r="E61" s="229">
        <v>0</v>
      </c>
      <c r="F61" s="229">
        <v>0</v>
      </c>
      <c r="G61" s="229">
        <v>0</v>
      </c>
      <c r="H61" s="229">
        <v>0</v>
      </c>
    </row>
    <row r="62" spans="1:8" ht="53.25" customHeight="1" x14ac:dyDescent="0.25">
      <c r="A62" s="303"/>
      <c r="B62" s="306"/>
      <c r="C62" s="299"/>
      <c r="D62" s="211" t="s">
        <v>115</v>
      </c>
      <c r="E62" s="229">
        <f>F62+G62+H62</f>
        <v>50</v>
      </c>
      <c r="F62" s="229">
        <f>F49</f>
        <v>50</v>
      </c>
      <c r="G62" s="229">
        <f t="shared" ref="G62:H62" si="20">G49</f>
        <v>0</v>
      </c>
      <c r="H62" s="229">
        <f t="shared" si="20"/>
        <v>0</v>
      </c>
    </row>
    <row r="63" spans="1:8" ht="45.75" customHeight="1" x14ac:dyDescent="0.25">
      <c r="A63" s="303"/>
      <c r="B63" s="306"/>
      <c r="C63" s="299"/>
      <c r="D63" s="211" t="s">
        <v>104</v>
      </c>
      <c r="E63" s="229">
        <f>F63+G63+H63</f>
        <v>0</v>
      </c>
      <c r="F63" s="229">
        <v>0</v>
      </c>
      <c r="G63" s="229">
        <v>0</v>
      </c>
      <c r="H63" s="229">
        <v>0</v>
      </c>
    </row>
    <row r="64" spans="1:8" ht="53.25" customHeight="1" x14ac:dyDescent="0.25">
      <c r="A64" s="304"/>
      <c r="B64" s="307"/>
      <c r="C64" s="300"/>
      <c r="D64" s="211" t="s">
        <v>191</v>
      </c>
      <c r="E64" s="229">
        <v>0</v>
      </c>
      <c r="F64" s="229">
        <v>0</v>
      </c>
      <c r="G64" s="229">
        <v>0</v>
      </c>
      <c r="H64" s="229">
        <v>0</v>
      </c>
    </row>
    <row r="65" spans="1:8" ht="20.25" customHeight="1" x14ac:dyDescent="0.25">
      <c r="A65" s="310" t="s">
        <v>120</v>
      </c>
      <c r="B65" s="310"/>
      <c r="C65" s="310"/>
      <c r="D65" s="310"/>
      <c r="E65" s="310"/>
      <c r="F65" s="310"/>
      <c r="G65" s="310"/>
      <c r="H65" s="310"/>
    </row>
    <row r="66" spans="1:8" ht="24.75" customHeight="1" x14ac:dyDescent="0.25">
      <c r="A66" s="302" t="s">
        <v>38</v>
      </c>
      <c r="B66" s="305" t="s">
        <v>135</v>
      </c>
      <c r="C66" s="298" t="s">
        <v>199</v>
      </c>
      <c r="D66" s="211" t="s">
        <v>3</v>
      </c>
      <c r="E66" s="217">
        <f t="shared" ref="E66:H66" si="21">E72+E75</f>
        <v>9861.6000600000007</v>
      </c>
      <c r="F66" s="217">
        <f t="shared" si="21"/>
        <v>3287.2</v>
      </c>
      <c r="G66" s="217">
        <f t="shared" si="21"/>
        <v>3287.2000000000003</v>
      </c>
      <c r="H66" s="217">
        <f t="shared" si="21"/>
        <v>3287.2000600000001</v>
      </c>
    </row>
    <row r="67" spans="1:8" ht="35.25" customHeight="1" x14ac:dyDescent="0.25">
      <c r="A67" s="303"/>
      <c r="B67" s="306"/>
      <c r="C67" s="299"/>
      <c r="D67" s="211" t="s">
        <v>190</v>
      </c>
      <c r="E67" s="217">
        <v>0</v>
      </c>
      <c r="F67" s="217">
        <v>0</v>
      </c>
      <c r="G67" s="217">
        <v>0</v>
      </c>
      <c r="H67" s="217">
        <v>0</v>
      </c>
    </row>
    <row r="68" spans="1:8" ht="54.75" customHeight="1" x14ac:dyDescent="0.25">
      <c r="A68" s="303"/>
      <c r="B68" s="306"/>
      <c r="C68" s="299"/>
      <c r="D68" s="211" t="s">
        <v>115</v>
      </c>
      <c r="E68" s="217">
        <f>F68+G68+H68</f>
        <v>9861.6000600000007</v>
      </c>
      <c r="F68" s="217">
        <f>F72+F75</f>
        <v>3287.2</v>
      </c>
      <c r="G68" s="217">
        <f>G72+G75</f>
        <v>3287.2000000000003</v>
      </c>
      <c r="H68" s="217">
        <f>H72+H75</f>
        <v>3287.2000600000001</v>
      </c>
    </row>
    <row r="69" spans="1:8" ht="48" customHeight="1" x14ac:dyDescent="0.25">
      <c r="A69" s="303"/>
      <c r="B69" s="306"/>
      <c r="C69" s="299"/>
      <c r="D69" s="211" t="s">
        <v>104</v>
      </c>
      <c r="E69" s="217">
        <f>F69+G69+H69</f>
        <v>0</v>
      </c>
      <c r="F69" s="217">
        <f>F73+F76</f>
        <v>0</v>
      </c>
      <c r="G69" s="217">
        <f t="shared" ref="G69:H69" si="22">G73+G76</f>
        <v>0</v>
      </c>
      <c r="H69" s="217">
        <f t="shared" si="22"/>
        <v>0</v>
      </c>
    </row>
    <row r="70" spans="1:8" ht="48" customHeight="1" x14ac:dyDescent="0.25">
      <c r="A70" s="303"/>
      <c r="B70" s="306"/>
      <c r="C70" s="300"/>
      <c r="D70" s="211" t="s">
        <v>191</v>
      </c>
      <c r="E70" s="217">
        <v>0</v>
      </c>
      <c r="F70" s="217">
        <v>0</v>
      </c>
      <c r="G70" s="217">
        <v>0</v>
      </c>
      <c r="H70" s="217">
        <v>0</v>
      </c>
    </row>
    <row r="71" spans="1:8" ht="28.5" customHeight="1" x14ac:dyDescent="0.25">
      <c r="A71" s="303"/>
      <c r="B71" s="306"/>
      <c r="C71" s="309" t="s">
        <v>22</v>
      </c>
      <c r="D71" s="211" t="s">
        <v>3</v>
      </c>
      <c r="E71" s="217">
        <f>E72+E73</f>
        <v>9495.7443199999998</v>
      </c>
      <c r="F71" s="217">
        <f t="shared" ref="F71:H71" si="23">F72+F73</f>
        <v>3165.9123799999998</v>
      </c>
      <c r="G71" s="217">
        <f t="shared" si="23"/>
        <v>3165.0128500000001</v>
      </c>
      <c r="H71" s="217">
        <f t="shared" si="23"/>
        <v>3164.81909</v>
      </c>
    </row>
    <row r="72" spans="1:8" ht="54" customHeight="1" x14ac:dyDescent="0.25">
      <c r="A72" s="303"/>
      <c r="B72" s="306"/>
      <c r="C72" s="309"/>
      <c r="D72" s="211" t="s">
        <v>115</v>
      </c>
      <c r="E72" s="217">
        <f>F72+G72+H72</f>
        <v>9495.7443199999998</v>
      </c>
      <c r="F72" s="217">
        <f>3165912.38/1000</f>
        <v>3165.9123799999998</v>
      </c>
      <c r="G72" s="217">
        <f>3165012.85/1000</f>
        <v>3165.0128500000001</v>
      </c>
      <c r="H72" s="217">
        <f>3164819.09/1000</f>
        <v>3164.81909</v>
      </c>
    </row>
    <row r="73" spans="1:8" ht="47.25" customHeight="1" x14ac:dyDescent="0.25">
      <c r="A73" s="303"/>
      <c r="B73" s="306"/>
      <c r="C73" s="309"/>
      <c r="D73" s="211" t="s">
        <v>104</v>
      </c>
      <c r="E73" s="217">
        <f>F73+G73+H73</f>
        <v>0</v>
      </c>
      <c r="F73" s="217">
        <v>0</v>
      </c>
      <c r="G73" s="217">
        <v>0</v>
      </c>
      <c r="H73" s="217">
        <v>0</v>
      </c>
    </row>
    <row r="74" spans="1:8" ht="26.25" customHeight="1" x14ac:dyDescent="0.25">
      <c r="A74" s="303"/>
      <c r="B74" s="306"/>
      <c r="C74" s="309" t="s">
        <v>199</v>
      </c>
      <c r="D74" s="211" t="s">
        <v>3</v>
      </c>
      <c r="E74" s="217">
        <f>E75+E76</f>
        <v>365.85574000000003</v>
      </c>
      <c r="F74" s="217">
        <f>F75+F76</f>
        <v>121.28762</v>
      </c>
      <c r="G74" s="217">
        <f t="shared" ref="G74:H74" si="24">G75+G76</f>
        <v>122.18715</v>
      </c>
      <c r="H74" s="217">
        <f t="shared" si="24"/>
        <v>122.38097</v>
      </c>
    </row>
    <row r="75" spans="1:8" ht="56.25" customHeight="1" x14ac:dyDescent="0.25">
      <c r="A75" s="303"/>
      <c r="B75" s="306"/>
      <c r="C75" s="309"/>
      <c r="D75" s="211" t="s">
        <v>115</v>
      </c>
      <c r="E75" s="217">
        <f>F75+G75+H75</f>
        <v>365.85574000000003</v>
      </c>
      <c r="F75" s="217">
        <f>121.28762</f>
        <v>121.28762</v>
      </c>
      <c r="G75" s="217">
        <f>122.18715</f>
        <v>122.18715</v>
      </c>
      <c r="H75" s="217">
        <f>122.38097</f>
        <v>122.38097</v>
      </c>
    </row>
    <row r="76" spans="1:8" ht="43.5" customHeight="1" x14ac:dyDescent="0.25">
      <c r="A76" s="304"/>
      <c r="B76" s="307"/>
      <c r="C76" s="309"/>
      <c r="D76" s="211" t="s">
        <v>104</v>
      </c>
      <c r="E76" s="217">
        <f>F76+G76+H76</f>
        <v>0</v>
      </c>
      <c r="F76" s="217">
        <v>0</v>
      </c>
      <c r="G76" s="217">
        <v>0</v>
      </c>
      <c r="H76" s="217">
        <v>0</v>
      </c>
    </row>
    <row r="77" spans="1:8" ht="28.5" customHeight="1" x14ac:dyDescent="0.25">
      <c r="A77" s="302" t="s">
        <v>80</v>
      </c>
      <c r="B77" s="305" t="s">
        <v>136</v>
      </c>
      <c r="C77" s="298" t="s">
        <v>22</v>
      </c>
      <c r="D77" s="211" t="s">
        <v>3</v>
      </c>
      <c r="E77" s="217">
        <f t="shared" ref="E77:H77" si="25">E80+E79</f>
        <v>0</v>
      </c>
      <c r="F77" s="217">
        <f t="shared" si="25"/>
        <v>0</v>
      </c>
      <c r="G77" s="217">
        <f t="shared" si="25"/>
        <v>0</v>
      </c>
      <c r="H77" s="217">
        <f t="shared" si="25"/>
        <v>0</v>
      </c>
    </row>
    <row r="78" spans="1:8" ht="33" customHeight="1" x14ac:dyDescent="0.25">
      <c r="A78" s="303"/>
      <c r="B78" s="306"/>
      <c r="C78" s="299"/>
      <c r="D78" s="211" t="s">
        <v>190</v>
      </c>
      <c r="E78" s="217">
        <v>0</v>
      </c>
      <c r="F78" s="217">
        <v>0</v>
      </c>
      <c r="G78" s="217">
        <v>0</v>
      </c>
      <c r="H78" s="217">
        <v>0</v>
      </c>
    </row>
    <row r="79" spans="1:8" ht="53.25" customHeight="1" x14ac:dyDescent="0.25">
      <c r="A79" s="303"/>
      <c r="B79" s="306"/>
      <c r="C79" s="299"/>
      <c r="D79" s="211" t="s">
        <v>115</v>
      </c>
      <c r="E79" s="217">
        <f>F79+G79+H79</f>
        <v>0</v>
      </c>
      <c r="F79" s="217">
        <f>F83+F86</f>
        <v>0</v>
      </c>
      <c r="G79" s="217">
        <f t="shared" ref="G79:H80" si="26">G83+G86</f>
        <v>0</v>
      </c>
      <c r="H79" s="217">
        <f t="shared" si="26"/>
        <v>0</v>
      </c>
    </row>
    <row r="80" spans="1:8" ht="40.5" customHeight="1" x14ac:dyDescent="0.25">
      <c r="A80" s="303"/>
      <c r="B80" s="306"/>
      <c r="C80" s="299"/>
      <c r="D80" s="211" t="s">
        <v>104</v>
      </c>
      <c r="E80" s="217">
        <f>F80+G80+H80</f>
        <v>0</v>
      </c>
      <c r="F80" s="217">
        <f>F84+F87</f>
        <v>0</v>
      </c>
      <c r="G80" s="217">
        <f t="shared" si="26"/>
        <v>0</v>
      </c>
      <c r="H80" s="217">
        <f t="shared" si="26"/>
        <v>0</v>
      </c>
    </row>
    <row r="81" spans="1:8" ht="51" customHeight="1" x14ac:dyDescent="0.25">
      <c r="A81" s="304"/>
      <c r="B81" s="307"/>
      <c r="C81" s="300"/>
      <c r="D81" s="211" t="s">
        <v>191</v>
      </c>
      <c r="E81" s="217">
        <v>0</v>
      </c>
      <c r="F81" s="217">
        <v>0</v>
      </c>
      <c r="G81" s="217">
        <v>0</v>
      </c>
      <c r="H81" s="217">
        <v>0</v>
      </c>
    </row>
    <row r="82" spans="1:8" ht="21" customHeight="1" x14ac:dyDescent="0.25">
      <c r="A82" s="308" t="s">
        <v>121</v>
      </c>
      <c r="B82" s="305" t="s">
        <v>77</v>
      </c>
      <c r="C82" s="309" t="s">
        <v>22</v>
      </c>
      <c r="D82" s="211" t="s">
        <v>3</v>
      </c>
      <c r="E82" s="217">
        <f t="shared" ref="E82:H82" si="27">E84</f>
        <v>0</v>
      </c>
      <c r="F82" s="217">
        <f t="shared" si="27"/>
        <v>0</v>
      </c>
      <c r="G82" s="217">
        <f t="shared" si="27"/>
        <v>0</v>
      </c>
      <c r="H82" s="217">
        <f t="shared" si="27"/>
        <v>0</v>
      </c>
    </row>
    <row r="83" spans="1:8" ht="52.5" customHeight="1" x14ac:dyDescent="0.25">
      <c r="A83" s="308"/>
      <c r="B83" s="306"/>
      <c r="C83" s="309"/>
      <c r="D83" s="211" t="s">
        <v>115</v>
      </c>
      <c r="E83" s="217">
        <f>F83+G83+H83</f>
        <v>0</v>
      </c>
      <c r="F83" s="217">
        <v>0</v>
      </c>
      <c r="G83" s="217">
        <v>0</v>
      </c>
      <c r="H83" s="217">
        <v>0</v>
      </c>
    </row>
    <row r="84" spans="1:8" ht="36.75" customHeight="1" x14ac:dyDescent="0.25">
      <c r="A84" s="308"/>
      <c r="B84" s="307"/>
      <c r="C84" s="309"/>
      <c r="D84" s="211" t="s">
        <v>104</v>
      </c>
      <c r="E84" s="217">
        <f>F84+G84+H84</f>
        <v>0</v>
      </c>
      <c r="F84" s="217">
        <v>0</v>
      </c>
      <c r="G84" s="217">
        <v>0</v>
      </c>
      <c r="H84" s="217">
        <v>0</v>
      </c>
    </row>
    <row r="85" spans="1:8" ht="24.75" customHeight="1" x14ac:dyDescent="0.25">
      <c r="A85" s="308" t="s">
        <v>122</v>
      </c>
      <c r="B85" s="311" t="s">
        <v>208</v>
      </c>
      <c r="C85" s="309" t="s">
        <v>22</v>
      </c>
      <c r="D85" s="211" t="s">
        <v>3</v>
      </c>
      <c r="E85" s="217">
        <f>E87+E86</f>
        <v>0</v>
      </c>
      <c r="F85" s="217">
        <f>F87+F86</f>
        <v>0</v>
      </c>
      <c r="G85" s="217">
        <f t="shared" ref="G85:H85" si="28">G87+G86</f>
        <v>0</v>
      </c>
      <c r="H85" s="217">
        <f t="shared" si="28"/>
        <v>0</v>
      </c>
    </row>
    <row r="86" spans="1:8" ht="52.5" customHeight="1" x14ac:dyDescent="0.25">
      <c r="A86" s="308"/>
      <c r="B86" s="311"/>
      <c r="C86" s="309"/>
      <c r="D86" s="211" t="s">
        <v>115</v>
      </c>
      <c r="E86" s="217">
        <f>F86+G86+H86</f>
        <v>0</v>
      </c>
      <c r="F86" s="217">
        <v>0</v>
      </c>
      <c r="G86" s="217">
        <v>0</v>
      </c>
      <c r="H86" s="217">
        <v>0</v>
      </c>
    </row>
    <row r="87" spans="1:8" ht="96" customHeight="1" x14ac:dyDescent="0.25">
      <c r="A87" s="308"/>
      <c r="B87" s="311"/>
      <c r="C87" s="309"/>
      <c r="D87" s="211" t="s">
        <v>104</v>
      </c>
      <c r="E87" s="217">
        <f>F87+G87+H87</f>
        <v>0</v>
      </c>
      <c r="F87" s="217">
        <v>0</v>
      </c>
      <c r="G87" s="217">
        <v>0</v>
      </c>
      <c r="H87" s="217">
        <v>0</v>
      </c>
    </row>
    <row r="88" spans="1:8" ht="24" customHeight="1" x14ac:dyDescent="0.25">
      <c r="A88" s="302"/>
      <c r="B88" s="305" t="s">
        <v>27</v>
      </c>
      <c r="C88" s="298" t="s">
        <v>199</v>
      </c>
      <c r="D88" s="211" t="s">
        <v>3</v>
      </c>
      <c r="E88" s="217">
        <f>E90+E91</f>
        <v>9861.6000600000007</v>
      </c>
      <c r="F88" s="217">
        <f t="shared" ref="F88:H88" si="29">F90+F91</f>
        <v>3287.2</v>
      </c>
      <c r="G88" s="217">
        <f t="shared" si="29"/>
        <v>3287.2000000000003</v>
      </c>
      <c r="H88" s="217">
        <f t="shared" si="29"/>
        <v>3287.2000600000001</v>
      </c>
    </row>
    <row r="89" spans="1:8" ht="36.75" customHeight="1" x14ac:dyDescent="0.25">
      <c r="A89" s="303"/>
      <c r="B89" s="306"/>
      <c r="C89" s="299"/>
      <c r="D89" s="211" t="s">
        <v>190</v>
      </c>
      <c r="E89" s="217">
        <v>0</v>
      </c>
      <c r="F89" s="217">
        <v>0</v>
      </c>
      <c r="G89" s="217">
        <v>0</v>
      </c>
      <c r="H89" s="217">
        <v>0</v>
      </c>
    </row>
    <row r="90" spans="1:8" ht="51" customHeight="1" x14ac:dyDescent="0.25">
      <c r="A90" s="303"/>
      <c r="B90" s="306"/>
      <c r="C90" s="299"/>
      <c r="D90" s="211" t="s">
        <v>115</v>
      </c>
      <c r="E90" s="217">
        <f>F90+G90+H90</f>
        <v>9861.6000600000007</v>
      </c>
      <c r="F90" s="217">
        <f>F68+F79</f>
        <v>3287.2</v>
      </c>
      <c r="G90" s="217">
        <f>G68+G79</f>
        <v>3287.2000000000003</v>
      </c>
      <c r="H90" s="217">
        <f t="shared" ref="H90" si="30">H68+H79</f>
        <v>3287.2000600000001</v>
      </c>
    </row>
    <row r="91" spans="1:8" ht="38.25" customHeight="1" x14ac:dyDescent="0.25">
      <c r="A91" s="303"/>
      <c r="B91" s="306"/>
      <c r="C91" s="299"/>
      <c r="D91" s="211" t="s">
        <v>104</v>
      </c>
      <c r="E91" s="217">
        <f>F91+G91+H91</f>
        <v>0</v>
      </c>
      <c r="F91" s="217">
        <f>F69+F80</f>
        <v>0</v>
      </c>
      <c r="G91" s="217">
        <f t="shared" ref="G91:H91" si="31">G69+G80</f>
        <v>0</v>
      </c>
      <c r="H91" s="217">
        <f t="shared" si="31"/>
        <v>0</v>
      </c>
    </row>
    <row r="92" spans="1:8" ht="48" customHeight="1" x14ac:dyDescent="0.25">
      <c r="A92" s="304"/>
      <c r="B92" s="307"/>
      <c r="C92" s="300"/>
      <c r="D92" s="211" t="s">
        <v>191</v>
      </c>
      <c r="E92" s="217">
        <v>0</v>
      </c>
      <c r="F92" s="217">
        <v>0</v>
      </c>
      <c r="G92" s="217">
        <v>0</v>
      </c>
      <c r="H92" s="217">
        <v>0</v>
      </c>
    </row>
    <row r="93" spans="1:8" ht="24" customHeight="1" x14ac:dyDescent="0.25">
      <c r="A93" s="302"/>
      <c r="B93" s="305" t="s">
        <v>134</v>
      </c>
      <c r="C93" s="298"/>
      <c r="D93" s="211" t="s">
        <v>3</v>
      </c>
      <c r="E93" s="217">
        <f>E95+E96</f>
        <v>0</v>
      </c>
      <c r="F93" s="217">
        <f t="shared" ref="F93:H93" si="32">F95+F96</f>
        <v>0</v>
      </c>
      <c r="G93" s="217">
        <f t="shared" si="32"/>
        <v>0</v>
      </c>
      <c r="H93" s="217">
        <f t="shared" si="32"/>
        <v>0</v>
      </c>
    </row>
    <row r="94" spans="1:8" ht="35.25" customHeight="1" x14ac:dyDescent="0.25">
      <c r="A94" s="303"/>
      <c r="B94" s="306"/>
      <c r="C94" s="299"/>
      <c r="D94" s="211" t="s">
        <v>190</v>
      </c>
      <c r="E94" s="217">
        <v>0</v>
      </c>
      <c r="F94" s="217">
        <v>0</v>
      </c>
      <c r="G94" s="217">
        <v>0</v>
      </c>
      <c r="H94" s="217">
        <v>0</v>
      </c>
    </row>
    <row r="95" spans="1:8" ht="52.5" customHeight="1" x14ac:dyDescent="0.25">
      <c r="A95" s="303"/>
      <c r="B95" s="306"/>
      <c r="C95" s="299"/>
      <c r="D95" s="211" t="s">
        <v>115</v>
      </c>
      <c r="E95" s="217">
        <f>F95+G95+H95</f>
        <v>0</v>
      </c>
      <c r="F95" s="217">
        <v>0</v>
      </c>
      <c r="G95" s="217">
        <v>0</v>
      </c>
      <c r="H95" s="217">
        <v>0</v>
      </c>
    </row>
    <row r="96" spans="1:8" ht="44.25" customHeight="1" x14ac:dyDescent="0.25">
      <c r="A96" s="303"/>
      <c r="B96" s="306"/>
      <c r="C96" s="299"/>
      <c r="D96" s="211" t="s">
        <v>104</v>
      </c>
      <c r="E96" s="217">
        <f>F96+G96+H96</f>
        <v>0</v>
      </c>
      <c r="F96" s="217">
        <v>0</v>
      </c>
      <c r="G96" s="217">
        <v>0</v>
      </c>
      <c r="H96" s="217">
        <v>0</v>
      </c>
    </row>
    <row r="97" spans="1:8" ht="56.25" customHeight="1" x14ac:dyDescent="0.25">
      <c r="A97" s="304"/>
      <c r="B97" s="307"/>
      <c r="C97" s="300"/>
      <c r="D97" s="211" t="s">
        <v>191</v>
      </c>
      <c r="E97" s="217">
        <v>0</v>
      </c>
      <c r="F97" s="217">
        <v>0</v>
      </c>
      <c r="G97" s="217">
        <v>0</v>
      </c>
      <c r="H97" s="217">
        <v>0</v>
      </c>
    </row>
    <row r="98" spans="1:8" ht="27" customHeight="1" x14ac:dyDescent="0.25">
      <c r="A98" s="310" t="s">
        <v>209</v>
      </c>
      <c r="B98" s="310"/>
      <c r="C98" s="310"/>
      <c r="D98" s="310"/>
      <c r="E98" s="310"/>
      <c r="F98" s="310"/>
      <c r="G98" s="310"/>
      <c r="H98" s="310"/>
    </row>
    <row r="99" spans="1:8" ht="27.75" customHeight="1" x14ac:dyDescent="0.25">
      <c r="A99" s="302" t="s">
        <v>39</v>
      </c>
      <c r="B99" s="305" t="s">
        <v>138</v>
      </c>
      <c r="C99" s="298" t="s">
        <v>210</v>
      </c>
      <c r="D99" s="211" t="s">
        <v>3</v>
      </c>
      <c r="E99" s="217">
        <f t="shared" ref="E99:H99" si="33">E101+E102</f>
        <v>72.69</v>
      </c>
      <c r="F99" s="217">
        <f t="shared" si="33"/>
        <v>72.69</v>
      </c>
      <c r="G99" s="217">
        <f t="shared" si="33"/>
        <v>0</v>
      </c>
      <c r="H99" s="217">
        <f t="shared" si="33"/>
        <v>0</v>
      </c>
    </row>
    <row r="100" spans="1:8" ht="37.5" customHeight="1" x14ac:dyDescent="0.25">
      <c r="A100" s="303"/>
      <c r="B100" s="306"/>
      <c r="C100" s="299"/>
      <c r="D100" s="211" t="s">
        <v>190</v>
      </c>
      <c r="E100" s="217">
        <v>0</v>
      </c>
      <c r="F100" s="217">
        <v>0</v>
      </c>
      <c r="G100" s="217">
        <v>0</v>
      </c>
      <c r="H100" s="217">
        <v>0</v>
      </c>
    </row>
    <row r="101" spans="1:8" ht="54.75" customHeight="1" x14ac:dyDescent="0.25">
      <c r="A101" s="303"/>
      <c r="B101" s="306"/>
      <c r="C101" s="299"/>
      <c r="D101" s="211" t="s">
        <v>115</v>
      </c>
      <c r="E101" s="217">
        <f>F101+G101+H101</f>
        <v>72.69</v>
      </c>
      <c r="F101" s="217">
        <f>F105+F108+F111</f>
        <v>72.69</v>
      </c>
      <c r="G101" s="217">
        <f t="shared" ref="G101:H102" si="34">G105+G108+G111</f>
        <v>0</v>
      </c>
      <c r="H101" s="217">
        <f t="shared" si="34"/>
        <v>0</v>
      </c>
    </row>
    <row r="102" spans="1:8" ht="40.5" customHeight="1" x14ac:dyDescent="0.25">
      <c r="A102" s="303"/>
      <c r="B102" s="306"/>
      <c r="C102" s="299"/>
      <c r="D102" s="211" t="s">
        <v>104</v>
      </c>
      <c r="E102" s="217">
        <f>F102+G102+H102</f>
        <v>0</v>
      </c>
      <c r="F102" s="217">
        <f>F106+F109+F112</f>
        <v>0</v>
      </c>
      <c r="G102" s="217">
        <f t="shared" si="34"/>
        <v>0</v>
      </c>
      <c r="H102" s="217">
        <f t="shared" si="34"/>
        <v>0</v>
      </c>
    </row>
    <row r="103" spans="1:8" ht="54" customHeight="1" x14ac:dyDescent="0.25">
      <c r="A103" s="304"/>
      <c r="B103" s="307"/>
      <c r="C103" s="300"/>
      <c r="D103" s="211" t="s">
        <v>191</v>
      </c>
      <c r="E103" s="217">
        <v>0</v>
      </c>
      <c r="F103" s="217">
        <v>0</v>
      </c>
      <c r="G103" s="217">
        <v>0</v>
      </c>
      <c r="H103" s="217">
        <v>0</v>
      </c>
    </row>
    <row r="104" spans="1:8" ht="22.5" customHeight="1" x14ac:dyDescent="0.25">
      <c r="A104" s="308" t="s">
        <v>139</v>
      </c>
      <c r="B104" s="305" t="s">
        <v>211</v>
      </c>
      <c r="C104" s="309" t="s">
        <v>205</v>
      </c>
      <c r="D104" s="211" t="s">
        <v>3</v>
      </c>
      <c r="E104" s="217">
        <f>E105+E108+E111</f>
        <v>72.69</v>
      </c>
      <c r="F104" s="217">
        <f t="shared" ref="F104:H104" si="35">F105+F108+F111</f>
        <v>72.69</v>
      </c>
      <c r="G104" s="217">
        <f t="shared" si="35"/>
        <v>0</v>
      </c>
      <c r="H104" s="217">
        <f t="shared" si="35"/>
        <v>0</v>
      </c>
    </row>
    <row r="105" spans="1:8" ht="49.5" customHeight="1" x14ac:dyDescent="0.25">
      <c r="A105" s="308"/>
      <c r="B105" s="306"/>
      <c r="C105" s="309"/>
      <c r="D105" s="211" t="s">
        <v>115</v>
      </c>
      <c r="E105" s="217">
        <f>F105+G105+H105</f>
        <v>72.69</v>
      </c>
      <c r="F105" s="217">
        <f>72.69</f>
        <v>72.69</v>
      </c>
      <c r="G105" s="217">
        <v>0</v>
      </c>
      <c r="H105" s="217">
        <v>0</v>
      </c>
    </row>
    <row r="106" spans="1:8" ht="37.5" customHeight="1" x14ac:dyDescent="0.25">
      <c r="A106" s="308"/>
      <c r="B106" s="306"/>
      <c r="C106" s="309"/>
      <c r="D106" s="211" t="s">
        <v>104</v>
      </c>
      <c r="E106" s="217">
        <f>F106+G106+H106</f>
        <v>0</v>
      </c>
      <c r="F106" s="217">
        <v>0</v>
      </c>
      <c r="G106" s="217">
        <v>0</v>
      </c>
      <c r="H106" s="217">
        <v>0</v>
      </c>
    </row>
    <row r="107" spans="1:8" ht="22.5" customHeight="1" x14ac:dyDescent="0.25">
      <c r="A107" s="308"/>
      <c r="B107" s="306"/>
      <c r="C107" s="309" t="s">
        <v>212</v>
      </c>
      <c r="D107" s="211" t="s">
        <v>3</v>
      </c>
      <c r="E107" s="217">
        <f>E108+E109</f>
        <v>0</v>
      </c>
      <c r="F107" s="217">
        <f t="shared" ref="F107:H107" si="36">F108+F109</f>
        <v>0</v>
      </c>
      <c r="G107" s="217">
        <f t="shared" si="36"/>
        <v>0</v>
      </c>
      <c r="H107" s="217">
        <f t="shared" si="36"/>
        <v>0</v>
      </c>
    </row>
    <row r="108" spans="1:8" ht="51" customHeight="1" x14ac:dyDescent="0.25">
      <c r="A108" s="308"/>
      <c r="B108" s="306"/>
      <c r="C108" s="309"/>
      <c r="D108" s="211" t="s">
        <v>115</v>
      </c>
      <c r="E108" s="217">
        <f>F108+G108+H108</f>
        <v>0</v>
      </c>
      <c r="F108" s="217">
        <v>0</v>
      </c>
      <c r="G108" s="217">
        <v>0</v>
      </c>
      <c r="H108" s="217">
        <v>0</v>
      </c>
    </row>
    <row r="109" spans="1:8" ht="34.5" customHeight="1" x14ac:dyDescent="0.25">
      <c r="A109" s="308"/>
      <c r="B109" s="306"/>
      <c r="C109" s="309"/>
      <c r="D109" s="211" t="s">
        <v>104</v>
      </c>
      <c r="E109" s="217">
        <f>F109+G109+H109</f>
        <v>0</v>
      </c>
      <c r="F109" s="217">
        <v>0</v>
      </c>
      <c r="G109" s="217">
        <v>0</v>
      </c>
      <c r="H109" s="217">
        <v>0</v>
      </c>
    </row>
    <row r="110" spans="1:8" ht="26.25" customHeight="1" x14ac:dyDescent="0.25">
      <c r="A110" s="308"/>
      <c r="B110" s="306"/>
      <c r="C110" s="309" t="s">
        <v>22</v>
      </c>
      <c r="D110" s="211" t="s">
        <v>3</v>
      </c>
      <c r="E110" s="217">
        <f t="shared" ref="E110:H110" si="37">E111+E112</f>
        <v>0</v>
      </c>
      <c r="F110" s="217">
        <f t="shared" si="37"/>
        <v>0</v>
      </c>
      <c r="G110" s="217">
        <f t="shared" si="37"/>
        <v>0</v>
      </c>
      <c r="H110" s="217">
        <f t="shared" si="37"/>
        <v>0</v>
      </c>
    </row>
    <row r="111" spans="1:8" ht="55.5" customHeight="1" x14ac:dyDescent="0.25">
      <c r="A111" s="308"/>
      <c r="B111" s="306"/>
      <c r="C111" s="309"/>
      <c r="D111" s="211" t="s">
        <v>115</v>
      </c>
      <c r="E111" s="217">
        <f>F111+G111+H111</f>
        <v>0</v>
      </c>
      <c r="F111" s="217">
        <v>0</v>
      </c>
      <c r="G111" s="217">
        <v>0</v>
      </c>
      <c r="H111" s="217">
        <v>0</v>
      </c>
    </row>
    <row r="112" spans="1:8" ht="38.25" customHeight="1" x14ac:dyDescent="0.25">
      <c r="A112" s="308"/>
      <c r="B112" s="307"/>
      <c r="C112" s="309"/>
      <c r="D112" s="211" t="s">
        <v>104</v>
      </c>
      <c r="E112" s="217">
        <f>F112+G112+H112</f>
        <v>0</v>
      </c>
      <c r="F112" s="217">
        <v>0</v>
      </c>
      <c r="G112" s="217">
        <v>0</v>
      </c>
      <c r="H112" s="217">
        <v>0</v>
      </c>
    </row>
    <row r="113" spans="1:13" ht="22.5" customHeight="1" x14ac:dyDescent="0.25">
      <c r="A113" s="302"/>
      <c r="B113" s="305" t="s">
        <v>52</v>
      </c>
      <c r="C113" s="298" t="s">
        <v>210</v>
      </c>
      <c r="D113" s="211" t="s">
        <v>3</v>
      </c>
      <c r="E113" s="217">
        <f t="shared" ref="E113:H113" si="38">E115+E116</f>
        <v>72.69</v>
      </c>
      <c r="F113" s="217">
        <f t="shared" si="38"/>
        <v>72.69</v>
      </c>
      <c r="G113" s="217">
        <f t="shared" si="38"/>
        <v>0</v>
      </c>
      <c r="H113" s="217">
        <f t="shared" si="38"/>
        <v>0</v>
      </c>
    </row>
    <row r="114" spans="1:13" ht="33" customHeight="1" x14ac:dyDescent="0.25">
      <c r="A114" s="303"/>
      <c r="B114" s="306"/>
      <c r="C114" s="299"/>
      <c r="D114" s="211" t="s">
        <v>190</v>
      </c>
      <c r="E114" s="217">
        <v>0</v>
      </c>
      <c r="F114" s="217">
        <v>0</v>
      </c>
      <c r="G114" s="217">
        <v>0</v>
      </c>
      <c r="H114" s="217">
        <v>0</v>
      </c>
    </row>
    <row r="115" spans="1:13" ht="52.5" customHeight="1" x14ac:dyDescent="0.25">
      <c r="A115" s="303"/>
      <c r="B115" s="306"/>
      <c r="C115" s="299"/>
      <c r="D115" s="211" t="s">
        <v>115</v>
      </c>
      <c r="E115" s="217">
        <f>F115+G115+H115</f>
        <v>72.69</v>
      </c>
      <c r="F115" s="217">
        <f t="shared" ref="F115:H116" si="39">F101</f>
        <v>72.69</v>
      </c>
      <c r="G115" s="217">
        <f t="shared" si="39"/>
        <v>0</v>
      </c>
      <c r="H115" s="217">
        <f t="shared" si="39"/>
        <v>0</v>
      </c>
    </row>
    <row r="116" spans="1:13" ht="39.75" customHeight="1" x14ac:dyDescent="0.25">
      <c r="A116" s="303"/>
      <c r="B116" s="306"/>
      <c r="C116" s="299"/>
      <c r="D116" s="211" t="s">
        <v>104</v>
      </c>
      <c r="E116" s="217">
        <f>F116+G116+H116</f>
        <v>0</v>
      </c>
      <c r="F116" s="217">
        <f t="shared" si="39"/>
        <v>0</v>
      </c>
      <c r="G116" s="217">
        <f t="shared" si="39"/>
        <v>0</v>
      </c>
      <c r="H116" s="217">
        <f t="shared" si="39"/>
        <v>0</v>
      </c>
    </row>
    <row r="117" spans="1:13" ht="57.75" customHeight="1" x14ac:dyDescent="0.25">
      <c r="A117" s="304"/>
      <c r="B117" s="307"/>
      <c r="C117" s="300"/>
      <c r="D117" s="211" t="s">
        <v>191</v>
      </c>
      <c r="E117" s="217">
        <v>0</v>
      </c>
      <c r="F117" s="217">
        <v>0</v>
      </c>
      <c r="G117" s="217">
        <v>0</v>
      </c>
      <c r="H117" s="217">
        <v>0</v>
      </c>
    </row>
    <row r="118" spans="1:13" ht="24.75" customHeight="1" x14ac:dyDescent="0.25">
      <c r="A118" s="302"/>
      <c r="B118" s="305" t="s">
        <v>134</v>
      </c>
      <c r="C118" s="298"/>
      <c r="D118" s="211" t="s">
        <v>3</v>
      </c>
      <c r="E118" s="217">
        <f>E120</f>
        <v>0</v>
      </c>
      <c r="F118" s="217">
        <f t="shared" ref="F118:H118" si="40">F120</f>
        <v>0</v>
      </c>
      <c r="G118" s="217">
        <f t="shared" si="40"/>
        <v>0</v>
      </c>
      <c r="H118" s="217">
        <f t="shared" si="40"/>
        <v>0</v>
      </c>
    </row>
    <row r="119" spans="1:13" ht="34.5" customHeight="1" x14ac:dyDescent="0.25">
      <c r="A119" s="303"/>
      <c r="B119" s="306"/>
      <c r="C119" s="299"/>
      <c r="D119" s="211" t="s">
        <v>190</v>
      </c>
      <c r="E119" s="217">
        <v>0</v>
      </c>
      <c r="F119" s="217">
        <v>0</v>
      </c>
      <c r="G119" s="217">
        <v>0</v>
      </c>
      <c r="H119" s="217">
        <v>0</v>
      </c>
    </row>
    <row r="120" spans="1:13" ht="56.25" customHeight="1" x14ac:dyDescent="0.25">
      <c r="A120" s="303"/>
      <c r="B120" s="306"/>
      <c r="C120" s="299"/>
      <c r="D120" s="211" t="s">
        <v>115</v>
      </c>
      <c r="E120" s="217">
        <f>F120+G120+H120</f>
        <v>0</v>
      </c>
      <c r="F120" s="217">
        <v>0</v>
      </c>
      <c r="G120" s="217">
        <v>0</v>
      </c>
      <c r="H120" s="217">
        <v>0</v>
      </c>
    </row>
    <row r="121" spans="1:13" ht="39" customHeight="1" x14ac:dyDescent="0.25">
      <c r="A121" s="303"/>
      <c r="B121" s="306"/>
      <c r="C121" s="299"/>
      <c r="D121" s="211" t="s">
        <v>104</v>
      </c>
      <c r="E121" s="217">
        <f>F121+G121+H121</f>
        <v>0</v>
      </c>
      <c r="F121" s="217">
        <v>0</v>
      </c>
      <c r="G121" s="217">
        <v>0</v>
      </c>
      <c r="H121" s="217">
        <v>0</v>
      </c>
    </row>
    <row r="122" spans="1:13" ht="57" customHeight="1" x14ac:dyDescent="0.25">
      <c r="A122" s="304"/>
      <c r="B122" s="307"/>
      <c r="C122" s="300"/>
      <c r="D122" s="211" t="s">
        <v>191</v>
      </c>
      <c r="E122" s="217">
        <v>0</v>
      </c>
      <c r="F122" s="217">
        <v>0</v>
      </c>
      <c r="G122" s="217">
        <v>0</v>
      </c>
      <c r="H122" s="217">
        <v>0</v>
      </c>
    </row>
    <row r="123" spans="1:13" ht="27" customHeight="1" x14ac:dyDescent="0.25">
      <c r="A123" s="292" t="s">
        <v>123</v>
      </c>
      <c r="B123" s="293"/>
      <c r="C123" s="298"/>
      <c r="D123" s="211" t="s">
        <v>3</v>
      </c>
      <c r="E123" s="217">
        <f>E125+E126</f>
        <v>75175.415930000017</v>
      </c>
      <c r="F123" s="217">
        <f t="shared" ref="F123:H123" si="41">F125+F126</f>
        <v>25102.120610000002</v>
      </c>
      <c r="G123" s="217">
        <f t="shared" si="41"/>
        <v>25035.64157</v>
      </c>
      <c r="H123" s="217">
        <f t="shared" si="41"/>
        <v>25037.653749999998</v>
      </c>
      <c r="J123" s="230"/>
      <c r="K123" s="230"/>
      <c r="L123" s="230"/>
      <c r="M123" s="230"/>
    </row>
    <row r="124" spans="1:13" ht="39.75" customHeight="1" x14ac:dyDescent="0.25">
      <c r="A124" s="294"/>
      <c r="B124" s="295"/>
      <c r="C124" s="299"/>
      <c r="D124" s="211" t="s">
        <v>190</v>
      </c>
      <c r="E124" s="217">
        <v>0</v>
      </c>
      <c r="F124" s="217">
        <v>0</v>
      </c>
      <c r="G124" s="217">
        <v>0</v>
      </c>
      <c r="H124" s="217">
        <v>0</v>
      </c>
      <c r="J124" s="230"/>
    </row>
    <row r="125" spans="1:13" ht="51.75" customHeight="1" x14ac:dyDescent="0.25">
      <c r="A125" s="294"/>
      <c r="B125" s="295"/>
      <c r="C125" s="299"/>
      <c r="D125" s="211" t="s">
        <v>115</v>
      </c>
      <c r="E125" s="217">
        <f>F125+G125+H125</f>
        <v>20051.895060000003</v>
      </c>
      <c r="F125" s="217">
        <f t="shared" ref="F125:H126" si="42">F57+F90+F115</f>
        <v>6765.8249999999998</v>
      </c>
      <c r="G125" s="217">
        <f t="shared" si="42"/>
        <v>6643.0349999999999</v>
      </c>
      <c r="H125" s="217">
        <f t="shared" si="42"/>
        <v>6643.0350600000002</v>
      </c>
      <c r="J125" s="230"/>
    </row>
    <row r="126" spans="1:13" ht="38.25" customHeight="1" x14ac:dyDescent="0.25">
      <c r="A126" s="294"/>
      <c r="B126" s="295"/>
      <c r="C126" s="299"/>
      <c r="D126" s="211" t="s">
        <v>104</v>
      </c>
      <c r="E126" s="217">
        <f>F126+G126+H126</f>
        <v>55123.520870000008</v>
      </c>
      <c r="F126" s="217">
        <f t="shared" si="42"/>
        <v>18336.295610000001</v>
      </c>
      <c r="G126" s="217">
        <f t="shared" si="42"/>
        <v>18392.60657</v>
      </c>
      <c r="H126" s="217">
        <f t="shared" si="42"/>
        <v>18394.618689999999</v>
      </c>
      <c r="J126" s="230"/>
    </row>
    <row r="127" spans="1:13" ht="51.75" customHeight="1" x14ac:dyDescent="0.25">
      <c r="A127" s="296"/>
      <c r="B127" s="297"/>
      <c r="C127" s="300"/>
      <c r="D127" s="211" t="s">
        <v>191</v>
      </c>
      <c r="E127" s="217">
        <v>0</v>
      </c>
      <c r="F127" s="217">
        <v>0</v>
      </c>
      <c r="G127" s="217">
        <v>0</v>
      </c>
      <c r="H127" s="217">
        <v>0</v>
      </c>
    </row>
    <row r="128" spans="1:13" ht="23.25" customHeight="1" x14ac:dyDescent="0.25">
      <c r="A128" s="292" t="s">
        <v>140</v>
      </c>
      <c r="B128" s="293"/>
      <c r="C128" s="298"/>
      <c r="D128" s="211" t="s">
        <v>3</v>
      </c>
      <c r="E128" s="217">
        <f>E130+E131</f>
        <v>0</v>
      </c>
      <c r="F128" s="217">
        <f t="shared" ref="F128:H128" si="43">F130+F131</f>
        <v>0</v>
      </c>
      <c r="G128" s="217">
        <f t="shared" si="43"/>
        <v>0</v>
      </c>
      <c r="H128" s="217">
        <f t="shared" si="43"/>
        <v>0</v>
      </c>
      <c r="J128" s="231"/>
      <c r="K128" s="231"/>
      <c r="L128" s="231"/>
      <c r="M128" s="231"/>
    </row>
    <row r="129" spans="1:13" ht="39" customHeight="1" x14ac:dyDescent="0.25">
      <c r="A129" s="294"/>
      <c r="B129" s="295"/>
      <c r="C129" s="299"/>
      <c r="D129" s="211" t="s">
        <v>190</v>
      </c>
      <c r="E129" s="217">
        <v>0</v>
      </c>
      <c r="F129" s="217">
        <v>0</v>
      </c>
      <c r="G129" s="217">
        <v>0</v>
      </c>
      <c r="H129" s="217">
        <v>0</v>
      </c>
      <c r="J129" s="231"/>
      <c r="K129" s="231"/>
      <c r="L129" s="231"/>
      <c r="M129" s="231"/>
    </row>
    <row r="130" spans="1:13" ht="51" customHeight="1" x14ac:dyDescent="0.25">
      <c r="A130" s="294"/>
      <c r="B130" s="295"/>
      <c r="C130" s="299"/>
      <c r="D130" s="211" t="s">
        <v>115</v>
      </c>
      <c r="E130" s="217">
        <f>F130+G130+H130</f>
        <v>0</v>
      </c>
      <c r="F130" s="217">
        <v>0</v>
      </c>
      <c r="G130" s="217">
        <v>0</v>
      </c>
      <c r="H130" s="217">
        <v>0</v>
      </c>
      <c r="J130" s="231"/>
      <c r="K130" s="231"/>
      <c r="L130" s="231"/>
      <c r="M130" s="231"/>
    </row>
    <row r="131" spans="1:13" ht="36.75" customHeight="1" x14ac:dyDescent="0.25">
      <c r="A131" s="294"/>
      <c r="B131" s="295"/>
      <c r="C131" s="299"/>
      <c r="D131" s="211" t="s">
        <v>104</v>
      </c>
      <c r="E131" s="217">
        <f>F131+G131+H131</f>
        <v>0</v>
      </c>
      <c r="F131" s="217">
        <v>0</v>
      </c>
      <c r="G131" s="217">
        <v>0</v>
      </c>
      <c r="H131" s="217">
        <v>0</v>
      </c>
    </row>
    <row r="132" spans="1:13" ht="48" customHeight="1" x14ac:dyDescent="0.25">
      <c r="A132" s="296"/>
      <c r="B132" s="297"/>
      <c r="C132" s="300"/>
      <c r="D132" s="211" t="s">
        <v>191</v>
      </c>
      <c r="E132" s="217">
        <v>0</v>
      </c>
      <c r="F132" s="217">
        <v>0</v>
      </c>
      <c r="G132" s="217">
        <v>0</v>
      </c>
      <c r="H132" s="217">
        <v>0</v>
      </c>
    </row>
    <row r="133" spans="1:13" ht="21" customHeight="1" x14ac:dyDescent="0.25">
      <c r="A133" s="301" t="s">
        <v>141</v>
      </c>
      <c r="B133" s="301"/>
      <c r="C133" s="301"/>
      <c r="D133" s="301"/>
      <c r="E133" s="301"/>
      <c r="F133" s="301"/>
      <c r="G133" s="301"/>
      <c r="H133" s="301"/>
    </row>
    <row r="134" spans="1:13" ht="24.75" customHeight="1" x14ac:dyDescent="0.25">
      <c r="A134" s="292" t="s">
        <v>142</v>
      </c>
      <c r="B134" s="293"/>
      <c r="C134" s="298"/>
      <c r="D134" s="211" t="s">
        <v>3</v>
      </c>
      <c r="E134" s="217">
        <f>E136+E137</f>
        <v>0</v>
      </c>
      <c r="F134" s="217">
        <f t="shared" ref="F134:H134" si="44">F136+F137</f>
        <v>0</v>
      </c>
      <c r="G134" s="217">
        <f t="shared" si="44"/>
        <v>0</v>
      </c>
      <c r="H134" s="217">
        <f t="shared" si="44"/>
        <v>0</v>
      </c>
    </row>
    <row r="135" spans="1:13" ht="34.5" customHeight="1" x14ac:dyDescent="0.25">
      <c r="A135" s="294"/>
      <c r="B135" s="295"/>
      <c r="C135" s="299"/>
      <c r="D135" s="211" t="s">
        <v>190</v>
      </c>
      <c r="E135" s="217">
        <v>0</v>
      </c>
      <c r="F135" s="217">
        <v>0</v>
      </c>
      <c r="G135" s="217">
        <v>0</v>
      </c>
      <c r="H135" s="217">
        <v>0</v>
      </c>
    </row>
    <row r="136" spans="1:13" ht="54" customHeight="1" x14ac:dyDescent="0.25">
      <c r="A136" s="294"/>
      <c r="B136" s="295"/>
      <c r="C136" s="299"/>
      <c r="D136" s="211" t="s">
        <v>115</v>
      </c>
      <c r="E136" s="217">
        <f>F136+G136+H136</f>
        <v>0</v>
      </c>
      <c r="F136" s="217">
        <v>0</v>
      </c>
      <c r="G136" s="217">
        <v>0</v>
      </c>
      <c r="H136" s="217">
        <v>0</v>
      </c>
    </row>
    <row r="137" spans="1:13" ht="40.5" customHeight="1" x14ac:dyDescent="0.25">
      <c r="A137" s="294"/>
      <c r="B137" s="295"/>
      <c r="C137" s="299"/>
      <c r="D137" s="211" t="s">
        <v>104</v>
      </c>
      <c r="E137" s="217">
        <f>F137+G137+H137</f>
        <v>0</v>
      </c>
      <c r="F137" s="217">
        <v>0</v>
      </c>
      <c r="G137" s="217">
        <v>0</v>
      </c>
      <c r="H137" s="217">
        <v>0</v>
      </c>
    </row>
    <row r="138" spans="1:13" ht="51.75" customHeight="1" x14ac:dyDescent="0.25">
      <c r="A138" s="296"/>
      <c r="B138" s="297"/>
      <c r="C138" s="300"/>
      <c r="D138" s="211" t="s">
        <v>191</v>
      </c>
      <c r="E138" s="217">
        <v>0</v>
      </c>
      <c r="F138" s="217">
        <v>0</v>
      </c>
      <c r="G138" s="217">
        <v>0</v>
      </c>
      <c r="H138" s="217">
        <v>0</v>
      </c>
    </row>
    <row r="139" spans="1:13" ht="22.5" customHeight="1" x14ac:dyDescent="0.25">
      <c r="A139" s="292" t="s">
        <v>143</v>
      </c>
      <c r="B139" s="293"/>
      <c r="C139" s="298"/>
      <c r="D139" s="211" t="s">
        <v>3</v>
      </c>
      <c r="E139" s="217">
        <f>E141+E142</f>
        <v>0</v>
      </c>
      <c r="F139" s="217">
        <f t="shared" ref="F139:H139" si="45">F141+F142</f>
        <v>0</v>
      </c>
      <c r="G139" s="217">
        <f t="shared" si="45"/>
        <v>0</v>
      </c>
      <c r="H139" s="217">
        <f t="shared" si="45"/>
        <v>0</v>
      </c>
    </row>
    <row r="140" spans="1:13" ht="33" customHeight="1" x14ac:dyDescent="0.25">
      <c r="A140" s="294"/>
      <c r="B140" s="295"/>
      <c r="C140" s="299"/>
      <c r="D140" s="211" t="s">
        <v>190</v>
      </c>
      <c r="E140" s="217">
        <v>0</v>
      </c>
      <c r="F140" s="217">
        <v>0</v>
      </c>
      <c r="G140" s="217">
        <v>0</v>
      </c>
      <c r="H140" s="217">
        <v>0</v>
      </c>
    </row>
    <row r="141" spans="1:13" ht="54.75" customHeight="1" x14ac:dyDescent="0.25">
      <c r="A141" s="294"/>
      <c r="B141" s="295"/>
      <c r="C141" s="299"/>
      <c r="D141" s="211" t="s">
        <v>115</v>
      </c>
      <c r="E141" s="217">
        <f>F141+G141+H141</f>
        <v>0</v>
      </c>
      <c r="F141" s="217">
        <v>0</v>
      </c>
      <c r="G141" s="217">
        <v>0</v>
      </c>
      <c r="H141" s="217">
        <v>0</v>
      </c>
    </row>
    <row r="142" spans="1:13" ht="38.25" customHeight="1" x14ac:dyDescent="0.25">
      <c r="A142" s="294"/>
      <c r="B142" s="295"/>
      <c r="C142" s="299"/>
      <c r="D142" s="211" t="s">
        <v>104</v>
      </c>
      <c r="E142" s="217">
        <f>F142+G142+H142</f>
        <v>0</v>
      </c>
      <c r="F142" s="217">
        <v>0</v>
      </c>
      <c r="G142" s="217">
        <v>0</v>
      </c>
      <c r="H142" s="217">
        <v>0</v>
      </c>
    </row>
    <row r="143" spans="1:13" ht="53.25" customHeight="1" x14ac:dyDescent="0.25">
      <c r="A143" s="296"/>
      <c r="B143" s="297"/>
      <c r="C143" s="300"/>
      <c r="D143" s="211" t="s">
        <v>191</v>
      </c>
      <c r="E143" s="217">
        <v>0</v>
      </c>
      <c r="F143" s="217">
        <v>0</v>
      </c>
      <c r="G143" s="217">
        <v>0</v>
      </c>
      <c r="H143" s="217">
        <v>0</v>
      </c>
    </row>
    <row r="144" spans="1:13" ht="18.75" customHeight="1" x14ac:dyDescent="0.25">
      <c r="A144" s="292" t="s">
        <v>144</v>
      </c>
      <c r="B144" s="293"/>
      <c r="C144" s="298"/>
      <c r="D144" s="211" t="s">
        <v>3</v>
      </c>
      <c r="E144" s="217">
        <f>E146+E147</f>
        <v>0</v>
      </c>
      <c r="F144" s="217">
        <f t="shared" ref="F144:H144" si="46">F146+F147</f>
        <v>0</v>
      </c>
      <c r="G144" s="217">
        <f t="shared" si="46"/>
        <v>0</v>
      </c>
      <c r="H144" s="217">
        <f t="shared" si="46"/>
        <v>0</v>
      </c>
    </row>
    <row r="145" spans="1:8" ht="33" customHeight="1" x14ac:dyDescent="0.25">
      <c r="A145" s="294"/>
      <c r="B145" s="295"/>
      <c r="C145" s="299"/>
      <c r="D145" s="211" t="s">
        <v>190</v>
      </c>
      <c r="E145" s="217">
        <v>0</v>
      </c>
      <c r="F145" s="217">
        <v>0</v>
      </c>
      <c r="G145" s="217">
        <v>0</v>
      </c>
      <c r="H145" s="217">
        <v>0</v>
      </c>
    </row>
    <row r="146" spans="1:8" ht="54.75" customHeight="1" x14ac:dyDescent="0.25">
      <c r="A146" s="294"/>
      <c r="B146" s="295"/>
      <c r="C146" s="299"/>
      <c r="D146" s="211" t="s">
        <v>115</v>
      </c>
      <c r="E146" s="217">
        <f>F146+G146+H146</f>
        <v>0</v>
      </c>
      <c r="F146" s="217">
        <v>0</v>
      </c>
      <c r="G146" s="217">
        <v>0</v>
      </c>
      <c r="H146" s="217">
        <v>0</v>
      </c>
    </row>
    <row r="147" spans="1:8" ht="39.75" customHeight="1" x14ac:dyDescent="0.25">
      <c r="A147" s="294"/>
      <c r="B147" s="295"/>
      <c r="C147" s="299"/>
      <c r="D147" s="211" t="s">
        <v>104</v>
      </c>
      <c r="E147" s="217">
        <f>F147+G147+H147</f>
        <v>0</v>
      </c>
      <c r="F147" s="217">
        <v>0</v>
      </c>
      <c r="G147" s="217">
        <v>0</v>
      </c>
      <c r="H147" s="217">
        <v>0</v>
      </c>
    </row>
    <row r="148" spans="1:8" ht="51" customHeight="1" x14ac:dyDescent="0.25">
      <c r="A148" s="296"/>
      <c r="B148" s="297"/>
      <c r="C148" s="300"/>
      <c r="D148" s="211" t="s">
        <v>191</v>
      </c>
      <c r="E148" s="217">
        <v>0</v>
      </c>
      <c r="F148" s="217">
        <v>0</v>
      </c>
      <c r="G148" s="217">
        <v>0</v>
      </c>
      <c r="H148" s="217">
        <v>0</v>
      </c>
    </row>
    <row r="149" spans="1:8" ht="21" customHeight="1" x14ac:dyDescent="0.25">
      <c r="A149" s="292" t="s">
        <v>145</v>
      </c>
      <c r="B149" s="293"/>
      <c r="C149" s="298"/>
      <c r="D149" s="211" t="s">
        <v>3</v>
      </c>
      <c r="E149" s="217">
        <f>E151+E152</f>
        <v>0</v>
      </c>
      <c r="F149" s="217">
        <f t="shared" ref="F149:H149" si="47">F151+F152</f>
        <v>0</v>
      </c>
      <c r="G149" s="217">
        <f t="shared" si="47"/>
        <v>0</v>
      </c>
      <c r="H149" s="217">
        <f t="shared" si="47"/>
        <v>0</v>
      </c>
    </row>
    <row r="150" spans="1:8" ht="33" customHeight="1" x14ac:dyDescent="0.25">
      <c r="A150" s="294"/>
      <c r="B150" s="295"/>
      <c r="C150" s="299"/>
      <c r="D150" s="211" t="s">
        <v>190</v>
      </c>
      <c r="E150" s="217">
        <v>0</v>
      </c>
      <c r="F150" s="217">
        <v>0</v>
      </c>
      <c r="G150" s="217">
        <v>0</v>
      </c>
      <c r="H150" s="217">
        <v>0</v>
      </c>
    </row>
    <row r="151" spans="1:8" ht="49.5" customHeight="1" x14ac:dyDescent="0.25">
      <c r="A151" s="294"/>
      <c r="B151" s="295"/>
      <c r="C151" s="299"/>
      <c r="D151" s="211" t="s">
        <v>115</v>
      </c>
      <c r="E151" s="217">
        <f>F151+G151+H151</f>
        <v>0</v>
      </c>
      <c r="F151" s="217">
        <v>0</v>
      </c>
      <c r="G151" s="217">
        <v>0</v>
      </c>
      <c r="H151" s="217">
        <v>0</v>
      </c>
    </row>
    <row r="152" spans="1:8" ht="47.25" customHeight="1" x14ac:dyDescent="0.25">
      <c r="A152" s="294"/>
      <c r="B152" s="295"/>
      <c r="C152" s="299"/>
      <c r="D152" s="211" t="s">
        <v>104</v>
      </c>
      <c r="E152" s="217">
        <f>F152+G152+H152</f>
        <v>0</v>
      </c>
      <c r="F152" s="217">
        <v>0</v>
      </c>
      <c r="G152" s="217">
        <v>0</v>
      </c>
      <c r="H152" s="217">
        <v>0</v>
      </c>
    </row>
    <row r="153" spans="1:8" ht="51.75" customHeight="1" x14ac:dyDescent="0.25">
      <c r="A153" s="296"/>
      <c r="B153" s="297"/>
      <c r="C153" s="300"/>
      <c r="D153" s="211" t="s">
        <v>191</v>
      </c>
      <c r="E153" s="217">
        <v>0</v>
      </c>
      <c r="F153" s="217">
        <v>0</v>
      </c>
      <c r="G153" s="217">
        <v>0</v>
      </c>
      <c r="H153" s="217">
        <v>0</v>
      </c>
    </row>
    <row r="154" spans="1:8" ht="20.25" customHeight="1" x14ac:dyDescent="0.25">
      <c r="A154" s="301" t="s">
        <v>141</v>
      </c>
      <c r="B154" s="301"/>
      <c r="C154" s="301"/>
      <c r="D154" s="301"/>
      <c r="E154" s="301"/>
      <c r="F154" s="301"/>
      <c r="G154" s="301"/>
      <c r="H154" s="301"/>
    </row>
    <row r="155" spans="1:8" ht="24.75" customHeight="1" x14ac:dyDescent="0.25">
      <c r="A155" s="292" t="s">
        <v>213</v>
      </c>
      <c r="B155" s="293"/>
      <c r="C155" s="298"/>
      <c r="D155" s="211" t="s">
        <v>3</v>
      </c>
      <c r="E155" s="229">
        <f>E157+E158</f>
        <v>9495.7443199999998</v>
      </c>
      <c r="F155" s="229">
        <f t="shared" ref="F155:H155" si="48">F157+F158</f>
        <v>3165.9123799999998</v>
      </c>
      <c r="G155" s="229">
        <f t="shared" si="48"/>
        <v>3165.0128500000001</v>
      </c>
      <c r="H155" s="229">
        <f t="shared" si="48"/>
        <v>3164.81909</v>
      </c>
    </row>
    <row r="156" spans="1:8" ht="37.5" customHeight="1" x14ac:dyDescent="0.25">
      <c r="A156" s="294"/>
      <c r="B156" s="295"/>
      <c r="C156" s="299"/>
      <c r="D156" s="211" t="s">
        <v>190</v>
      </c>
      <c r="E156" s="229">
        <v>0</v>
      </c>
      <c r="F156" s="229">
        <v>0</v>
      </c>
      <c r="G156" s="229">
        <v>0</v>
      </c>
      <c r="H156" s="229">
        <v>0</v>
      </c>
    </row>
    <row r="157" spans="1:8" ht="51.75" customHeight="1" x14ac:dyDescent="0.25">
      <c r="A157" s="294"/>
      <c r="B157" s="295"/>
      <c r="C157" s="299"/>
      <c r="D157" s="211" t="s">
        <v>115</v>
      </c>
      <c r="E157" s="229">
        <f>F157+G157+H157</f>
        <v>9495.7443199999998</v>
      </c>
      <c r="F157" s="229">
        <f>F72+F111</f>
        <v>3165.9123799999998</v>
      </c>
      <c r="G157" s="229">
        <f>G72+G111</f>
        <v>3165.0128500000001</v>
      </c>
      <c r="H157" s="229">
        <f>H72+H111</f>
        <v>3164.81909</v>
      </c>
    </row>
    <row r="158" spans="1:8" ht="39.75" customHeight="1" x14ac:dyDescent="0.25">
      <c r="A158" s="294"/>
      <c r="B158" s="295"/>
      <c r="C158" s="299"/>
      <c r="D158" s="211" t="s">
        <v>104</v>
      </c>
      <c r="E158" s="229">
        <f>F158+G158+H158</f>
        <v>0</v>
      </c>
      <c r="F158" s="229">
        <f>F84+F87</f>
        <v>0</v>
      </c>
      <c r="G158" s="229">
        <f t="shared" ref="G158:H158" si="49">G84+G87</f>
        <v>0</v>
      </c>
      <c r="H158" s="229">
        <f t="shared" si="49"/>
        <v>0</v>
      </c>
    </row>
    <row r="159" spans="1:8" ht="50.25" customHeight="1" x14ac:dyDescent="0.25">
      <c r="A159" s="296"/>
      <c r="B159" s="297"/>
      <c r="C159" s="300"/>
      <c r="D159" s="211" t="s">
        <v>191</v>
      </c>
      <c r="E159" s="229">
        <v>0</v>
      </c>
      <c r="F159" s="229">
        <v>0</v>
      </c>
      <c r="G159" s="229">
        <v>0</v>
      </c>
      <c r="H159" s="229">
        <v>0</v>
      </c>
    </row>
    <row r="160" spans="1:8" ht="25.5" customHeight="1" x14ac:dyDescent="0.25">
      <c r="A160" s="292" t="s">
        <v>214</v>
      </c>
      <c r="B160" s="293"/>
      <c r="C160" s="298"/>
      <c r="D160" s="211" t="s">
        <v>3</v>
      </c>
      <c r="E160" s="229">
        <f>E162+E163</f>
        <v>44982.230800000005</v>
      </c>
      <c r="F160" s="229">
        <f t="shared" ref="F160:H160" si="50">F162+F163</f>
        <v>14955.726920000001</v>
      </c>
      <c r="G160" s="229">
        <f t="shared" si="50"/>
        <v>15013.260469999999</v>
      </c>
      <c r="H160" s="229">
        <f t="shared" si="50"/>
        <v>15013.243409999999</v>
      </c>
    </row>
    <row r="161" spans="1:8" ht="32.25" customHeight="1" x14ac:dyDescent="0.25">
      <c r="A161" s="294"/>
      <c r="B161" s="295"/>
      <c r="C161" s="299"/>
      <c r="D161" s="211" t="s">
        <v>190</v>
      </c>
      <c r="E161" s="229">
        <v>0</v>
      </c>
      <c r="F161" s="229">
        <v>0</v>
      </c>
      <c r="G161" s="229">
        <v>0</v>
      </c>
      <c r="H161" s="229">
        <v>0</v>
      </c>
    </row>
    <row r="162" spans="1:8" ht="51" customHeight="1" x14ac:dyDescent="0.25">
      <c r="A162" s="294"/>
      <c r="B162" s="295"/>
      <c r="C162" s="299"/>
      <c r="D162" s="211" t="s">
        <v>115</v>
      </c>
      <c r="E162" s="229">
        <f>F162+G162+H162</f>
        <v>5465.0249999999996</v>
      </c>
      <c r="F162" s="229">
        <f>F17+F20+F108</f>
        <v>1821.675</v>
      </c>
      <c r="G162" s="229">
        <f>G17+G20+G108</f>
        <v>1821.675</v>
      </c>
      <c r="H162" s="229">
        <f>H17+H20+H108</f>
        <v>1821.675</v>
      </c>
    </row>
    <row r="163" spans="1:8" ht="39" customHeight="1" x14ac:dyDescent="0.25">
      <c r="A163" s="294"/>
      <c r="B163" s="295"/>
      <c r="C163" s="299"/>
      <c r="D163" s="211" t="s">
        <v>104</v>
      </c>
      <c r="E163" s="229">
        <f>F163+G163+H163</f>
        <v>39517.205800000003</v>
      </c>
      <c r="F163" s="229">
        <f>F18+F21+F24</f>
        <v>13134.051920000002</v>
      </c>
      <c r="G163" s="229">
        <f>G18+G21+G24</f>
        <v>13191.58547</v>
      </c>
      <c r="H163" s="229">
        <f>H18+H21+H24</f>
        <v>13191.56841</v>
      </c>
    </row>
    <row r="164" spans="1:8" ht="52.5" customHeight="1" x14ac:dyDescent="0.25">
      <c r="A164" s="296"/>
      <c r="B164" s="297"/>
      <c r="C164" s="300"/>
      <c r="D164" s="211" t="s">
        <v>191</v>
      </c>
      <c r="E164" s="229">
        <v>0</v>
      </c>
      <c r="F164" s="229">
        <v>0</v>
      </c>
      <c r="G164" s="229">
        <v>0</v>
      </c>
      <c r="H164" s="229">
        <v>0</v>
      </c>
    </row>
    <row r="165" spans="1:8" ht="22.5" customHeight="1" x14ac:dyDescent="0.25">
      <c r="A165" s="292" t="s">
        <v>215</v>
      </c>
      <c r="B165" s="293"/>
      <c r="C165" s="298"/>
      <c r="D165" s="211" t="s">
        <v>3</v>
      </c>
      <c r="E165" s="229">
        <f>E167</f>
        <v>122.69</v>
      </c>
      <c r="F165" s="229">
        <f t="shared" ref="F165:H165" si="51">F167</f>
        <v>122.69</v>
      </c>
      <c r="G165" s="229">
        <f t="shared" si="51"/>
        <v>0</v>
      </c>
      <c r="H165" s="229">
        <f t="shared" si="51"/>
        <v>0</v>
      </c>
    </row>
    <row r="166" spans="1:8" ht="40.5" customHeight="1" x14ac:dyDescent="0.25">
      <c r="A166" s="294"/>
      <c r="B166" s="295"/>
      <c r="C166" s="299"/>
      <c r="D166" s="211" t="s">
        <v>190</v>
      </c>
      <c r="E166" s="229">
        <v>0</v>
      </c>
      <c r="F166" s="229">
        <v>0</v>
      </c>
      <c r="G166" s="229">
        <v>0</v>
      </c>
      <c r="H166" s="229">
        <v>0</v>
      </c>
    </row>
    <row r="167" spans="1:8" ht="48.75" customHeight="1" x14ac:dyDescent="0.25">
      <c r="A167" s="294"/>
      <c r="B167" s="295"/>
      <c r="C167" s="299"/>
      <c r="D167" s="211" t="s">
        <v>115</v>
      </c>
      <c r="E167" s="229">
        <f>F167+G167+H167</f>
        <v>122.69</v>
      </c>
      <c r="F167" s="229">
        <f>F105+F53</f>
        <v>122.69</v>
      </c>
      <c r="G167" s="229">
        <f>G105+G53</f>
        <v>0</v>
      </c>
      <c r="H167" s="229">
        <f>H105+H53</f>
        <v>0</v>
      </c>
    </row>
    <row r="168" spans="1:8" ht="36.75" customHeight="1" x14ac:dyDescent="0.25">
      <c r="A168" s="294"/>
      <c r="B168" s="295"/>
      <c r="C168" s="299"/>
      <c r="D168" s="211" t="s">
        <v>104</v>
      </c>
      <c r="E168" s="229">
        <f>F168+G168+H168</f>
        <v>0</v>
      </c>
      <c r="F168" s="229">
        <f>F50+F102</f>
        <v>0</v>
      </c>
      <c r="G168" s="229">
        <f t="shared" ref="G168:H168" si="52">G50+G102</f>
        <v>0</v>
      </c>
      <c r="H168" s="229">
        <f t="shared" si="52"/>
        <v>0</v>
      </c>
    </row>
    <row r="169" spans="1:8" ht="54.75" customHeight="1" x14ac:dyDescent="0.25">
      <c r="A169" s="296"/>
      <c r="B169" s="297"/>
      <c r="C169" s="300"/>
      <c r="D169" s="211" t="s">
        <v>191</v>
      </c>
      <c r="E169" s="229">
        <v>0</v>
      </c>
      <c r="F169" s="229">
        <v>0</v>
      </c>
      <c r="G169" s="229">
        <v>0</v>
      </c>
      <c r="H169" s="229">
        <v>0</v>
      </c>
    </row>
    <row r="170" spans="1:8" ht="27.75" customHeight="1" x14ac:dyDescent="0.25">
      <c r="A170" s="292" t="s">
        <v>216</v>
      </c>
      <c r="B170" s="293"/>
      <c r="C170" s="298"/>
      <c r="D170" s="211" t="s">
        <v>3</v>
      </c>
      <c r="E170" s="229">
        <f>E172+E173</f>
        <v>2645.2807499999999</v>
      </c>
      <c r="F170" s="229">
        <f t="shared" ref="F170:H170" si="53">F172+F173</f>
        <v>882.10266999999988</v>
      </c>
      <c r="G170" s="229">
        <f t="shared" si="53"/>
        <v>882.32147999999995</v>
      </c>
      <c r="H170" s="229">
        <f t="shared" si="53"/>
        <v>880.85659999999984</v>
      </c>
    </row>
    <row r="171" spans="1:8" ht="35.25" customHeight="1" x14ac:dyDescent="0.25">
      <c r="A171" s="294"/>
      <c r="B171" s="295"/>
      <c r="C171" s="299"/>
      <c r="D171" s="211" t="s">
        <v>190</v>
      </c>
      <c r="E171" s="229">
        <v>0</v>
      </c>
      <c r="F171" s="229">
        <v>0</v>
      </c>
      <c r="G171" s="229">
        <v>0</v>
      </c>
      <c r="H171" s="229">
        <v>0</v>
      </c>
    </row>
    <row r="172" spans="1:8" ht="51" customHeight="1" x14ac:dyDescent="0.25">
      <c r="A172" s="294"/>
      <c r="B172" s="295"/>
      <c r="C172" s="299"/>
      <c r="D172" s="211" t="s">
        <v>115</v>
      </c>
      <c r="E172" s="229">
        <f>F172+G172+H172</f>
        <v>871.65573999999992</v>
      </c>
      <c r="F172" s="229">
        <f>F33+F75</f>
        <v>289.88761999999997</v>
      </c>
      <c r="G172" s="229">
        <f>G33+G75</f>
        <v>290.78715</v>
      </c>
      <c r="H172" s="229">
        <f>H33+H75</f>
        <v>290.98097000000001</v>
      </c>
    </row>
    <row r="173" spans="1:8" ht="37.5" customHeight="1" x14ac:dyDescent="0.25">
      <c r="A173" s="294"/>
      <c r="B173" s="295"/>
      <c r="C173" s="299"/>
      <c r="D173" s="211" t="s">
        <v>104</v>
      </c>
      <c r="E173" s="229">
        <f>F173+G173+H173</f>
        <v>1773.6250099999997</v>
      </c>
      <c r="F173" s="229">
        <f>F34+F76</f>
        <v>592.21504999999991</v>
      </c>
      <c r="G173" s="229">
        <f t="shared" ref="G173:H173" si="54">G34+G76</f>
        <v>591.53432999999995</v>
      </c>
      <c r="H173" s="229">
        <f t="shared" si="54"/>
        <v>589.87562999999989</v>
      </c>
    </row>
    <row r="174" spans="1:8" ht="49.5" customHeight="1" x14ac:dyDescent="0.25">
      <c r="A174" s="296"/>
      <c r="B174" s="297"/>
      <c r="C174" s="300"/>
      <c r="D174" s="211" t="s">
        <v>191</v>
      </c>
      <c r="E174" s="229">
        <v>0</v>
      </c>
      <c r="F174" s="229">
        <v>0</v>
      </c>
      <c r="G174" s="229">
        <v>0</v>
      </c>
      <c r="H174" s="229">
        <v>0</v>
      </c>
    </row>
    <row r="175" spans="1:8" ht="22.5" customHeight="1" x14ac:dyDescent="0.25">
      <c r="A175" s="292" t="s">
        <v>217</v>
      </c>
      <c r="B175" s="293"/>
      <c r="C175" s="298"/>
      <c r="D175" s="211" t="s">
        <v>3</v>
      </c>
      <c r="E175" s="229">
        <f>E177+E178</f>
        <v>11361.679620000001</v>
      </c>
      <c r="F175" s="229">
        <f t="shared" ref="F175:H175" si="55">F177+F178</f>
        <v>3787.1214500000001</v>
      </c>
      <c r="G175" s="229">
        <f t="shared" si="55"/>
        <v>3786.9039200000002</v>
      </c>
      <c r="H175" s="229">
        <f t="shared" si="55"/>
        <v>3787.65425</v>
      </c>
    </row>
    <row r="176" spans="1:8" ht="34.5" customHeight="1" x14ac:dyDescent="0.25">
      <c r="A176" s="294"/>
      <c r="B176" s="295"/>
      <c r="C176" s="299"/>
      <c r="D176" s="211" t="s">
        <v>190</v>
      </c>
      <c r="E176" s="229">
        <v>0</v>
      </c>
      <c r="F176" s="229">
        <v>0</v>
      </c>
      <c r="G176" s="229">
        <v>0</v>
      </c>
      <c r="H176" s="229">
        <v>0</v>
      </c>
    </row>
    <row r="177" spans="1:8" ht="52.5" customHeight="1" x14ac:dyDescent="0.25">
      <c r="A177" s="294"/>
      <c r="B177" s="295"/>
      <c r="C177" s="299"/>
      <c r="D177" s="211" t="s">
        <v>115</v>
      </c>
      <c r="E177" s="229">
        <f>F177+G177+H177</f>
        <v>2579.58</v>
      </c>
      <c r="F177" s="229">
        <f>F30</f>
        <v>859.86</v>
      </c>
      <c r="G177" s="229">
        <f t="shared" ref="G177:H178" si="56">G30</f>
        <v>859.86</v>
      </c>
      <c r="H177" s="229">
        <f t="shared" si="56"/>
        <v>859.86</v>
      </c>
    </row>
    <row r="178" spans="1:8" ht="37.5" customHeight="1" x14ac:dyDescent="0.25">
      <c r="A178" s="294"/>
      <c r="B178" s="295"/>
      <c r="C178" s="299"/>
      <c r="D178" s="211" t="s">
        <v>104</v>
      </c>
      <c r="E178" s="229">
        <f>F178+G178+H178</f>
        <v>8782.0996200000009</v>
      </c>
      <c r="F178" s="229">
        <f>F31</f>
        <v>2927.26145</v>
      </c>
      <c r="G178" s="229">
        <f t="shared" si="56"/>
        <v>2927.0439200000001</v>
      </c>
      <c r="H178" s="229">
        <f t="shared" si="56"/>
        <v>2927.7942499999999</v>
      </c>
    </row>
    <row r="179" spans="1:8" ht="48.75" customHeight="1" x14ac:dyDescent="0.25">
      <c r="A179" s="296"/>
      <c r="B179" s="297"/>
      <c r="C179" s="300"/>
      <c r="D179" s="211" t="s">
        <v>191</v>
      </c>
      <c r="E179" s="229">
        <v>0</v>
      </c>
      <c r="F179" s="229">
        <v>0</v>
      </c>
      <c r="G179" s="229">
        <v>0</v>
      </c>
      <c r="H179" s="229">
        <v>0</v>
      </c>
    </row>
    <row r="180" spans="1:8" s="213" customFormat="1" ht="25.5" customHeight="1" x14ac:dyDescent="0.25">
      <c r="A180" s="292" t="s">
        <v>218</v>
      </c>
      <c r="B180" s="293"/>
      <c r="C180" s="298"/>
      <c r="D180" s="211" t="s">
        <v>3</v>
      </c>
      <c r="E180" s="229">
        <f t="shared" ref="E180:H180" si="57">E182+E183</f>
        <v>2410.8499900000002</v>
      </c>
      <c r="F180" s="229">
        <f t="shared" si="57"/>
        <v>662.87296000000003</v>
      </c>
      <c r="G180" s="229">
        <f t="shared" si="57"/>
        <v>873.51781000000005</v>
      </c>
      <c r="H180" s="229">
        <f t="shared" si="57"/>
        <v>874.45921999999996</v>
      </c>
    </row>
    <row r="181" spans="1:8" s="213" customFormat="1" ht="36" customHeight="1" x14ac:dyDescent="0.25">
      <c r="A181" s="294"/>
      <c r="B181" s="295"/>
      <c r="C181" s="299"/>
      <c r="D181" s="211" t="s">
        <v>190</v>
      </c>
      <c r="E181" s="229">
        <v>0</v>
      </c>
      <c r="F181" s="229">
        <v>0</v>
      </c>
      <c r="G181" s="229">
        <v>0</v>
      </c>
      <c r="H181" s="229">
        <v>0</v>
      </c>
    </row>
    <row r="182" spans="1:8" s="213" customFormat="1" ht="51.75" customHeight="1" x14ac:dyDescent="0.25">
      <c r="A182" s="294"/>
      <c r="B182" s="295"/>
      <c r="C182" s="299"/>
      <c r="D182" s="211" t="s">
        <v>115</v>
      </c>
      <c r="E182" s="229">
        <f>F182+G182+H182</f>
        <v>556.38</v>
      </c>
      <c r="F182" s="229">
        <f t="shared" ref="F182:H183" si="58">F36</f>
        <v>151.74</v>
      </c>
      <c r="G182" s="229">
        <f t="shared" si="58"/>
        <v>202.32</v>
      </c>
      <c r="H182" s="229">
        <f t="shared" si="58"/>
        <v>202.32</v>
      </c>
    </row>
    <row r="183" spans="1:8" s="213" customFormat="1" ht="39" customHeight="1" x14ac:dyDescent="0.25">
      <c r="A183" s="294"/>
      <c r="B183" s="295"/>
      <c r="C183" s="299"/>
      <c r="D183" s="211" t="s">
        <v>104</v>
      </c>
      <c r="E183" s="229">
        <f>F183+G183+H183</f>
        <v>1854.4699900000001</v>
      </c>
      <c r="F183" s="229">
        <f t="shared" si="58"/>
        <v>511.13296000000003</v>
      </c>
      <c r="G183" s="229">
        <f t="shared" si="58"/>
        <v>671.19781000000012</v>
      </c>
      <c r="H183" s="229">
        <f t="shared" si="58"/>
        <v>672.13922000000002</v>
      </c>
    </row>
    <row r="184" spans="1:8" s="213" customFormat="1" ht="51" customHeight="1" x14ac:dyDescent="0.25">
      <c r="A184" s="296"/>
      <c r="B184" s="297"/>
      <c r="C184" s="300"/>
      <c r="D184" s="211" t="s">
        <v>191</v>
      </c>
      <c r="E184" s="229">
        <v>0</v>
      </c>
      <c r="F184" s="229">
        <v>0</v>
      </c>
      <c r="G184" s="229">
        <v>0</v>
      </c>
      <c r="H184" s="229">
        <v>0</v>
      </c>
    </row>
    <row r="185" spans="1:8" s="213" customFormat="1" ht="27" customHeight="1" x14ac:dyDescent="0.25">
      <c r="A185" s="292" t="s">
        <v>219</v>
      </c>
      <c r="B185" s="293"/>
      <c r="C185" s="298"/>
      <c r="D185" s="211" t="s">
        <v>3</v>
      </c>
      <c r="E185" s="229">
        <f>E187+E188</f>
        <v>1201.1334899999999</v>
      </c>
      <c r="F185" s="229">
        <f t="shared" ref="F185:H185" si="59">F187+F188</f>
        <v>326.95333999999997</v>
      </c>
      <c r="G185" s="229">
        <f t="shared" si="59"/>
        <v>436.75872000000004</v>
      </c>
      <c r="H185" s="229">
        <f t="shared" si="59"/>
        <v>437.5214299999999</v>
      </c>
    </row>
    <row r="186" spans="1:8" s="213" customFormat="1" ht="37.5" customHeight="1" x14ac:dyDescent="0.25">
      <c r="A186" s="294"/>
      <c r="B186" s="295"/>
      <c r="C186" s="299"/>
      <c r="D186" s="211" t="s">
        <v>190</v>
      </c>
      <c r="E186" s="229">
        <v>0</v>
      </c>
      <c r="F186" s="229">
        <v>0</v>
      </c>
      <c r="G186" s="229">
        <v>0</v>
      </c>
      <c r="H186" s="229">
        <v>0</v>
      </c>
    </row>
    <row r="187" spans="1:8" s="213" customFormat="1" ht="48.75" customHeight="1" x14ac:dyDescent="0.25">
      <c r="A187" s="294"/>
      <c r="B187" s="295"/>
      <c r="C187" s="299"/>
      <c r="D187" s="211" t="s">
        <v>115</v>
      </c>
      <c r="E187" s="229">
        <f>F187+G187+H187-0.1</f>
        <v>278.08999999999997</v>
      </c>
      <c r="F187" s="229">
        <f t="shared" ref="F187:H188" si="60">F39</f>
        <v>75.87</v>
      </c>
      <c r="G187" s="232">
        <f t="shared" si="60"/>
        <v>101.16</v>
      </c>
      <c r="H187" s="232">
        <f t="shared" si="60"/>
        <v>101.16</v>
      </c>
    </row>
    <row r="188" spans="1:8" s="213" customFormat="1" ht="36.75" customHeight="1" x14ac:dyDescent="0.25">
      <c r="A188" s="294"/>
      <c r="B188" s="295"/>
      <c r="C188" s="299"/>
      <c r="D188" s="211" t="s">
        <v>104</v>
      </c>
      <c r="E188" s="229">
        <f>F188+G188+H188</f>
        <v>923.04349000000002</v>
      </c>
      <c r="F188" s="229">
        <f t="shared" si="60"/>
        <v>251.08333999999996</v>
      </c>
      <c r="G188" s="229">
        <f t="shared" si="60"/>
        <v>335.59872000000007</v>
      </c>
      <c r="H188" s="229">
        <f t="shared" si="60"/>
        <v>336.36142999999993</v>
      </c>
    </row>
    <row r="189" spans="1:8" s="213" customFormat="1" ht="49.5" customHeight="1" x14ac:dyDescent="0.25">
      <c r="A189" s="296"/>
      <c r="B189" s="297"/>
      <c r="C189" s="300"/>
      <c r="D189" s="211" t="s">
        <v>191</v>
      </c>
      <c r="E189" s="229">
        <v>0</v>
      </c>
      <c r="F189" s="229">
        <v>0</v>
      </c>
      <c r="G189" s="229">
        <v>0</v>
      </c>
      <c r="H189" s="229">
        <v>0</v>
      </c>
    </row>
    <row r="190" spans="1:8" s="213" customFormat="1" ht="27.75" customHeight="1" x14ac:dyDescent="0.25">
      <c r="A190" s="292" t="s">
        <v>220</v>
      </c>
      <c r="B190" s="293"/>
      <c r="C190" s="298"/>
      <c r="D190" s="211" t="s">
        <v>3</v>
      </c>
      <c r="E190" s="229">
        <f t="shared" ref="E190:H190" si="61">E192+E193</f>
        <v>1201.1771699999999</v>
      </c>
      <c r="F190" s="229">
        <f t="shared" si="61"/>
        <v>326.96524999999997</v>
      </c>
      <c r="G190" s="229">
        <f t="shared" si="61"/>
        <v>436.77459999999996</v>
      </c>
      <c r="H190" s="229">
        <f t="shared" si="61"/>
        <v>437.53731999999991</v>
      </c>
    </row>
    <row r="191" spans="1:8" s="213" customFormat="1" ht="43.5" customHeight="1" x14ac:dyDescent="0.25">
      <c r="A191" s="294"/>
      <c r="B191" s="295"/>
      <c r="C191" s="299"/>
      <c r="D191" s="211" t="s">
        <v>190</v>
      </c>
      <c r="E191" s="229">
        <v>0</v>
      </c>
      <c r="F191" s="229">
        <v>0</v>
      </c>
      <c r="G191" s="229">
        <v>0</v>
      </c>
      <c r="H191" s="229">
        <v>0</v>
      </c>
    </row>
    <row r="192" spans="1:8" s="213" customFormat="1" ht="52.5" customHeight="1" x14ac:dyDescent="0.25">
      <c r="A192" s="294"/>
      <c r="B192" s="295"/>
      <c r="C192" s="299"/>
      <c r="D192" s="211" t="s">
        <v>115</v>
      </c>
      <c r="E192" s="229">
        <f>F192+G192+H192-0.1</f>
        <v>278.08999999999997</v>
      </c>
      <c r="F192" s="229">
        <f t="shared" ref="F192:H193" si="62">F42</f>
        <v>75.87</v>
      </c>
      <c r="G192" s="232">
        <f t="shared" si="62"/>
        <v>101.16</v>
      </c>
      <c r="H192" s="232">
        <f t="shared" si="62"/>
        <v>101.16</v>
      </c>
    </row>
    <row r="193" spans="1:8" s="213" customFormat="1" ht="37.5" customHeight="1" x14ac:dyDescent="0.25">
      <c r="A193" s="294"/>
      <c r="B193" s="295"/>
      <c r="C193" s="299"/>
      <c r="D193" s="211" t="s">
        <v>104</v>
      </c>
      <c r="E193" s="229">
        <f>F193+G193+H193</f>
        <v>923.0871699999999</v>
      </c>
      <c r="F193" s="229">
        <f t="shared" si="62"/>
        <v>251.09524999999996</v>
      </c>
      <c r="G193" s="229">
        <f t="shared" si="62"/>
        <v>335.6146</v>
      </c>
      <c r="H193" s="229">
        <f t="shared" si="62"/>
        <v>336.37731999999994</v>
      </c>
    </row>
    <row r="194" spans="1:8" s="213" customFormat="1" ht="53.25" customHeight="1" x14ac:dyDescent="0.25">
      <c r="A194" s="296"/>
      <c r="B194" s="297"/>
      <c r="C194" s="300"/>
      <c r="D194" s="211" t="s">
        <v>191</v>
      </c>
      <c r="E194" s="229">
        <v>0</v>
      </c>
      <c r="F194" s="229">
        <v>0</v>
      </c>
      <c r="G194" s="229">
        <v>0</v>
      </c>
      <c r="H194" s="229">
        <v>0</v>
      </c>
    </row>
    <row r="195" spans="1:8" s="213" customFormat="1" ht="24.75" customHeight="1" x14ac:dyDescent="0.25">
      <c r="A195" s="292" t="s">
        <v>221</v>
      </c>
      <c r="B195" s="293"/>
      <c r="C195" s="298"/>
      <c r="D195" s="211" t="s">
        <v>3</v>
      </c>
      <c r="E195" s="229">
        <f t="shared" ref="E195:H195" si="63">E197+E198</f>
        <v>1754.52979</v>
      </c>
      <c r="F195" s="229">
        <f t="shared" si="63"/>
        <v>871.77564000000007</v>
      </c>
      <c r="G195" s="229">
        <f t="shared" si="63"/>
        <v>441.19172000000003</v>
      </c>
      <c r="H195" s="229">
        <f t="shared" si="63"/>
        <v>441.66242999999997</v>
      </c>
    </row>
    <row r="196" spans="1:8" s="213" customFormat="1" ht="39.75" customHeight="1" x14ac:dyDescent="0.25">
      <c r="A196" s="294"/>
      <c r="B196" s="295"/>
      <c r="C196" s="299"/>
      <c r="D196" s="211" t="s">
        <v>190</v>
      </c>
      <c r="E196" s="229">
        <v>0</v>
      </c>
      <c r="F196" s="229">
        <v>0</v>
      </c>
      <c r="G196" s="229">
        <v>0</v>
      </c>
      <c r="H196" s="229">
        <v>0</v>
      </c>
    </row>
    <row r="197" spans="1:8" s="213" customFormat="1" ht="63" customHeight="1" x14ac:dyDescent="0.25">
      <c r="A197" s="294"/>
      <c r="B197" s="295"/>
      <c r="C197" s="299"/>
      <c r="D197" s="211" t="s">
        <v>115</v>
      </c>
      <c r="E197" s="229">
        <f>F197+G197+H197-0.1</f>
        <v>404.53999999999996</v>
      </c>
      <c r="F197" s="229">
        <f>F45</f>
        <v>202.32</v>
      </c>
      <c r="G197" s="232">
        <f>G45</f>
        <v>101.16</v>
      </c>
      <c r="H197" s="232">
        <f t="shared" ref="G197:H198" si="64">H45</f>
        <v>101.16</v>
      </c>
    </row>
    <row r="198" spans="1:8" s="213" customFormat="1" ht="41.25" customHeight="1" x14ac:dyDescent="0.25">
      <c r="A198" s="294"/>
      <c r="B198" s="295"/>
      <c r="C198" s="299"/>
      <c r="D198" s="211" t="s">
        <v>104</v>
      </c>
      <c r="E198" s="229">
        <f>F198+G198+H198</f>
        <v>1349.9897900000001</v>
      </c>
      <c r="F198" s="229">
        <f>F46</f>
        <v>669.45564000000013</v>
      </c>
      <c r="G198" s="229">
        <f t="shared" si="64"/>
        <v>340.03172000000006</v>
      </c>
      <c r="H198" s="229">
        <f t="shared" si="64"/>
        <v>340.50243</v>
      </c>
    </row>
    <row r="199" spans="1:8" s="213" customFormat="1" ht="53.25" customHeight="1" x14ac:dyDescent="0.25">
      <c r="A199" s="296"/>
      <c r="B199" s="297"/>
      <c r="C199" s="300"/>
      <c r="D199" s="211" t="s">
        <v>191</v>
      </c>
      <c r="E199" s="229">
        <v>0</v>
      </c>
      <c r="F199" s="229">
        <v>0</v>
      </c>
      <c r="G199" s="229">
        <v>0</v>
      </c>
      <c r="H199" s="229">
        <v>0</v>
      </c>
    </row>
    <row r="200" spans="1:8" x14ac:dyDescent="0.25">
      <c r="A200" s="291" t="s">
        <v>222</v>
      </c>
      <c r="B200" s="291"/>
      <c r="C200" s="291"/>
      <c r="D200" s="291"/>
      <c r="E200" s="291"/>
      <c r="F200" s="291"/>
      <c r="G200" s="291"/>
      <c r="H200" s="291"/>
    </row>
    <row r="201" spans="1:8" x14ac:dyDescent="0.25">
      <c r="A201" s="291" t="s">
        <v>223</v>
      </c>
      <c r="B201" s="291"/>
      <c r="C201" s="291"/>
      <c r="D201" s="291"/>
      <c r="E201" s="291"/>
      <c r="F201" s="291"/>
      <c r="G201" s="291"/>
      <c r="H201" s="291"/>
    </row>
    <row r="202" spans="1:8" x14ac:dyDescent="0.25">
      <c r="A202" s="291" t="s">
        <v>224</v>
      </c>
      <c r="B202" s="291"/>
      <c r="C202" s="291"/>
      <c r="D202" s="291"/>
      <c r="E202" s="291"/>
      <c r="F202" s="291"/>
      <c r="G202" s="291"/>
      <c r="H202" s="291"/>
    </row>
    <row r="203" spans="1:8" x14ac:dyDescent="0.25">
      <c r="A203" s="291" t="s">
        <v>225</v>
      </c>
      <c r="B203" s="291"/>
      <c r="C203" s="291"/>
      <c r="D203" s="291"/>
      <c r="E203" s="291"/>
      <c r="F203" s="291"/>
      <c r="G203" s="291"/>
      <c r="H203" s="291"/>
    </row>
    <row r="204" spans="1:8" x14ac:dyDescent="0.25">
      <c r="A204" s="291" t="s">
        <v>226</v>
      </c>
      <c r="B204" s="291"/>
      <c r="C204" s="291"/>
      <c r="D204" s="291"/>
      <c r="E204" s="291"/>
      <c r="F204" s="291"/>
      <c r="G204" s="291"/>
      <c r="H204" s="291"/>
    </row>
    <row r="205" spans="1:8" x14ac:dyDescent="0.25">
      <c r="A205" s="291" t="s">
        <v>227</v>
      </c>
      <c r="B205" s="291"/>
      <c r="C205" s="291"/>
      <c r="D205" s="291"/>
      <c r="E205" s="291"/>
      <c r="F205" s="291"/>
      <c r="G205" s="291"/>
      <c r="H205" s="291"/>
    </row>
    <row r="206" spans="1:8" x14ac:dyDescent="0.25">
      <c r="A206" s="291" t="s">
        <v>228</v>
      </c>
      <c r="B206" s="291"/>
      <c r="C206" s="291"/>
      <c r="D206" s="291"/>
      <c r="E206" s="291"/>
      <c r="F206" s="291"/>
      <c r="G206" s="291"/>
      <c r="H206" s="291"/>
    </row>
    <row r="207" spans="1:8" x14ac:dyDescent="0.25">
      <c r="A207" s="291" t="s">
        <v>229</v>
      </c>
      <c r="B207" s="291"/>
      <c r="C207" s="291"/>
      <c r="D207" s="291"/>
      <c r="E207" s="291"/>
      <c r="F207" s="291"/>
      <c r="G207" s="291"/>
      <c r="H207" s="291"/>
    </row>
    <row r="208" spans="1:8" x14ac:dyDescent="0.25">
      <c r="A208" s="291" t="s">
        <v>230</v>
      </c>
      <c r="B208" s="291"/>
      <c r="C208" s="291"/>
      <c r="D208" s="291"/>
      <c r="E208" s="291"/>
      <c r="F208" s="291"/>
      <c r="G208" s="291"/>
      <c r="H208" s="291"/>
    </row>
  </sheetData>
  <mergeCells count="122">
    <mergeCell ref="F1:H1"/>
    <mergeCell ref="A3:H3"/>
    <mergeCell ref="A4:H4"/>
    <mergeCell ref="A6:A8"/>
    <mergeCell ref="B6:B8"/>
    <mergeCell ref="C6:C8"/>
    <mergeCell ref="D6:D8"/>
    <mergeCell ref="E6:H6"/>
    <mergeCell ref="E7:E8"/>
    <mergeCell ref="F7:H7"/>
    <mergeCell ref="A19:A21"/>
    <mergeCell ref="B19:B21"/>
    <mergeCell ref="C19:C21"/>
    <mergeCell ref="A22:A24"/>
    <mergeCell ref="B22:B24"/>
    <mergeCell ref="C22:C24"/>
    <mergeCell ref="A10:H10"/>
    <mergeCell ref="A11:A15"/>
    <mergeCell ref="B11:B15"/>
    <mergeCell ref="C11:C15"/>
    <mergeCell ref="A16:A18"/>
    <mergeCell ref="B16:B18"/>
    <mergeCell ref="C16:C18"/>
    <mergeCell ref="D25:H25"/>
    <mergeCell ref="A26:A46"/>
    <mergeCell ref="B26:B46"/>
    <mergeCell ref="C26:C28"/>
    <mergeCell ref="C29:C31"/>
    <mergeCell ref="C32:C34"/>
    <mergeCell ref="C35:C37"/>
    <mergeCell ref="C38:C40"/>
    <mergeCell ref="C41:C43"/>
    <mergeCell ref="C44:C46"/>
    <mergeCell ref="A55:A59"/>
    <mergeCell ref="B55:B59"/>
    <mergeCell ref="C55:C59"/>
    <mergeCell ref="A60:A64"/>
    <mergeCell ref="B60:B64"/>
    <mergeCell ref="C60:C64"/>
    <mergeCell ref="A47:A51"/>
    <mergeCell ref="B47:B51"/>
    <mergeCell ref="C47:C51"/>
    <mergeCell ref="A52:A54"/>
    <mergeCell ref="B52:B54"/>
    <mergeCell ref="C52:C54"/>
    <mergeCell ref="A77:A81"/>
    <mergeCell ref="B77:B81"/>
    <mergeCell ref="C77:C81"/>
    <mergeCell ref="A82:A84"/>
    <mergeCell ref="B82:B84"/>
    <mergeCell ref="C82:C84"/>
    <mergeCell ref="A65:H65"/>
    <mergeCell ref="A66:A76"/>
    <mergeCell ref="B66:B76"/>
    <mergeCell ref="C66:C70"/>
    <mergeCell ref="C71:C73"/>
    <mergeCell ref="C74:C76"/>
    <mergeCell ref="A93:A97"/>
    <mergeCell ref="B93:B97"/>
    <mergeCell ref="C93:C97"/>
    <mergeCell ref="A98:H98"/>
    <mergeCell ref="A99:A103"/>
    <mergeCell ref="B99:B103"/>
    <mergeCell ref="C99:C103"/>
    <mergeCell ref="A85:A87"/>
    <mergeCell ref="B85:B87"/>
    <mergeCell ref="C85:C87"/>
    <mergeCell ref="A88:A92"/>
    <mergeCell ref="B88:B92"/>
    <mergeCell ref="C88:C92"/>
    <mergeCell ref="A118:A122"/>
    <mergeCell ref="B118:B122"/>
    <mergeCell ref="C118:C122"/>
    <mergeCell ref="A123:B127"/>
    <mergeCell ref="C123:C127"/>
    <mergeCell ref="A128:B132"/>
    <mergeCell ref="C128:C132"/>
    <mergeCell ref="A104:A112"/>
    <mergeCell ref="B104:B112"/>
    <mergeCell ref="C104:C106"/>
    <mergeCell ref="C107:C109"/>
    <mergeCell ref="C110:C112"/>
    <mergeCell ref="A113:A117"/>
    <mergeCell ref="B113:B117"/>
    <mergeCell ref="C113:C117"/>
    <mergeCell ref="A149:B153"/>
    <mergeCell ref="C149:C153"/>
    <mergeCell ref="A154:H154"/>
    <mergeCell ref="A155:B159"/>
    <mergeCell ref="C155:C159"/>
    <mergeCell ref="A160:B164"/>
    <mergeCell ref="C160:C164"/>
    <mergeCell ref="A133:H133"/>
    <mergeCell ref="A134:B138"/>
    <mergeCell ref="C134:C138"/>
    <mergeCell ref="A139:B143"/>
    <mergeCell ref="C139:C143"/>
    <mergeCell ref="A144:B148"/>
    <mergeCell ref="C144:C148"/>
    <mergeCell ref="A180:B184"/>
    <mergeCell ref="C180:C184"/>
    <mergeCell ref="A185:B189"/>
    <mergeCell ref="C185:C189"/>
    <mergeCell ref="A190:B194"/>
    <mergeCell ref="C190:C194"/>
    <mergeCell ref="A165:B169"/>
    <mergeCell ref="C165:C169"/>
    <mergeCell ref="A170:B174"/>
    <mergeCell ref="C170:C174"/>
    <mergeCell ref="A175:B179"/>
    <mergeCell ref="C175:C179"/>
    <mergeCell ref="A204:H204"/>
    <mergeCell ref="A205:H205"/>
    <mergeCell ref="A206:H206"/>
    <mergeCell ref="A207:H207"/>
    <mergeCell ref="A208:H208"/>
    <mergeCell ref="A195:B199"/>
    <mergeCell ref="C195:C199"/>
    <mergeCell ref="A200:H200"/>
    <mergeCell ref="A201:H201"/>
    <mergeCell ref="A202:H202"/>
    <mergeCell ref="A203:H20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Лист2</vt:lpstr>
      <vt:lpstr>сетевой 2019</vt:lpstr>
      <vt:lpstr>программа</vt:lpstr>
      <vt:lpstr>'сетевой 2019'!Заголовки_для_печати</vt:lpstr>
      <vt:lpstr>'сетевой 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2019-06-18T10:36:36Z</dcterms:modified>
</cp:coreProperties>
</file>