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725" windowWidth="28830" windowHeight="10980" tabRatio="596" firstSheet="2" activeTab="3"/>
  </bookViews>
  <sheets>
    <sheet name="Лист1" sheetId="2" state="hidden" r:id="rId1"/>
    <sheet name="Лист2" sheetId="3" state="hidden" r:id="rId2"/>
    <sheet name="титульный лист" sheetId="13" r:id="rId3"/>
    <sheet name="сетевой 2018 " sheetId="15" r:id="rId4"/>
  </sheets>
  <definedNames>
    <definedName name="_xlnm.Print_Titles" localSheetId="3">'сетевой 2018 '!$A:$A,'сетевой 2018 '!$5:$6</definedName>
    <definedName name="_xlnm.Print_Area" localSheetId="3">'сетевой 2018 '!$A$1:$AE$105</definedName>
  </definedNames>
  <calcPr calcId="145621"/>
</workbook>
</file>

<file path=xl/calcChain.xml><?xml version="1.0" encoding="utf-8"?>
<calcChain xmlns="http://schemas.openxmlformats.org/spreadsheetml/2006/main">
  <c r="D69" i="15"/>
  <c r="C82" l="1"/>
  <c r="G27" l="1"/>
  <c r="G55"/>
  <c r="D54"/>
  <c r="E55"/>
  <c r="D55"/>
  <c r="D38"/>
  <c r="AD82"/>
  <c r="AB82"/>
  <c r="Z82"/>
  <c r="X82"/>
  <c r="V82"/>
  <c r="T82"/>
  <c r="P82"/>
  <c r="N82"/>
  <c r="L82"/>
  <c r="D33"/>
  <c r="D63"/>
  <c r="D32" l="1"/>
  <c r="D28"/>
  <c r="D27"/>
  <c r="D21"/>
  <c r="E69"/>
  <c r="E60"/>
  <c r="E59"/>
  <c r="C61"/>
  <c r="C60"/>
  <c r="E82" l="1"/>
  <c r="C69"/>
  <c r="E63"/>
  <c r="C63"/>
  <c r="E61"/>
  <c r="C54"/>
  <c r="E47"/>
  <c r="C47"/>
  <c r="E45"/>
  <c r="C45"/>
  <c r="E35"/>
  <c r="C35"/>
  <c r="E33"/>
  <c r="E32"/>
  <c r="G32" s="1"/>
  <c r="C33"/>
  <c r="C32"/>
  <c r="E28"/>
  <c r="C28"/>
  <c r="E27"/>
  <c r="C27"/>
  <c r="E21"/>
  <c r="C21"/>
  <c r="C19"/>
  <c r="C17"/>
  <c r="C16"/>
  <c r="E19"/>
  <c r="E17"/>
  <c r="E16"/>
  <c r="E15"/>
  <c r="G82" l="1"/>
  <c r="G69"/>
  <c r="G28"/>
  <c r="F55"/>
  <c r="G33"/>
  <c r="F28"/>
  <c r="F27"/>
  <c r="AG69" l="1"/>
  <c r="C66" l="1"/>
  <c r="J82" l="1"/>
  <c r="AB61"/>
  <c r="Z61"/>
  <c r="X61"/>
  <c r="V61"/>
  <c r="T61"/>
  <c r="R61"/>
  <c r="P61"/>
  <c r="N61"/>
  <c r="Z33"/>
  <c r="X33"/>
  <c r="V33"/>
  <c r="T33"/>
  <c r="R33"/>
  <c r="P33"/>
  <c r="N33"/>
  <c r="L33"/>
  <c r="AB28"/>
  <c r="Z28"/>
  <c r="X28"/>
  <c r="P28"/>
  <c r="N28"/>
  <c r="L28"/>
  <c r="J28"/>
  <c r="V17"/>
  <c r="T17"/>
  <c r="R17"/>
  <c r="J33" l="1"/>
  <c r="I82" l="1"/>
  <c r="R82" l="1"/>
  <c r="H82"/>
  <c r="AE72"/>
  <c r="AD72"/>
  <c r="AC72"/>
  <c r="AA72"/>
  <c r="Z71"/>
  <c r="Y72"/>
  <c r="Y71"/>
  <c r="X71"/>
  <c r="W72"/>
  <c r="W71"/>
  <c r="V71"/>
  <c r="U72"/>
  <c r="U71"/>
  <c r="U70"/>
  <c r="T71"/>
  <c r="S72"/>
  <c r="S71"/>
  <c r="R71"/>
  <c r="Q72"/>
  <c r="Q71"/>
  <c r="P71"/>
  <c r="O72"/>
  <c r="O71"/>
  <c r="N71"/>
  <c r="M72"/>
  <c r="J71"/>
  <c r="M71"/>
  <c r="L71"/>
  <c r="L72"/>
  <c r="K72"/>
  <c r="I72"/>
  <c r="H72"/>
  <c r="J72"/>
  <c r="K70"/>
  <c r="Z63"/>
  <c r="X63"/>
  <c r="V63"/>
  <c r="V60"/>
  <c r="T63"/>
  <c r="T60"/>
  <c r="R63"/>
  <c r="R60"/>
  <c r="P63"/>
  <c r="P60"/>
  <c r="N63"/>
  <c r="L63"/>
  <c r="N60" l="1"/>
  <c r="AD69" l="1"/>
  <c r="AB69"/>
  <c r="Z69"/>
  <c r="X69"/>
  <c r="V69"/>
  <c r="T69"/>
  <c r="R69"/>
  <c r="P69"/>
  <c r="N69"/>
  <c r="L69"/>
  <c r="J69"/>
  <c r="V45"/>
  <c r="T45"/>
  <c r="R45"/>
  <c r="V47"/>
  <c r="T47"/>
  <c r="R47"/>
  <c r="N47"/>
  <c r="Z32"/>
  <c r="X32"/>
  <c r="V35"/>
  <c r="V32"/>
  <c r="T32"/>
  <c r="R32"/>
  <c r="P35"/>
  <c r="P32"/>
  <c r="N32"/>
  <c r="L32"/>
  <c r="J35"/>
  <c r="J32" l="1"/>
  <c r="AB27"/>
  <c r="Z27"/>
  <c r="X27"/>
  <c r="L27"/>
  <c r="J27"/>
  <c r="L21"/>
  <c r="N19"/>
  <c r="V16"/>
  <c r="T16"/>
  <c r="R16"/>
  <c r="D78"/>
  <c r="K78"/>
  <c r="K77" s="1"/>
  <c r="M78"/>
  <c r="M77" s="1"/>
  <c r="O78"/>
  <c r="Q78"/>
  <c r="Q77" s="1"/>
  <c r="S78"/>
  <c r="S77" s="1"/>
  <c r="U78"/>
  <c r="U77" s="1"/>
  <c r="W78"/>
  <c r="Y78"/>
  <c r="Y77" s="1"/>
  <c r="AA78"/>
  <c r="AC78"/>
  <c r="AC77" s="1"/>
  <c r="AE78"/>
  <c r="D79"/>
  <c r="H79"/>
  <c r="I79"/>
  <c r="J79"/>
  <c r="K79"/>
  <c r="L79"/>
  <c r="M79"/>
  <c r="N79"/>
  <c r="O79"/>
  <c r="P79"/>
  <c r="Q79"/>
  <c r="R79"/>
  <c r="S79"/>
  <c r="T79"/>
  <c r="U79"/>
  <c r="V79"/>
  <c r="W79"/>
  <c r="X79"/>
  <c r="Y79"/>
  <c r="Z79"/>
  <c r="AA79"/>
  <c r="AB79"/>
  <c r="AC79"/>
  <c r="AD79"/>
  <c r="AE79"/>
  <c r="W77"/>
  <c r="E95"/>
  <c r="E94" s="1"/>
  <c r="C95"/>
  <c r="B95"/>
  <c r="B94" s="1"/>
  <c r="D94"/>
  <c r="C94"/>
  <c r="C91"/>
  <c r="C90" s="1"/>
  <c r="B91"/>
  <c r="D90"/>
  <c r="B90"/>
  <c r="E88"/>
  <c r="E87" s="1"/>
  <c r="C88"/>
  <c r="B88"/>
  <c r="B87" s="1"/>
  <c r="D87"/>
  <c r="C87"/>
  <c r="N84"/>
  <c r="C85"/>
  <c r="C84" s="1"/>
  <c r="B85"/>
  <c r="B84" s="1"/>
  <c r="D84"/>
  <c r="D81"/>
  <c r="E75"/>
  <c r="C75"/>
  <c r="C74" s="1"/>
  <c r="D66"/>
  <c r="D65"/>
  <c r="D71" s="1"/>
  <c r="E65"/>
  <c r="E71" s="1"/>
  <c r="C65"/>
  <c r="C71" s="1"/>
  <c r="H24"/>
  <c r="I23"/>
  <c r="H23"/>
  <c r="D49"/>
  <c r="D77" l="1"/>
  <c r="AA77"/>
  <c r="AE77"/>
  <c r="O77"/>
  <c r="E49"/>
  <c r="E66"/>
  <c r="E72" s="1"/>
  <c r="E70" s="1"/>
  <c r="C49"/>
  <c r="H22"/>
  <c r="B79"/>
  <c r="B16"/>
  <c r="B23" s="1"/>
  <c r="C64"/>
  <c r="C72"/>
  <c r="C79"/>
  <c r="G72" l="1"/>
  <c r="E64"/>
  <c r="O24"/>
  <c r="E91" l="1"/>
  <c r="E90" s="1"/>
  <c r="AE90"/>
  <c r="AD90"/>
  <c r="AC90"/>
  <c r="AB90"/>
  <c r="AA90"/>
  <c r="Z90"/>
  <c r="Y90"/>
  <c r="X90"/>
  <c r="W90"/>
  <c r="V90"/>
  <c r="U90"/>
  <c r="T90"/>
  <c r="S90"/>
  <c r="R90"/>
  <c r="Q90"/>
  <c r="P90"/>
  <c r="O90"/>
  <c r="N90"/>
  <c r="M90"/>
  <c r="L90"/>
  <c r="K90"/>
  <c r="J90"/>
  <c r="I90"/>
  <c r="H90"/>
  <c r="F90"/>
  <c r="AE87"/>
  <c r="AD87"/>
  <c r="AC87"/>
  <c r="AB87"/>
  <c r="AA87"/>
  <c r="Z87"/>
  <c r="Y87"/>
  <c r="X87"/>
  <c r="W87"/>
  <c r="V87"/>
  <c r="U87"/>
  <c r="T87"/>
  <c r="S87"/>
  <c r="R87"/>
  <c r="Q87"/>
  <c r="P87"/>
  <c r="O87"/>
  <c r="N87"/>
  <c r="M87"/>
  <c r="L87"/>
  <c r="K87"/>
  <c r="J87"/>
  <c r="I87"/>
  <c r="H87"/>
  <c r="F87"/>
  <c r="AB84"/>
  <c r="AA84"/>
  <c r="Z84"/>
  <c r="Y84"/>
  <c r="X84"/>
  <c r="W84"/>
  <c r="V84"/>
  <c r="U84"/>
  <c r="T84"/>
  <c r="S84"/>
  <c r="R84"/>
  <c r="Q84"/>
  <c r="P84"/>
  <c r="O84"/>
  <c r="M84"/>
  <c r="L84"/>
  <c r="K84"/>
  <c r="J84"/>
  <c r="I84"/>
  <c r="AE84"/>
  <c r="AD84"/>
  <c r="AC84"/>
  <c r="AD78"/>
  <c r="AD77" s="1"/>
  <c r="AB78"/>
  <c r="AB77" s="1"/>
  <c r="T78"/>
  <c r="T77" s="1"/>
  <c r="N78"/>
  <c r="N77" s="1"/>
  <c r="AE81"/>
  <c r="AC81"/>
  <c r="AA81"/>
  <c r="Y81"/>
  <c r="W81"/>
  <c r="U81"/>
  <c r="S81"/>
  <c r="Q81"/>
  <c r="O81"/>
  <c r="M81"/>
  <c r="K81"/>
  <c r="E74"/>
  <c r="D75"/>
  <c r="D74" s="1"/>
  <c r="B75"/>
  <c r="B74" s="1"/>
  <c r="AE74"/>
  <c r="AD74"/>
  <c r="AC74"/>
  <c r="AB74"/>
  <c r="AA74"/>
  <c r="Z74"/>
  <c r="Y74"/>
  <c r="X74"/>
  <c r="W74"/>
  <c r="V74"/>
  <c r="U74"/>
  <c r="T74"/>
  <c r="S74"/>
  <c r="R74"/>
  <c r="Q74"/>
  <c r="P74"/>
  <c r="O74"/>
  <c r="N74"/>
  <c r="M74"/>
  <c r="L74"/>
  <c r="K74"/>
  <c r="J74"/>
  <c r="I74"/>
  <c r="H74"/>
  <c r="F74"/>
  <c r="AE94"/>
  <c r="AD94"/>
  <c r="AC94"/>
  <c r="AB94"/>
  <c r="AA94"/>
  <c r="Z94"/>
  <c r="Y94"/>
  <c r="X94"/>
  <c r="W94"/>
  <c r="V94"/>
  <c r="U94"/>
  <c r="T94"/>
  <c r="S94"/>
  <c r="R94"/>
  <c r="Q94"/>
  <c r="P94"/>
  <c r="O94"/>
  <c r="N94"/>
  <c r="M94"/>
  <c r="L94"/>
  <c r="K94"/>
  <c r="J94"/>
  <c r="I94"/>
  <c r="H94"/>
  <c r="B69"/>
  <c r="AE66"/>
  <c r="AD66"/>
  <c r="AC66"/>
  <c r="AB66"/>
  <c r="AB72" s="1"/>
  <c r="AA66"/>
  <c r="Z66"/>
  <c r="Z72" s="1"/>
  <c r="Y66"/>
  <c r="W66"/>
  <c r="V66"/>
  <c r="V72" s="1"/>
  <c r="U66"/>
  <c r="T66"/>
  <c r="T72" s="1"/>
  <c r="T70" s="1"/>
  <c r="S66"/>
  <c r="R66"/>
  <c r="R72" s="1"/>
  <c r="Q66"/>
  <c r="P66"/>
  <c r="P72" s="1"/>
  <c r="O66"/>
  <c r="N66"/>
  <c r="N72" s="1"/>
  <c r="M66"/>
  <c r="L66"/>
  <c r="K66"/>
  <c r="J66"/>
  <c r="I66"/>
  <c r="H66"/>
  <c r="AE65"/>
  <c r="AE71" s="1"/>
  <c r="AD65"/>
  <c r="AC65"/>
  <c r="AC71" s="1"/>
  <c r="AB65"/>
  <c r="AB71" s="1"/>
  <c r="AA65"/>
  <c r="AA71" s="1"/>
  <c r="Y65"/>
  <c r="W65"/>
  <c r="U65"/>
  <c r="S65"/>
  <c r="Q65"/>
  <c r="O65"/>
  <c r="N65"/>
  <c r="M65"/>
  <c r="L65"/>
  <c r="K65"/>
  <c r="K71" s="1"/>
  <c r="J65"/>
  <c r="I65"/>
  <c r="I71" s="1"/>
  <c r="H65"/>
  <c r="B63"/>
  <c r="X59"/>
  <c r="X65"/>
  <c r="T65"/>
  <c r="R65"/>
  <c r="P65"/>
  <c r="AE59"/>
  <c r="AD59"/>
  <c r="AC59"/>
  <c r="AB59"/>
  <c r="AA59"/>
  <c r="Z59"/>
  <c r="Y59"/>
  <c r="W59"/>
  <c r="U59"/>
  <c r="T59"/>
  <c r="S59"/>
  <c r="R59"/>
  <c r="Q59"/>
  <c r="P59"/>
  <c r="O59"/>
  <c r="N59"/>
  <c r="M59"/>
  <c r="L59"/>
  <c r="K59"/>
  <c r="J59"/>
  <c r="I59"/>
  <c r="H59"/>
  <c r="D59"/>
  <c r="E52"/>
  <c r="E51" s="1"/>
  <c r="D52"/>
  <c r="D51" s="1"/>
  <c r="C52"/>
  <c r="C51" s="1"/>
  <c r="B52"/>
  <c r="B51" s="1"/>
  <c r="AE51"/>
  <c r="AD51"/>
  <c r="AC51"/>
  <c r="AB51"/>
  <c r="AA51"/>
  <c r="Z51"/>
  <c r="Y51"/>
  <c r="X51"/>
  <c r="W51"/>
  <c r="V51"/>
  <c r="U51"/>
  <c r="T51"/>
  <c r="S51"/>
  <c r="R51"/>
  <c r="Q51"/>
  <c r="P51"/>
  <c r="O51"/>
  <c r="N51"/>
  <c r="M51"/>
  <c r="L51"/>
  <c r="K51"/>
  <c r="J51"/>
  <c r="I51"/>
  <c r="H51"/>
  <c r="G51"/>
  <c r="F51"/>
  <c r="AE49"/>
  <c r="AE48" s="1"/>
  <c r="AD49"/>
  <c r="AD48" s="1"/>
  <c r="AC49"/>
  <c r="AC48" s="1"/>
  <c r="AB49"/>
  <c r="AB48" s="1"/>
  <c r="AA49"/>
  <c r="AA48" s="1"/>
  <c r="Z49"/>
  <c r="Z48" s="1"/>
  <c r="Y49"/>
  <c r="X49"/>
  <c r="W49"/>
  <c r="W48" s="1"/>
  <c r="V49"/>
  <c r="V48" s="1"/>
  <c r="U49"/>
  <c r="U48" s="1"/>
  <c r="T49"/>
  <c r="T48" s="1"/>
  <c r="S49"/>
  <c r="S48" s="1"/>
  <c r="R49"/>
  <c r="R48" s="1"/>
  <c r="Q49"/>
  <c r="Q48" s="1"/>
  <c r="P49"/>
  <c r="P48" s="1"/>
  <c r="O49"/>
  <c r="O48" s="1"/>
  <c r="N49"/>
  <c r="N48" s="1"/>
  <c r="M49"/>
  <c r="M48" s="1"/>
  <c r="L49"/>
  <c r="L48" s="1"/>
  <c r="K49"/>
  <c r="K48" s="1"/>
  <c r="J49"/>
  <c r="J48" s="1"/>
  <c r="I49"/>
  <c r="I48" s="1"/>
  <c r="H49"/>
  <c r="H48" s="1"/>
  <c r="D48"/>
  <c r="C48"/>
  <c r="Y48"/>
  <c r="X48"/>
  <c r="B47"/>
  <c r="B45"/>
  <c r="E43"/>
  <c r="C43"/>
  <c r="B43"/>
  <c r="E41"/>
  <c r="C41"/>
  <c r="B41"/>
  <c r="AE38"/>
  <c r="AD38"/>
  <c r="AC38"/>
  <c r="AB38"/>
  <c r="AA38"/>
  <c r="Y38"/>
  <c r="X38"/>
  <c r="W38"/>
  <c r="V38"/>
  <c r="U38"/>
  <c r="T38"/>
  <c r="S38"/>
  <c r="R38"/>
  <c r="Q38"/>
  <c r="P38"/>
  <c r="O38"/>
  <c r="N38"/>
  <c r="M38"/>
  <c r="L38"/>
  <c r="K38"/>
  <c r="J38"/>
  <c r="I38"/>
  <c r="H38"/>
  <c r="AE37"/>
  <c r="AD37"/>
  <c r="AC37"/>
  <c r="AB37"/>
  <c r="AA37"/>
  <c r="AA36" s="1"/>
  <c r="Z37"/>
  <c r="Y37"/>
  <c r="X37"/>
  <c r="W37"/>
  <c r="V37"/>
  <c r="U37"/>
  <c r="T37"/>
  <c r="S37"/>
  <c r="R37"/>
  <c r="Q37"/>
  <c r="P37"/>
  <c r="O37"/>
  <c r="N37"/>
  <c r="M37"/>
  <c r="L37"/>
  <c r="K37"/>
  <c r="J37"/>
  <c r="I37"/>
  <c r="H37"/>
  <c r="B35"/>
  <c r="C38"/>
  <c r="D31"/>
  <c r="B32"/>
  <c r="B37" s="1"/>
  <c r="AE31"/>
  <c r="AD31"/>
  <c r="AC31"/>
  <c r="AB31"/>
  <c r="AA31"/>
  <c r="Y31"/>
  <c r="X31"/>
  <c r="W31"/>
  <c r="V31"/>
  <c r="U31"/>
  <c r="T31"/>
  <c r="S31"/>
  <c r="R31"/>
  <c r="Q31"/>
  <c r="P31"/>
  <c r="O31"/>
  <c r="N31"/>
  <c r="M31"/>
  <c r="L31"/>
  <c r="K31"/>
  <c r="J31"/>
  <c r="I31"/>
  <c r="H31"/>
  <c r="P27"/>
  <c r="N27"/>
  <c r="M26"/>
  <c r="K26"/>
  <c r="J26"/>
  <c r="AE26"/>
  <c r="AD26"/>
  <c r="AC26"/>
  <c r="AA26"/>
  <c r="Y26"/>
  <c r="W26"/>
  <c r="V26"/>
  <c r="U26"/>
  <c r="T26"/>
  <c r="S26"/>
  <c r="R26"/>
  <c r="Q26"/>
  <c r="O26"/>
  <c r="I26"/>
  <c r="H26"/>
  <c r="D26"/>
  <c r="AE24"/>
  <c r="AD24"/>
  <c r="AC24"/>
  <c r="AB24"/>
  <c r="AA24"/>
  <c r="Z24"/>
  <c r="Y24"/>
  <c r="X24"/>
  <c r="W24"/>
  <c r="U24"/>
  <c r="S24"/>
  <c r="Q24"/>
  <c r="P24"/>
  <c r="N24"/>
  <c r="M24"/>
  <c r="L24"/>
  <c r="K24"/>
  <c r="J24"/>
  <c r="I24"/>
  <c r="I22" s="1"/>
  <c r="AE23"/>
  <c r="AD23"/>
  <c r="AC23"/>
  <c r="AB23"/>
  <c r="AA23"/>
  <c r="Z23"/>
  <c r="Y23"/>
  <c r="X23"/>
  <c r="X22" s="1"/>
  <c r="W23"/>
  <c r="V23"/>
  <c r="U23"/>
  <c r="T23"/>
  <c r="S23"/>
  <c r="R23"/>
  <c r="Q23"/>
  <c r="P23"/>
  <c r="O23"/>
  <c r="N23"/>
  <c r="M23"/>
  <c r="M22" s="1"/>
  <c r="L23"/>
  <c r="K23"/>
  <c r="J23"/>
  <c r="C23"/>
  <c r="B21"/>
  <c r="B19"/>
  <c r="V24"/>
  <c r="T24"/>
  <c r="R15"/>
  <c r="D24"/>
  <c r="D23"/>
  <c r="AE15"/>
  <c r="AD15"/>
  <c r="AC15"/>
  <c r="AB15"/>
  <c r="AA15"/>
  <c r="Z15"/>
  <c r="Y15"/>
  <c r="X15"/>
  <c r="W15"/>
  <c r="U15"/>
  <c r="S15"/>
  <c r="Q15"/>
  <c r="P15"/>
  <c r="O15"/>
  <c r="N15"/>
  <c r="M15"/>
  <c r="L15"/>
  <c r="K15"/>
  <c r="J15"/>
  <c r="I15"/>
  <c r="H15"/>
  <c r="B28" l="1"/>
  <c r="B49"/>
  <c r="L22"/>
  <c r="Y22"/>
  <c r="J81"/>
  <c r="J78"/>
  <c r="J77" s="1"/>
  <c r="R81"/>
  <c r="R78"/>
  <c r="R77" s="1"/>
  <c r="Z81"/>
  <c r="Z78"/>
  <c r="Z77" s="1"/>
  <c r="L81"/>
  <c r="L78"/>
  <c r="L77" s="1"/>
  <c r="H78"/>
  <c r="H77" s="1"/>
  <c r="V81"/>
  <c r="V78"/>
  <c r="V77" s="1"/>
  <c r="I78"/>
  <c r="I77" s="1"/>
  <c r="P81"/>
  <c r="P78"/>
  <c r="P77" s="1"/>
  <c r="X81"/>
  <c r="X78"/>
  <c r="X77" s="1"/>
  <c r="U55"/>
  <c r="U12" s="1"/>
  <c r="U98" s="1"/>
  <c r="V55"/>
  <c r="V12" s="1"/>
  <c r="V98" s="1"/>
  <c r="K36"/>
  <c r="S36"/>
  <c r="U64"/>
  <c r="T64"/>
  <c r="T81"/>
  <c r="N70"/>
  <c r="P22"/>
  <c r="H55"/>
  <c r="H12" s="1"/>
  <c r="H98" s="1"/>
  <c r="Q55"/>
  <c r="Q12" s="1"/>
  <c r="Q98" s="1"/>
  <c r="T55"/>
  <c r="T12" s="1"/>
  <c r="T98" s="1"/>
  <c r="U22"/>
  <c r="I55"/>
  <c r="M55"/>
  <c r="M12" s="1"/>
  <c r="M98" s="1"/>
  <c r="L55"/>
  <c r="X55"/>
  <c r="AA64"/>
  <c r="AB81"/>
  <c r="AB55"/>
  <c r="AB12" s="1"/>
  <c r="AB98" s="1"/>
  <c r="O64"/>
  <c r="H64"/>
  <c r="D72"/>
  <c r="D70" s="1"/>
  <c r="N81"/>
  <c r="AE64"/>
  <c r="T15"/>
  <c r="X26"/>
  <c r="Z26"/>
  <c r="Z31"/>
  <c r="F47"/>
  <c r="I64"/>
  <c r="M64"/>
  <c r="AD81"/>
  <c r="K64"/>
  <c r="E85"/>
  <c r="E24"/>
  <c r="F19"/>
  <c r="AE70"/>
  <c r="C15"/>
  <c r="E26"/>
  <c r="F26" s="1"/>
  <c r="P54"/>
  <c r="P11" s="1"/>
  <c r="B33"/>
  <c r="J55"/>
  <c r="J12" s="1"/>
  <c r="J98" s="1"/>
  <c r="N36"/>
  <c r="R36"/>
  <c r="V36"/>
  <c r="Z38"/>
  <c r="Z55" s="1"/>
  <c r="Z12" s="1"/>
  <c r="Z98" s="1"/>
  <c r="AD55"/>
  <c r="AD12" s="1"/>
  <c r="AD98" s="1"/>
  <c r="G41"/>
  <c r="P64"/>
  <c r="W64"/>
  <c r="P70"/>
  <c r="H71"/>
  <c r="H70" s="1"/>
  <c r="V15"/>
  <c r="L36"/>
  <c r="P36"/>
  <c r="T36"/>
  <c r="X36"/>
  <c r="AB36"/>
  <c r="O55"/>
  <c r="O12" s="1"/>
  <c r="O98" s="1"/>
  <c r="S55"/>
  <c r="S12" s="1"/>
  <c r="S98" s="1"/>
  <c r="W55"/>
  <c r="W12" s="1"/>
  <c r="W98" s="1"/>
  <c r="AE55"/>
  <c r="AE12" s="1"/>
  <c r="AE98" s="1"/>
  <c r="F41"/>
  <c r="B48"/>
  <c r="L64"/>
  <c r="Q64"/>
  <c r="Y64"/>
  <c r="Z65"/>
  <c r="Z64" s="1"/>
  <c r="I70"/>
  <c r="M70"/>
  <c r="Q70"/>
  <c r="H81"/>
  <c r="B82"/>
  <c r="F82" s="1"/>
  <c r="F21"/>
  <c r="I36"/>
  <c r="M36"/>
  <c r="Q36"/>
  <c r="U36"/>
  <c r="AC36"/>
  <c r="B60"/>
  <c r="F60" s="1"/>
  <c r="S64"/>
  <c r="J70"/>
  <c r="I81"/>
  <c r="H84"/>
  <c r="B27"/>
  <c r="B54" s="1"/>
  <c r="N26"/>
  <c r="AB26"/>
  <c r="X66"/>
  <c r="X72" s="1"/>
  <c r="AB70"/>
  <c r="E48"/>
  <c r="AG47" s="1"/>
  <c r="AC55"/>
  <c r="AC12" s="1"/>
  <c r="AC98" s="1"/>
  <c r="E37"/>
  <c r="AC22"/>
  <c r="F63"/>
  <c r="AC64"/>
  <c r="D64"/>
  <c r="Y55"/>
  <c r="Y12" s="1"/>
  <c r="Y98" s="1"/>
  <c r="E38"/>
  <c r="G38" s="1"/>
  <c r="Y36"/>
  <c r="F69"/>
  <c r="E31"/>
  <c r="F32"/>
  <c r="AA55"/>
  <c r="AA12" s="1"/>
  <c r="AA98" s="1"/>
  <c r="D22"/>
  <c r="L54"/>
  <c r="L11" s="1"/>
  <c r="AB54"/>
  <c r="AB11" s="1"/>
  <c r="N55"/>
  <c r="N12" s="1"/>
  <c r="N98" s="1"/>
  <c r="D15"/>
  <c r="F16"/>
  <c r="Q22"/>
  <c r="L26"/>
  <c r="P26"/>
  <c r="C37"/>
  <c r="C36" s="1"/>
  <c r="C31"/>
  <c r="F35"/>
  <c r="O36"/>
  <c r="W36"/>
  <c r="AE36"/>
  <c r="M54"/>
  <c r="M11" s="1"/>
  <c r="U54"/>
  <c r="U11" s="1"/>
  <c r="AC54"/>
  <c r="AC11" s="1"/>
  <c r="R70"/>
  <c r="R64"/>
  <c r="K54"/>
  <c r="K11" s="1"/>
  <c r="K22"/>
  <c r="S54"/>
  <c r="S11" s="1"/>
  <c r="S22"/>
  <c r="W54"/>
  <c r="W11" s="1"/>
  <c r="W22"/>
  <c r="AD36"/>
  <c r="H36"/>
  <c r="B17"/>
  <c r="B24" s="1"/>
  <c r="R24"/>
  <c r="R55" s="1"/>
  <c r="R12" s="1"/>
  <c r="R98" s="1"/>
  <c r="T22"/>
  <c r="AB22"/>
  <c r="J54"/>
  <c r="J11" s="1"/>
  <c r="J22"/>
  <c r="N54"/>
  <c r="N11" s="1"/>
  <c r="N22"/>
  <c r="R54"/>
  <c r="R11" s="1"/>
  <c r="R22"/>
  <c r="V54"/>
  <c r="V22"/>
  <c r="Z54"/>
  <c r="Z22"/>
  <c r="AD54"/>
  <c r="AD22"/>
  <c r="P55"/>
  <c r="P12" s="1"/>
  <c r="P98" s="1"/>
  <c r="J36"/>
  <c r="D37"/>
  <c r="D36" s="1"/>
  <c r="F45"/>
  <c r="H54"/>
  <c r="H11" s="1"/>
  <c r="X54"/>
  <c r="X11" s="1"/>
  <c r="G43"/>
  <c r="F43"/>
  <c r="I54"/>
  <c r="Q54"/>
  <c r="Q11" s="1"/>
  <c r="Y54"/>
  <c r="Y11" s="1"/>
  <c r="K55"/>
  <c r="K12" s="1"/>
  <c r="K98" s="1"/>
  <c r="O54"/>
  <c r="O11" s="1"/>
  <c r="O22"/>
  <c r="AA54"/>
  <c r="AA11" s="1"/>
  <c r="AA22"/>
  <c r="AE54"/>
  <c r="AE11" s="1"/>
  <c r="AE22"/>
  <c r="E23"/>
  <c r="T54"/>
  <c r="T11" s="1"/>
  <c r="V59"/>
  <c r="V65"/>
  <c r="W70"/>
  <c r="J64"/>
  <c r="N64"/>
  <c r="AB64"/>
  <c r="AA70"/>
  <c r="B61"/>
  <c r="O70"/>
  <c r="AD71"/>
  <c r="AD70" s="1"/>
  <c r="AD64"/>
  <c r="Y70"/>
  <c r="AC70"/>
  <c r="S70"/>
  <c r="G37" l="1"/>
  <c r="E54"/>
  <c r="G31"/>
  <c r="Q97"/>
  <c r="Q96" s="1"/>
  <c r="Q10"/>
  <c r="X97"/>
  <c r="AC97"/>
  <c r="AC96" s="1"/>
  <c r="AC10"/>
  <c r="AB10"/>
  <c r="AB97"/>
  <c r="AB96" s="1"/>
  <c r="B81"/>
  <c r="B78"/>
  <c r="P10"/>
  <c r="P9" s="1"/>
  <c r="P8" s="1"/>
  <c r="P97"/>
  <c r="P96" s="1"/>
  <c r="E12"/>
  <c r="I12"/>
  <c r="I98" s="1"/>
  <c r="C81"/>
  <c r="C78"/>
  <c r="AE10"/>
  <c r="AE97"/>
  <c r="AE96" s="1"/>
  <c r="H10"/>
  <c r="H97"/>
  <c r="H96" s="1"/>
  <c r="R10"/>
  <c r="R97"/>
  <c r="R96" s="1"/>
  <c r="J10"/>
  <c r="J97"/>
  <c r="J96" s="1"/>
  <c r="B22"/>
  <c r="W10"/>
  <c r="W97"/>
  <c r="W96" s="1"/>
  <c r="K10"/>
  <c r="K97"/>
  <c r="K96" s="1"/>
  <c r="U97"/>
  <c r="U96" s="1"/>
  <c r="U10"/>
  <c r="L97"/>
  <c r="X12"/>
  <c r="X98" s="1"/>
  <c r="M97"/>
  <c r="M96" s="1"/>
  <c r="M10"/>
  <c r="B31"/>
  <c r="F31" s="1"/>
  <c r="B38"/>
  <c r="B36" s="1"/>
  <c r="E84"/>
  <c r="E79"/>
  <c r="L12"/>
  <c r="L98" s="1"/>
  <c r="T10"/>
  <c r="T97"/>
  <c r="T96" s="1"/>
  <c r="O10"/>
  <c r="O97"/>
  <c r="O96" s="1"/>
  <c r="I11"/>
  <c r="E11"/>
  <c r="AA10"/>
  <c r="AA97"/>
  <c r="AA96" s="1"/>
  <c r="Y97"/>
  <c r="Y96" s="1"/>
  <c r="Y10"/>
  <c r="AD11"/>
  <c r="N10"/>
  <c r="N97"/>
  <c r="N96" s="1"/>
  <c r="S10"/>
  <c r="S97"/>
  <c r="S96" s="1"/>
  <c r="E81"/>
  <c r="E78"/>
  <c r="E77" s="1"/>
  <c r="D12"/>
  <c r="D98" s="1"/>
  <c r="C24"/>
  <c r="C22" s="1"/>
  <c r="C70"/>
  <c r="G70" s="1"/>
  <c r="B26"/>
  <c r="Z36"/>
  <c r="C59"/>
  <c r="F33"/>
  <c r="X64"/>
  <c r="Z70"/>
  <c r="L70"/>
  <c r="F49"/>
  <c r="E36"/>
  <c r="AG33" s="1"/>
  <c r="AE53"/>
  <c r="Q53"/>
  <c r="B66"/>
  <c r="B59"/>
  <c r="F59" s="1"/>
  <c r="V70"/>
  <c r="V64"/>
  <c r="F61"/>
  <c r="X53"/>
  <c r="Z53"/>
  <c r="J53"/>
  <c r="F17"/>
  <c r="B15"/>
  <c r="F15" s="1"/>
  <c r="AC53"/>
  <c r="AB53"/>
  <c r="B65"/>
  <c r="B71" s="1"/>
  <c r="B11" s="1"/>
  <c r="E22"/>
  <c r="F23"/>
  <c r="AA53"/>
  <c r="H53"/>
  <c r="F37"/>
  <c r="W53"/>
  <c r="K53"/>
  <c r="U53"/>
  <c r="L53"/>
  <c r="P53"/>
  <c r="X70"/>
  <c r="Y53"/>
  <c r="F48"/>
  <c r="AD53"/>
  <c r="V53"/>
  <c r="N53"/>
  <c r="M53"/>
  <c r="O53"/>
  <c r="S53"/>
  <c r="C26"/>
  <c r="T53"/>
  <c r="I53"/>
  <c r="R53"/>
  <c r="G54" l="1"/>
  <c r="F54"/>
  <c r="F11"/>
  <c r="G11"/>
  <c r="G36"/>
  <c r="G78"/>
  <c r="G81"/>
  <c r="AG26"/>
  <c r="G26"/>
  <c r="AG80"/>
  <c r="C77"/>
  <c r="G77" s="1"/>
  <c r="B77"/>
  <c r="F77" s="1"/>
  <c r="F78"/>
  <c r="F81"/>
  <c r="L96"/>
  <c r="B55"/>
  <c r="B53" s="1"/>
  <c r="L10"/>
  <c r="L9" s="1"/>
  <c r="L8" s="1"/>
  <c r="B97"/>
  <c r="AG15"/>
  <c r="C55"/>
  <c r="I97"/>
  <c r="I96" s="1"/>
  <c r="I10"/>
  <c r="D53"/>
  <c r="D11"/>
  <c r="Z11"/>
  <c r="E98"/>
  <c r="X96"/>
  <c r="V11"/>
  <c r="C11"/>
  <c r="X10"/>
  <c r="X9" s="1"/>
  <c r="X8" s="1"/>
  <c r="AD10"/>
  <c r="AD97"/>
  <c r="AD96" s="1"/>
  <c r="B72"/>
  <c r="B70" s="1"/>
  <c r="B64"/>
  <c r="F64" s="1"/>
  <c r="E97"/>
  <c r="E10"/>
  <c r="F38"/>
  <c r="F36"/>
  <c r="AG64"/>
  <c r="I9"/>
  <c r="I8" s="1"/>
  <c r="S9"/>
  <c r="S8" s="1"/>
  <c r="N9"/>
  <c r="N8" s="1"/>
  <c r="Y9"/>
  <c r="Y8" s="1"/>
  <c r="AB9"/>
  <c r="AB8" s="1"/>
  <c r="J9"/>
  <c r="J8" s="1"/>
  <c r="O9"/>
  <c r="O8" s="1"/>
  <c r="AD9"/>
  <c r="AD8" s="1"/>
  <c r="U9"/>
  <c r="U8" s="1"/>
  <c r="AA9"/>
  <c r="AA8" s="1"/>
  <c r="AC9"/>
  <c r="AC8" s="1"/>
  <c r="F22"/>
  <c r="F24"/>
  <c r="Q9"/>
  <c r="Q8" s="1"/>
  <c r="R9"/>
  <c r="R8" s="1"/>
  <c r="W9"/>
  <c r="W8" s="1"/>
  <c r="H9"/>
  <c r="H8" s="1"/>
  <c r="E53"/>
  <c r="F53" s="1"/>
  <c r="F71"/>
  <c r="F65"/>
  <c r="F66"/>
  <c r="T9"/>
  <c r="T8" s="1"/>
  <c r="M9"/>
  <c r="M8" s="1"/>
  <c r="AE9"/>
  <c r="AE8" s="1"/>
  <c r="K9"/>
  <c r="K8" s="1"/>
  <c r="C12" l="1"/>
  <c r="C10" s="1"/>
  <c r="F97"/>
  <c r="E96"/>
  <c r="B12"/>
  <c r="C97"/>
  <c r="V10"/>
  <c r="V9" s="1"/>
  <c r="V8" s="1"/>
  <c r="V97"/>
  <c r="V96" s="1"/>
  <c r="D10"/>
  <c r="D9" s="1"/>
  <c r="D8" s="1"/>
  <c r="D97"/>
  <c r="D96" s="1"/>
  <c r="Z10"/>
  <c r="Z9" s="1"/>
  <c r="Z8" s="1"/>
  <c r="Z97"/>
  <c r="Z96" s="1"/>
  <c r="C53"/>
  <c r="G53" s="1"/>
  <c r="F70"/>
  <c r="F72"/>
  <c r="C98" l="1"/>
  <c r="G98" s="1"/>
  <c r="G12"/>
  <c r="C9"/>
  <c r="G10"/>
  <c r="G97"/>
  <c r="B98"/>
  <c r="F12"/>
  <c r="B10"/>
  <c r="E9"/>
  <c r="F9" s="1"/>
  <c r="C96" l="1"/>
  <c r="G96" s="1"/>
  <c r="C8"/>
  <c r="G9"/>
  <c r="B9"/>
  <c r="B8" s="1"/>
  <c r="F10"/>
  <c r="B96"/>
  <c r="F96" s="1"/>
  <c r="F98"/>
  <c r="E8"/>
  <c r="F8" s="1"/>
  <c r="G8" l="1"/>
  <c r="P66" i="3"/>
  <c r="O66"/>
  <c r="N66"/>
  <c r="I66"/>
  <c r="H66"/>
  <c r="G66"/>
  <c r="R59"/>
  <c r="Q59"/>
  <c r="P49"/>
  <c r="P62" s="1"/>
  <c r="O49"/>
  <c r="O62" s="1"/>
  <c r="N49"/>
  <c r="N55" s="1"/>
  <c r="I49"/>
  <c r="I62" s="1"/>
  <c r="H49"/>
  <c r="H62" s="1"/>
  <c r="G49"/>
  <c r="G55" s="1"/>
  <c r="P48"/>
  <c r="P54" s="1"/>
  <c r="O48"/>
  <c r="O54" s="1"/>
  <c r="N48"/>
  <c r="N61" s="1"/>
  <c r="I48"/>
  <c r="I54" s="1"/>
  <c r="H48"/>
  <c r="H54" s="1"/>
  <c r="G48"/>
  <c r="G61" s="1"/>
  <c r="P47"/>
  <c r="P60" s="1"/>
  <c r="O47"/>
  <c r="O60" s="1"/>
  <c r="N47"/>
  <c r="N53" s="1"/>
  <c r="I47"/>
  <c r="I60" s="1"/>
  <c r="H47"/>
  <c r="H60" s="1"/>
  <c r="G47"/>
  <c r="G53" s="1"/>
  <c r="R46"/>
  <c r="M46"/>
  <c r="M49" s="1"/>
  <c r="F46"/>
  <c r="R45"/>
  <c r="M45"/>
  <c r="F45"/>
  <c r="R44"/>
  <c r="M44"/>
  <c r="F44"/>
  <c r="P38"/>
  <c r="P39" s="1"/>
  <c r="P67" s="1"/>
  <c r="O38"/>
  <c r="O39" s="1"/>
  <c r="O67" s="1"/>
  <c r="N38"/>
  <c r="N39" s="1"/>
  <c r="N67" s="1"/>
  <c r="I38"/>
  <c r="I39" s="1"/>
  <c r="I67" s="1"/>
  <c r="H38"/>
  <c r="H39" s="1"/>
  <c r="H67" s="1"/>
  <c r="G38"/>
  <c r="G39" s="1"/>
  <c r="R37"/>
  <c r="M37"/>
  <c r="M38" s="1"/>
  <c r="M39" s="1"/>
  <c r="M67" s="1"/>
  <c r="F37"/>
  <c r="P31"/>
  <c r="O31"/>
  <c r="N31"/>
  <c r="I31"/>
  <c r="H31"/>
  <c r="G31"/>
  <c r="R30"/>
  <c r="M30"/>
  <c r="M66" s="1"/>
  <c r="F30"/>
  <c r="Q30" s="1"/>
  <c r="P28"/>
  <c r="P65" s="1"/>
  <c r="O28"/>
  <c r="O65" s="1"/>
  <c r="N28"/>
  <c r="N65" s="1"/>
  <c r="I28"/>
  <c r="I65" s="1"/>
  <c r="H28"/>
  <c r="H65" s="1"/>
  <c r="G28"/>
  <c r="G65" s="1"/>
  <c r="R65" s="1"/>
  <c r="P27"/>
  <c r="P64" s="1"/>
  <c r="O27"/>
  <c r="O64" s="1"/>
  <c r="I27"/>
  <c r="I64" s="1"/>
  <c r="H27"/>
  <c r="H64" s="1"/>
  <c r="G27"/>
  <c r="R24"/>
  <c r="M24"/>
  <c r="F24"/>
  <c r="R23"/>
  <c r="M23"/>
  <c r="F23"/>
  <c r="R22"/>
  <c r="M22"/>
  <c r="F22"/>
  <c r="R21"/>
  <c r="M21"/>
  <c r="F21"/>
  <c r="N20"/>
  <c r="M20" s="1"/>
  <c r="F20"/>
  <c r="P19"/>
  <c r="O19"/>
  <c r="I19"/>
  <c r="H19"/>
  <c r="G19"/>
  <c r="R18"/>
  <c r="M18"/>
  <c r="F18"/>
  <c r="R17"/>
  <c r="M17"/>
  <c r="F17"/>
  <c r="N16"/>
  <c r="R16" s="1"/>
  <c r="F16"/>
  <c r="P15"/>
  <c r="O15"/>
  <c r="I15"/>
  <c r="H15"/>
  <c r="G15"/>
  <c r="I66" i="2"/>
  <c r="H66"/>
  <c r="G66"/>
  <c r="I49"/>
  <c r="I62" s="1"/>
  <c r="H49"/>
  <c r="H62" s="1"/>
  <c r="G49"/>
  <c r="G62" s="1"/>
  <c r="I48"/>
  <c r="I61" s="1"/>
  <c r="H48"/>
  <c r="H61" s="1"/>
  <c r="G48"/>
  <c r="G61" s="1"/>
  <c r="I47"/>
  <c r="I60" s="1"/>
  <c r="H47"/>
  <c r="H60" s="1"/>
  <c r="G47"/>
  <c r="G60" s="1"/>
  <c r="F46"/>
  <c r="F49" s="1"/>
  <c r="F55" s="1"/>
  <c r="F45"/>
  <c r="F44"/>
  <c r="F48" s="1"/>
  <c r="F54" s="1"/>
  <c r="I38"/>
  <c r="I39" s="1"/>
  <c r="I67" s="1"/>
  <c r="H38"/>
  <c r="H39" s="1"/>
  <c r="H67" s="1"/>
  <c r="G38"/>
  <c r="G39" s="1"/>
  <c r="G67" s="1"/>
  <c r="F37"/>
  <c r="F38" s="1"/>
  <c r="F39" s="1"/>
  <c r="F67" s="1"/>
  <c r="I31"/>
  <c r="H31"/>
  <c r="G31"/>
  <c r="F30"/>
  <c r="F66" s="1"/>
  <c r="I28"/>
  <c r="I65" s="1"/>
  <c r="H28"/>
  <c r="H65" s="1"/>
  <c r="G28"/>
  <c r="I27"/>
  <c r="I64" s="1"/>
  <c r="H27"/>
  <c r="H64" s="1"/>
  <c r="F24"/>
  <c r="F23"/>
  <c r="F22"/>
  <c r="F21"/>
  <c r="G20"/>
  <c r="F20" s="1"/>
  <c r="I19"/>
  <c r="H19"/>
  <c r="F18"/>
  <c r="F17"/>
  <c r="G16"/>
  <c r="F16" s="1"/>
  <c r="F15" s="1"/>
  <c r="I15"/>
  <c r="H15"/>
  <c r="G19" l="1"/>
  <c r="P26" i="3"/>
  <c r="P63" s="1"/>
  <c r="N15"/>
  <c r="R15" s="1"/>
  <c r="Q18"/>
  <c r="G15" i="2"/>
  <c r="F19"/>
  <c r="F47"/>
  <c r="F53" s="1"/>
  <c r="M16" i="3"/>
  <c r="Q16" s="1"/>
  <c r="H33"/>
  <c r="P33"/>
  <c r="G27" i="2"/>
  <c r="F27" s="1"/>
  <c r="F64" s="1"/>
  <c r="Q24" i="3"/>
  <c r="H33" i="2"/>
  <c r="F15" i="3"/>
  <c r="Q46"/>
  <c r="H26" i="2"/>
  <c r="H63" s="1"/>
  <c r="I33"/>
  <c r="G53"/>
  <c r="I26"/>
  <c r="I63" s="1"/>
  <c r="F28"/>
  <c r="F65" s="1"/>
  <c r="F31"/>
  <c r="Q17" i="3"/>
  <c r="O26"/>
  <c r="O63" s="1"/>
  <c r="G33"/>
  <c r="Q22"/>
  <c r="Q45"/>
  <c r="O33"/>
  <c r="O57" s="1"/>
  <c r="F19"/>
  <c r="Q23"/>
  <c r="N54"/>
  <c r="N27"/>
  <c r="N26" s="1"/>
  <c r="N63" s="1"/>
  <c r="R61"/>
  <c r="I53"/>
  <c r="I55"/>
  <c r="R66"/>
  <c r="R20"/>
  <c r="G26"/>
  <c r="F48"/>
  <c r="P53"/>
  <c r="P55"/>
  <c r="M15"/>
  <c r="Q21"/>
  <c r="I26"/>
  <c r="I63" s="1"/>
  <c r="I33"/>
  <c r="I57" s="1"/>
  <c r="Q37"/>
  <c r="M48"/>
  <c r="M61" s="1"/>
  <c r="G54"/>
  <c r="M55"/>
  <c r="M62"/>
  <c r="P57"/>
  <c r="R53"/>
  <c r="R55"/>
  <c r="F33"/>
  <c r="H57"/>
  <c r="G67"/>
  <c r="R67" s="1"/>
  <c r="R39"/>
  <c r="Q20"/>
  <c r="P34"/>
  <c r="P58" s="1"/>
  <c r="R38"/>
  <c r="R49"/>
  <c r="G60"/>
  <c r="I61"/>
  <c r="G62"/>
  <c r="N19"/>
  <c r="M19" s="1"/>
  <c r="Q19" s="1"/>
  <c r="H26"/>
  <c r="H63" s="1"/>
  <c r="F27"/>
  <c r="F31"/>
  <c r="M31"/>
  <c r="H34"/>
  <c r="O34"/>
  <c r="F38"/>
  <c r="F47"/>
  <c r="M47"/>
  <c r="F49"/>
  <c r="H53"/>
  <c r="O53"/>
  <c r="H55"/>
  <c r="O55"/>
  <c r="H61"/>
  <c r="O61"/>
  <c r="F66"/>
  <c r="Q66" s="1"/>
  <c r="R31"/>
  <c r="I34"/>
  <c r="P61"/>
  <c r="N62"/>
  <c r="G64"/>
  <c r="F28"/>
  <c r="M28"/>
  <c r="M65" s="1"/>
  <c r="Q44"/>
  <c r="R47"/>
  <c r="N60"/>
  <c r="R28"/>
  <c r="G34"/>
  <c r="G32" s="1"/>
  <c r="N34"/>
  <c r="R48"/>
  <c r="F62" i="2"/>
  <c r="F61"/>
  <c r="G34"/>
  <c r="G54"/>
  <c r="G55"/>
  <c r="G65"/>
  <c r="H34"/>
  <c r="H53"/>
  <c r="H54"/>
  <c r="H55"/>
  <c r="I34"/>
  <c r="I32" s="1"/>
  <c r="I53"/>
  <c r="I54"/>
  <c r="I55"/>
  <c r="Q15" i="3" l="1"/>
  <c r="F60" i="2"/>
  <c r="G26"/>
  <c r="F26" s="1"/>
  <c r="F63" s="1"/>
  <c r="I57"/>
  <c r="H57"/>
  <c r="G64"/>
  <c r="I32" i="3"/>
  <c r="I56" s="1"/>
  <c r="Q31"/>
  <c r="G33" i="2"/>
  <c r="F33" s="1"/>
  <c r="F57" s="1"/>
  <c r="I58"/>
  <c r="H58"/>
  <c r="I56"/>
  <c r="Q48" i="3"/>
  <c r="R27"/>
  <c r="M27"/>
  <c r="M64" s="1"/>
  <c r="F61"/>
  <c r="R26"/>
  <c r="M26"/>
  <c r="M63" s="1"/>
  <c r="G63"/>
  <c r="R63" s="1"/>
  <c r="R54"/>
  <c r="F26"/>
  <c r="F63" s="1"/>
  <c r="M54"/>
  <c r="F54"/>
  <c r="N64"/>
  <c r="I58"/>
  <c r="G57"/>
  <c r="N33"/>
  <c r="R64"/>
  <c r="Q61"/>
  <c r="G56"/>
  <c r="F39"/>
  <c r="Q38"/>
  <c r="F55"/>
  <c r="Q55" s="1"/>
  <c r="F62"/>
  <c r="Q62" s="1"/>
  <c r="Q49"/>
  <c r="O58"/>
  <c r="R62"/>
  <c r="R19"/>
  <c r="P32"/>
  <c r="P56" s="1"/>
  <c r="O32"/>
  <c r="O56" s="1"/>
  <c r="R34"/>
  <c r="G58"/>
  <c r="F34"/>
  <c r="F65"/>
  <c r="Q65" s="1"/>
  <c r="Q28"/>
  <c r="M53"/>
  <c r="M60"/>
  <c r="H58"/>
  <c r="F64"/>
  <c r="H32"/>
  <c r="H56" s="1"/>
  <c r="M34"/>
  <c r="M58" s="1"/>
  <c r="N58"/>
  <c r="F53"/>
  <c r="F60"/>
  <c r="Q47"/>
  <c r="R60"/>
  <c r="H32" i="2"/>
  <c r="H56" s="1"/>
  <c r="G58"/>
  <c r="F34"/>
  <c r="F58" s="1"/>
  <c r="Q60" i="3" l="1"/>
  <c r="G63" i="2"/>
  <c r="Q64" i="3"/>
  <c r="Q26"/>
  <c r="G32" i="2"/>
  <c r="G56" s="1"/>
  <c r="Q54" i="3"/>
  <c r="G57" i="2"/>
  <c r="Q53" i="3"/>
  <c r="Q63"/>
  <c r="Q27"/>
  <c r="N32"/>
  <c r="M32" s="1"/>
  <c r="M56" s="1"/>
  <c r="M33"/>
  <c r="R33"/>
  <c r="N57"/>
  <c r="R57" s="1"/>
  <c r="F57"/>
  <c r="F32"/>
  <c r="F67"/>
  <c r="Q67" s="1"/>
  <c r="Q39"/>
  <c r="Q34"/>
  <c r="F58"/>
  <c r="Q58" s="1"/>
  <c r="R58"/>
  <c r="F32" i="2"/>
  <c r="F56" s="1"/>
  <c r="Q32" i="3" l="1"/>
  <c r="M57"/>
  <c r="Q57" s="1"/>
  <c r="Q33"/>
  <c r="F56"/>
  <c r="Q56" s="1"/>
  <c r="N56"/>
  <c r="R56" s="1"/>
  <c r="R32"/>
</calcChain>
</file>

<file path=xl/sharedStrings.xml><?xml version="1.0" encoding="utf-8"?>
<sst xmlns="http://schemas.openxmlformats.org/spreadsheetml/2006/main" count="510" uniqueCount="157">
  <si>
    <t>Мероприятия программы</t>
  </si>
  <si>
    <t>Срок выполнения</t>
  </si>
  <si>
    <t>Источники финансирования</t>
  </si>
  <si>
    <t>всего</t>
  </si>
  <si>
    <t>в том числе</t>
  </si>
  <si>
    <t>2014 год</t>
  </si>
  <si>
    <t>2015 год</t>
  </si>
  <si>
    <t>2016 год</t>
  </si>
  <si>
    <t>Задача 1 Содействие временному трудоустройству несовершеннолетних граждан</t>
  </si>
  <si>
    <t>Организация временного трудоустройства несовершеннолетних граждан в возрасте от 14 до 18 лет в свободное от учёбы время</t>
  </si>
  <si>
    <t>2014-2016 годы</t>
  </si>
  <si>
    <t>Организация временного трудоустройства несовершеннолетних граждан в возрасте от 14 до 18 лет в течение учебного года</t>
  </si>
  <si>
    <t xml:space="preserve">Организация временного трудоустройства несовершеннолетних безработных граждан в возрасте от 16 до 18 лет </t>
  </si>
  <si>
    <t>Привлечение внештатных сотрудников</t>
  </si>
  <si>
    <t>Приобретение канцелярских товаров</t>
  </si>
  <si>
    <t>Оказание консультационных услуг по вопросам о занятости несовершеннолетних граждан</t>
  </si>
  <si>
    <t>Финансовое обеспечение не требуется</t>
  </si>
  <si>
    <t>Итого по задаче 1</t>
  </si>
  <si>
    <t>Задача 2 Сдерживание роста безработицы и снижение напряжённости на рынке труда</t>
  </si>
  <si>
    <t>Организация проведения оплачиваемых общественных работ для не занятых трудовой деятельностью и безработных граждан</t>
  </si>
  <si>
    <t>Итого по задаче 2</t>
  </si>
  <si>
    <t>Итого по подпрограмме 1</t>
  </si>
  <si>
    <t>Управление экономики Администрации города Когалыма</t>
  </si>
  <si>
    <t>Организация и проведение в городе Когалыме смотра-конкурса «Лучший специалист по охране труда» среди специалистов по охране труда организаций города Когалыма</t>
  </si>
  <si>
    <t>Итого по задаче 3</t>
  </si>
  <si>
    <t>Всего</t>
  </si>
  <si>
    <t>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Принятие и реализация предупредительных и профилактических мер по снижению уровня производственного травматизма и профессиональной заболеваемости</t>
  </si>
  <si>
    <t>Итого по подпрограмме 2</t>
  </si>
  <si>
    <t>ответственный исполнитель – Управление экономики Администрации города Когалыма</t>
  </si>
  <si>
    <t>№ п/п</t>
  </si>
  <si>
    <t>Финансовые затраты на реализацию (тыс. рублей)</t>
  </si>
  <si>
    <t>1.1.</t>
  </si>
  <si>
    <t>1.2.</t>
  </si>
  <si>
    <t>1.3.</t>
  </si>
  <si>
    <t>1.4.</t>
  </si>
  <si>
    <t>1.5.</t>
  </si>
  <si>
    <t>1.6.</t>
  </si>
  <si>
    <t>1.7.</t>
  </si>
  <si>
    <t>2.1.</t>
  </si>
  <si>
    <t>3.1.</t>
  </si>
  <si>
    <t>4.1.</t>
  </si>
  <si>
    <t>4.2.</t>
  </si>
  <si>
    <t>Бюджет автономного округа</t>
  </si>
  <si>
    <t>Управление культуры, спорта и молодёжной политики Администрации города Когалыма</t>
  </si>
  <si>
    <t>Подпрограмма 3. «Улучшение условий и охраны труда в городе Когалыме»</t>
  </si>
  <si>
    <t>Задача 4. Совершенствование государственного управления охраной труда в городе Когалыме в рамках переданных полномочий</t>
  </si>
  <si>
    <t>4.3.</t>
  </si>
  <si>
    <t>4.4.</t>
  </si>
  <si>
    <t>Итого по задаче 4</t>
  </si>
  <si>
    <t>Задача 5. Снижение уровня производственного травматизма, улучшение условий труда</t>
  </si>
  <si>
    <t>5.1.</t>
  </si>
  <si>
    <t>5.2.</t>
  </si>
  <si>
    <t>Итого по подпрограмме 3</t>
  </si>
  <si>
    <t>Управление образования Администрации города Когалыма</t>
  </si>
  <si>
    <t xml:space="preserve">Бюджет автономного округа </t>
  </si>
  <si>
    <t>ВСЕГО  ПО  ПРОГРАММЕ</t>
  </si>
  <si>
    <t>Задача 3 Содействие трудоустройству незанятых одиноких родителей, родителей, воспитывающих детей-инвалидов, многодетных родителей</t>
  </si>
  <si>
    <t>Содействие трудоустройству незанятых одиноких родителей, родителей, воспитывающих детей-инвалидов, многодетных родителей</t>
  </si>
  <si>
    <t>Подпрограмма 1. «Содействие трудоустройству граждан»</t>
  </si>
  <si>
    <t>Подпрограмма 2. «Дополнительные мероприятия в области занятости населения»</t>
  </si>
  <si>
    <t>Основные мероприятия муниципальной программы</t>
  </si>
  <si>
    <t>соисполнитель 1 – Управление культуры, спорта и молодёжной политики Администрации города Когалыма</t>
  </si>
  <si>
    <t>соисполнитель 3 – Управление образования Администрации города Когалыма</t>
  </si>
  <si>
    <t>I. Цель 1. Содействие занятости населения города Когалыма и повышение конкурентоспособности рабочей силы</t>
  </si>
  <si>
    <t>II. Цель 2. Улучшение условий и охраны труда в городе Когалыме</t>
  </si>
  <si>
    <t>Муниципальное казённое учреждение «Управление жилищно-коммунального хозяйства города Когалыма»</t>
  </si>
  <si>
    <t>соисполнитель 2 – Муниципальное казённое учреждение «Управление жилищно-коммунального хозяйства города Когалыма»</t>
  </si>
  <si>
    <t>в том числе:</t>
  </si>
  <si>
    <t>к постановлению Администрации города Когалыма</t>
  </si>
  <si>
    <t>от ____________ №_________</t>
  </si>
  <si>
    <t>Бюджет города Когалыма  (2016 год - за счёт условно утверждённых расходов)</t>
  </si>
  <si>
    <t xml:space="preserve">Бюджет города Когалыма  </t>
  </si>
  <si>
    <t>Ответственный исполнитель /соисполнитель,учреждение, организация</t>
  </si>
  <si>
    <t>Приложение</t>
  </si>
  <si>
    <t>Обеспечение мероприятий по соблюдению охраны труда несовершеннолетних граждан согласно трудовому законодательству Российской Федерации</t>
  </si>
  <si>
    <t>Проведение семинара по вопросам методического руководства служб охраны труда в организациях, расположенных в городе Когалыме</t>
  </si>
  <si>
    <t>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t>
  </si>
  <si>
    <t>Организация проведения заседаний Межведомственной комиссии по охране труда в городе Когалыме</t>
  </si>
  <si>
    <t>Бюджет Ханты-Мансийского автономного округа - Югры (далее - бюджет автономного округа)</t>
  </si>
  <si>
    <t>Организация и проведение в городе Когалыме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</si>
  <si>
    <t>УПРАВЛЕНИЕ  ЭКОНОМИКИ</t>
  </si>
  <si>
    <t>АДМИНИСТРАЦИИ ГОРОДА КОГАЛЫМА</t>
  </si>
  <si>
    <t>Сетевой график</t>
  </si>
  <si>
    <t>по реализации мероприятий муниципальной программы</t>
  </si>
  <si>
    <t>г. Когалым</t>
  </si>
  <si>
    <t>тыс.руб.</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</si>
  <si>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</si>
  <si>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</si>
  <si>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</si>
  <si>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</si>
  <si>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</si>
  <si>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</si>
  <si>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</si>
  <si>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</si>
  <si>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</si>
  <si>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</si>
  <si>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</si>
  <si>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</si>
  <si>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</si>
  <si>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</si>
  <si>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</si>
  <si>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</si>
  <si>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кассовый расход</t>
  </si>
  <si>
    <t xml:space="preserve">Подпрограмма 1. "Содействие трудоустройству граждан" </t>
  </si>
  <si>
    <t>бюджет автономного округа</t>
  </si>
  <si>
    <t>бюджет города Когалыма</t>
  </si>
  <si>
    <t>ИТОГО (ФЕНИКС)</t>
  </si>
  <si>
    <t>Итого по программе, в том числе</t>
  </si>
  <si>
    <t>(подпись)</t>
  </si>
  <si>
    <t>(расшифровка подписи)</t>
  </si>
  <si>
    <t xml:space="preserve">Ответственный за составление сетевого графика </t>
  </si>
  <si>
    <t>"Содействие занятости населения города Когалыма"</t>
  </si>
  <si>
    <t>Основные мероприятия программы</t>
  </si>
  <si>
    <t>1.1.2. "Организация временного трудоустройства несовершеннолетних граждан в возрасте от 14 до 18 лет в течение учебного года"</t>
  </si>
  <si>
    <t>1.1.3. "Организация временного трудоустройства несовершеннолетних безработных граждан в возрасте от 16 до 18 лет "</t>
  </si>
  <si>
    <t xml:space="preserve">Подпрограмма 2. "Улучшение условий и охраны труда в городе Когалыме" </t>
  </si>
  <si>
    <t>тыс. рублей</t>
  </si>
  <si>
    <t>1.1 "Содействие улучшению положения на рынке труда не занятых трудовой деятельностью и безработных граждан"  (1,2,3,4,5)</t>
  </si>
  <si>
    <t>1.1.5. "Оказание консультационных услуг по вопросам о занятости несовершеннолетних граждан"</t>
  </si>
  <si>
    <t>1.1.6. "Организация проведения оплачиваемых общественных работ для не занятых трудовой деятельностью и безработных граждан"</t>
  </si>
  <si>
    <t>Расходы на заработную плату и налоги</t>
  </si>
  <si>
    <t>итого:</t>
  </si>
  <si>
    <t>Расхода на обеспечение мероприятий по соблюдению охраны труда несовершеннолетних граждан согласно трудовому законодательству РФ</t>
  </si>
  <si>
    <t>Расходы на приобретение канцелярских товаров</t>
  </si>
  <si>
    <t>КСАТ</t>
  </si>
  <si>
    <t>УЖКХ</t>
  </si>
  <si>
    <t>ИТОГО КСАТ:</t>
  </si>
  <si>
    <t>план</t>
  </si>
  <si>
    <t>Мартынова Снежана Владимировна, 93-785</t>
  </si>
  <si>
    <t>1.1.1. "Организация временного трудоустройства несовершеннолетних граждан в возрасте от 14 до 18 лет в свободное от учёбы время"</t>
  </si>
  <si>
    <t>1.1.4. "Привлечение прочих специалистов для организации работ трудовых бригад несовершеннолетних граждан"</t>
  </si>
  <si>
    <t>Начальник управления экономики Администрации города Когалыма</t>
  </si>
  <si>
    <t>Е.Г.Загорская</t>
  </si>
  <si>
    <t>План на 2018 год</t>
  </si>
  <si>
    <t>1.1.7 "Содействие трудоустройству незанятых одиноких родителей, родителей, воспитывающих детей-инвалидов, многодетных родителей через создание дополнительных (в том числе надомных) постоянных рабочих мест "</t>
  </si>
  <si>
    <t xml:space="preserve">2.1 "Осуществление отдельных государственных полномочий в сфере трудовых отношений и  государственного управления охраной труда в городе Когалыме (6)" </t>
  </si>
  <si>
    <t>2.2. "Предупредительные меры, направленные на снижение производственного травматизма и профессиональной заболеваемости работающего населения" (7)</t>
  </si>
  <si>
    <t>2.2.1. "Организация проведения заседаний Межведомственной комиссии по охране труда в городе Когалыме"</t>
  </si>
  <si>
    <t>2.2.2. "Проведение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Реализация предупредительных и профилактических мер по снижению уровня производственного травматизма и профессиональной заболеваемости"</t>
  </si>
  <si>
    <t>Подпрограмма 3. «Содействие трудоустройству граждан с инвалидностью и их адаптация на рынке труда»</t>
  </si>
  <si>
    <t xml:space="preserve">3.1. Содействие трудоустройству незанятых инвалидов, в том числе инвалидов молодого возраста, на оборудованные (оснащенные) рабочие места </t>
  </si>
  <si>
    <t>Всего по мероприятию:</t>
  </si>
  <si>
    <t>Муниципальные учреждения г. Когалыма не заявили в ЦЗН свою потребность для участия в данном мероприятии Программы.</t>
  </si>
  <si>
    <t>Заседание Межведомственной комиссии планируется провести в мае и ноябре 2018 года.</t>
  </si>
  <si>
    <t>Принято и проверено 150 отчетов по ОТ от работодателей г.Когалыма за 2017 год.</t>
  </si>
  <si>
    <t>на 01.04.2018 года</t>
  </si>
  <si>
    <t>Отчет о ходе реализации муниципальной программы "Содействие занятости населения города Когалыма"по состоянию на 01.04.2018 года</t>
  </si>
  <si>
    <t>План на 01.04.2018</t>
  </si>
  <si>
    <t>Профинансировано на 01.04.2018</t>
  </si>
  <si>
    <t>Кассовый расход на  01.04.2018</t>
  </si>
  <si>
    <t>Не приобретены канцелярские товары в сумме 52,69т.р.  Документация для проведения электронного аукциона на приобретение канц.товаров отправлена в Администрацию города на рассмотрение. Проведение закупки конкурентным способом планируется в апреле месяце. Средства будут освоены после проведения эл.аукциона и по факту получения товара.</t>
  </si>
  <si>
    <t xml:space="preserve">Остаток средств по выплате заработной платы и налогам             
15,40т.р. из них:
1.) 11,83т.р- заработная плата; 2.) 3,57т.р.- начисления на заработную плату, (налоги).                                                                                                                       
Денежные средства из окружного бюджета за март месяц в размере 15,40т.р. не поступили, в связи с внесением изменений в договор с ЦЗН  от 19.01.2018г. № 10 "О совместной деятельности по организации временного трудоустройства граждан" (п.3., части 3.2 "Финансирование обязательств"). Окружные денежные средства поступят после сдачи табелей и  актов сверки в следующем месяце, идущем за отчетным.
</t>
  </si>
  <si>
    <t>По результатам проведенного конкурсного отбора МКУ "УЖКХ г.Когалыма" заключено 2 договора с организациями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2018 году для трудоустройства 120 безработных граждан (в т.ч. 55 кухонных рабочих через КГ МУТП "Сияние Севера" и 65 машинисток через ООО "ЕРИЦ"). Неполное освоение денежных средств в сумме 329,24 тыс. рублей связано с поздним подписанием договоров КУ "Когалымский центр занятости населения" с организациями получающими субсидии от МКУ "УЖКХ г.Когалыма" (которые заключают договора с Центром занятости с целью направления работников для трудоустройства на временные общественные работы с возмещением части затрат из окружного бюджетас целью направления работников для трудоустройства на временные общественные работы с возмещением части затрат из окружного бюджета. Тексты договоров согласовывались с Департаментом труда и занятости ХМАО-Югры, в связи с возникшими разногласиями в части возмещения затрат.) С начала года трудоустроено 46 человек, в т.ч. 32 кухонных рабочих и 14 машинисток.</t>
  </si>
  <si>
    <t>По факту обращения несовершеннолетних граждан в МБУ "МКЦ"Феникс"оказано 615 консультаций.</t>
  </si>
  <si>
    <t xml:space="preserve"> В марте 2018 года между  МБУ "КСАТ"  и ЦЗН заключен договор "О совместной деятельности по организации временного трудоустройства граждан" для трудоустройства 51 безработного гражданина в должности рабочий комплексной уборки. Неисполнение субсидии составляет 58,14 тыс. руб. по расходам на обеспечение мероприятий по соблюдению охраны труда несовершеннолетних граждан согласно трудовому законодательству РФ (приобретение спец.одежды). На поставку спец.одежды был заключен договор №05/01/09 от 12.03.2018г,  на основании которого выставлен счет 30 марта 2018г  №68 от 29.03.2018г, оплата по данному счету произведена 03.04.2018г.</t>
  </si>
  <si>
    <t>По состоянию на 01.04.2018 года остаток средств составил 16,43 тыс. рублей,  в связи с тем, что кассовые расходы на комунальные услуги производились по фактически выставленым поставщиками счетам. Специалистами отдела по труду и занятости: принято участие в расследовании 5 несчастных случаях связанных с производством и в 7 несчатных случаях не связанных с производством; рассмотрено 6 устных и 1 письменное обращение, поступившие от организаций и работников касающихся оплаты труда, занятости, нарушений ТК РФ; подготовлены отчёты и направлены в установленные сроки в Департамен по труду и занятости населения ХМАО-Югры.</t>
  </si>
  <si>
    <t xml:space="preserve">Не использовано 381,59т.р., в том числе:
1.) 269,99т.р. - остаток средств по выплате заработной платы (в связи с отсутствием необходимого количества зарегистрированных в КЦЗ  безработных граждан данной возрастной категории, вместо планируемых 8 несовершеннолетних граждан было трудоустроено 4 человека, 2 из которых отработали не полный месяц);                                              2.) 90,60т.р. - остаток средств по выплате отчислений на заработную плату (налогам); 3.)  21,00т.р.  - экономия, образовавшаяся в связи с тем, что у принятых работников была действующая мед.комиссия.                                        
Остаток средств из местного бюджета составил 216,64 т.р.                                                                          
Денежные средства из окружного бюджета за март месяц в размере 127,27 т.р. не поступили. См.п.1.1.2. </t>
  </si>
</sst>
</file>

<file path=xl/styles.xml><?xml version="1.0" encoding="utf-8"?>
<styleSheet xmlns="http://schemas.openxmlformats.org/spreadsheetml/2006/main">
  <numFmts count="5">
    <numFmt numFmtId="43" formatCode="_-* #,##0.00\ _₽_-;\-* #,##0.00\ _₽_-;_-* &quot;-&quot;??\ _₽_-;_-@_-"/>
    <numFmt numFmtId="164" formatCode="_-* #,##0.00_р_._-;\-* #,##0.00_р_._-;_-* &quot;-&quot;??_р_._-;_-@_-"/>
    <numFmt numFmtId="165" formatCode="#,##0.0_ ;[Red]\-#,##0.0\ "/>
    <numFmt numFmtId="166" formatCode="#,##0_ ;[Red]\-#,##0\ "/>
    <numFmt numFmtId="167" formatCode="#,##0.000_ ;[Red]\-#,##0.000\ "/>
  </numFmts>
  <fonts count="34">
    <font>
      <sz val="11"/>
      <color theme="1"/>
      <name val="Calibri"/>
      <family val="2"/>
      <scheme val="minor"/>
    </font>
    <font>
      <sz val="10"/>
      <color rgb="FFFF0000"/>
      <name val="Times New Roman"/>
      <family val="1"/>
      <charset val="204"/>
    </font>
    <font>
      <b/>
      <sz val="10"/>
      <color rgb="FFFF0000"/>
      <name val="Times New Roman"/>
      <family val="1"/>
      <charset val="204"/>
    </font>
    <font>
      <sz val="10"/>
      <name val="Times New Roman"/>
      <family val="1"/>
      <charset val="204"/>
    </font>
    <font>
      <sz val="12"/>
      <name val="Times New Roman"/>
      <family val="1"/>
      <charset val="204"/>
    </font>
    <font>
      <sz val="13"/>
      <name val="Times New Roman"/>
      <family val="1"/>
      <charset val="204"/>
    </font>
    <font>
      <sz val="11"/>
      <color theme="1"/>
      <name val="Times New Roman"/>
      <family val="1"/>
      <charset val="204"/>
    </font>
    <font>
      <sz val="8"/>
      <color rgb="FFFF0000"/>
      <name val="Times New Roman"/>
      <family val="1"/>
      <charset val="204"/>
    </font>
    <font>
      <i/>
      <sz val="14"/>
      <name val="Times New Roman"/>
      <family val="1"/>
      <charset val="204"/>
    </font>
    <font>
      <sz val="18"/>
      <name val="Times New Roman"/>
      <family val="1"/>
      <charset val="204"/>
    </font>
    <font>
      <sz val="15"/>
      <name val="Times New Roman"/>
      <family val="1"/>
      <charset val="204"/>
    </font>
    <font>
      <b/>
      <sz val="15"/>
      <name val="Times New Roman"/>
      <family val="1"/>
      <charset val="204"/>
    </font>
    <font>
      <sz val="11"/>
      <color theme="1"/>
      <name val="Calibri"/>
      <family val="2"/>
      <scheme val="minor"/>
    </font>
    <font>
      <sz val="14"/>
      <name val="Times New Roman"/>
      <family val="1"/>
      <charset val="204"/>
    </font>
    <font>
      <sz val="14"/>
      <color rgb="FF008000"/>
      <name val="Times New Roman"/>
      <family val="1"/>
      <charset val="204"/>
    </font>
    <font>
      <sz val="16"/>
      <name val="Times New Roman"/>
      <family val="1"/>
      <charset val="204"/>
    </font>
    <font>
      <b/>
      <sz val="20"/>
      <name val="Times New Roman"/>
      <family val="1"/>
      <charset val="204"/>
    </font>
    <font>
      <sz val="20"/>
      <name val="Times New Roman"/>
      <family val="1"/>
      <charset val="204"/>
    </font>
    <font>
      <b/>
      <i/>
      <sz val="14"/>
      <name val="Times New Roman"/>
      <family val="1"/>
      <charset val="204"/>
    </font>
    <font>
      <b/>
      <sz val="14"/>
      <name val="Times New Roman"/>
      <family val="1"/>
      <charset val="204"/>
    </font>
    <font>
      <b/>
      <sz val="14"/>
      <color rgb="FF008000"/>
      <name val="Times New Roman"/>
      <family val="1"/>
      <charset val="204"/>
    </font>
    <font>
      <b/>
      <sz val="12"/>
      <name val="Times New Roman"/>
      <family val="1"/>
      <charset val="204"/>
    </font>
    <font>
      <b/>
      <sz val="10"/>
      <name val="Times New Roman"/>
      <family val="1"/>
      <charset val="204"/>
    </font>
    <font>
      <b/>
      <sz val="16"/>
      <name val="Times New Roman"/>
      <family val="1"/>
      <charset val="204"/>
    </font>
    <font>
      <sz val="14"/>
      <color indexed="8"/>
      <name val="Times New Roman"/>
      <family val="1"/>
      <charset val="204"/>
    </font>
    <font>
      <sz val="10"/>
      <color indexed="8"/>
      <name val="Times New Roman"/>
      <family val="1"/>
      <charset val="204"/>
    </font>
    <font>
      <u/>
      <sz val="14"/>
      <name val="Times New Roman"/>
      <family val="1"/>
      <charset val="204"/>
    </font>
    <font>
      <sz val="12"/>
      <color indexed="8"/>
      <name val="Times New Roman"/>
      <family val="1"/>
      <charset val="204"/>
    </font>
    <font>
      <b/>
      <u/>
      <sz val="16"/>
      <name val="Times New Roman"/>
      <family val="1"/>
      <charset val="204"/>
    </font>
    <font>
      <b/>
      <sz val="13"/>
      <name val="Times New Roman"/>
      <family val="1"/>
      <charset val="204"/>
    </font>
    <font>
      <i/>
      <sz val="13"/>
      <name val="Times New Roman"/>
      <family val="1"/>
      <charset val="204"/>
    </font>
    <font>
      <b/>
      <i/>
      <sz val="13"/>
      <name val="Times New Roman"/>
      <family val="1"/>
      <charset val="204"/>
    </font>
    <font>
      <b/>
      <i/>
      <sz val="13"/>
      <color rgb="FFFF0000"/>
      <name val="Times New Roman"/>
      <family val="1"/>
      <charset val="204"/>
    </font>
    <font>
      <u/>
      <sz val="12"/>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179">
    <xf numFmtId="0" fontId="0" fillId="0" borderId="0" xfId="0"/>
    <xf numFmtId="0" fontId="1" fillId="0" borderId="0" xfId="0" applyFont="1"/>
    <xf numFmtId="4" fontId="1" fillId="0" borderId="0" xfId="0" applyNumberFormat="1" applyFont="1"/>
    <xf numFmtId="4" fontId="2" fillId="0" borderId="1" xfId="0" applyNumberFormat="1" applyFont="1" applyBorder="1" applyAlignment="1">
      <alignment horizontal="center" vertical="center" wrapText="1"/>
    </xf>
    <xf numFmtId="0" fontId="3" fillId="0" borderId="0" xfId="0" applyFont="1"/>
    <xf numFmtId="0" fontId="4" fillId="0" borderId="0" xfId="0" applyFont="1" applyAlignment="1">
      <alignment horizontal="right"/>
    </xf>
    <xf numFmtId="4" fontId="3" fillId="0" borderId="1"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4" fontId="3" fillId="0" borderId="0" xfId="0" applyNumberFormat="1" applyFont="1"/>
    <xf numFmtId="0" fontId="6" fillId="0" borderId="0" xfId="0" applyFont="1" applyAlignment="1">
      <alignment horizontal="right"/>
    </xf>
    <xf numFmtId="4" fontId="3" fillId="0" borderId="0" xfId="0" applyNumberFormat="1" applyFont="1" applyBorder="1" applyAlignment="1">
      <alignment horizontal="center" vertical="center" wrapText="1"/>
    </xf>
    <xf numFmtId="4" fontId="7" fillId="0" borderId="0" xfId="0" applyNumberFormat="1" applyFont="1"/>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165" fontId="4" fillId="0" borderId="0" xfId="0" applyNumberFormat="1" applyFont="1" applyFill="1" applyAlignment="1">
      <alignment vertical="center" wrapText="1"/>
    </xf>
    <xf numFmtId="0" fontId="4" fillId="0" borderId="0" xfId="0" applyFont="1" applyFill="1" applyAlignment="1">
      <alignment vertical="center" wrapText="1"/>
    </xf>
    <xf numFmtId="0" fontId="14" fillId="0" borderId="0" xfId="0" applyFont="1" applyFill="1" applyAlignment="1">
      <alignment vertical="center" wrapText="1"/>
    </xf>
    <xf numFmtId="0" fontId="4" fillId="0" borderId="0" xfId="0" applyFont="1" applyFill="1" applyAlignment="1">
      <alignment horizontal="center" vertical="center" wrapText="1"/>
    </xf>
    <xf numFmtId="165" fontId="13" fillId="0" borderId="0" xfId="0" applyNumberFormat="1" applyFont="1" applyFill="1" applyAlignment="1">
      <alignment horizontal="center" vertical="center" wrapText="1"/>
    </xf>
    <xf numFmtId="0" fontId="15" fillId="0" borderId="0" xfId="0" applyFont="1" applyFill="1" applyAlignment="1">
      <alignment horizontal="justify" vertical="center" wrapText="1"/>
    </xf>
    <xf numFmtId="0" fontId="16" fillId="0" borderId="8" xfId="0" applyFont="1" applyFill="1" applyBorder="1" applyAlignment="1">
      <alignment vertical="center" wrapText="1"/>
    </xf>
    <xf numFmtId="0" fontId="17" fillId="0" borderId="0" xfId="0" applyFont="1" applyFill="1" applyAlignment="1">
      <alignment vertical="center" wrapText="1"/>
    </xf>
    <xf numFmtId="0" fontId="18" fillId="0" borderId="0" xfId="0" applyFont="1" applyFill="1" applyAlignment="1">
      <alignment horizontal="right"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166" fontId="4" fillId="0" borderId="0" xfId="0" applyNumberFormat="1" applyFont="1" applyFill="1" applyAlignment="1">
      <alignment vertical="center" wrapText="1"/>
    </xf>
    <xf numFmtId="166" fontId="14" fillId="0" borderId="0" xfId="0" applyNumberFormat="1" applyFont="1" applyFill="1" applyAlignment="1">
      <alignment vertical="center" wrapText="1"/>
    </xf>
    <xf numFmtId="0" fontId="4" fillId="0" borderId="0" xfId="0" applyFont="1" applyFill="1" applyBorder="1" applyAlignment="1">
      <alignment vertical="center" wrapText="1"/>
    </xf>
    <xf numFmtId="0" fontId="14" fillId="0" borderId="0" xfId="0" applyFont="1" applyFill="1" applyBorder="1" applyAlignment="1">
      <alignment vertical="center" wrapText="1"/>
    </xf>
    <xf numFmtId="0" fontId="21" fillId="0" borderId="0" xfId="0" applyFont="1" applyFill="1" applyBorder="1" applyAlignment="1">
      <alignment vertical="center" wrapText="1"/>
    </xf>
    <xf numFmtId="0" fontId="20" fillId="0" borderId="0" xfId="0" applyFont="1" applyFill="1" applyBorder="1" applyAlignment="1">
      <alignment vertical="center" wrapText="1"/>
    </xf>
    <xf numFmtId="167" fontId="21" fillId="0" borderId="0" xfId="0" applyNumberFormat="1" applyFont="1" applyFill="1" applyBorder="1" applyAlignment="1">
      <alignment vertical="center" wrapText="1"/>
    </xf>
    <xf numFmtId="0" fontId="23" fillId="0" borderId="0" xfId="0" applyFont="1" applyFill="1" applyBorder="1" applyAlignment="1">
      <alignment vertical="center" wrapText="1"/>
    </xf>
    <xf numFmtId="167" fontId="20" fillId="0" borderId="0" xfId="0" applyNumberFormat="1" applyFont="1" applyFill="1" applyBorder="1" applyAlignment="1">
      <alignment vertical="center" wrapText="1"/>
    </xf>
    <xf numFmtId="0" fontId="22" fillId="3" borderId="1" xfId="0" applyFont="1" applyFill="1" applyBorder="1" applyAlignment="1" applyProtection="1">
      <alignment horizontal="left" vertical="top" wrapText="1"/>
    </xf>
    <xf numFmtId="2" fontId="19" fillId="4" borderId="1" xfId="0" applyNumberFormat="1" applyFont="1" applyFill="1" applyBorder="1" applyAlignment="1">
      <alignment horizontal="right" vertical="center" wrapText="1"/>
    </xf>
    <xf numFmtId="0" fontId="21" fillId="0" borderId="0" xfId="0" applyFont="1" applyFill="1" applyAlignment="1">
      <alignment vertical="center" wrapText="1"/>
    </xf>
    <xf numFmtId="0" fontId="20" fillId="0" borderId="0" xfId="0" applyFont="1" applyFill="1" applyAlignment="1">
      <alignment vertical="center" wrapText="1"/>
    </xf>
    <xf numFmtId="0" fontId="13" fillId="0" borderId="0" xfId="0" applyFont="1" applyFill="1" applyBorder="1" applyAlignment="1">
      <alignment horizontal="justify" wrapText="1"/>
    </xf>
    <xf numFmtId="165" fontId="13" fillId="0" borderId="0" xfId="0" applyNumberFormat="1" applyFont="1" applyFill="1" applyBorder="1" applyAlignment="1" applyProtection="1">
      <alignment vertical="center" wrapText="1"/>
    </xf>
    <xf numFmtId="165" fontId="19" fillId="0" borderId="0" xfId="0" applyNumberFormat="1" applyFont="1" applyFill="1" applyBorder="1" applyAlignment="1" applyProtection="1">
      <alignment vertical="center" wrapText="1"/>
    </xf>
    <xf numFmtId="165" fontId="13" fillId="0" borderId="0" xfId="0" applyNumberFormat="1" applyFont="1" applyFill="1" applyBorder="1" applyAlignment="1">
      <alignment horizontal="justify" wrapText="1"/>
    </xf>
    <xf numFmtId="0" fontId="19" fillId="0" borderId="0" xfId="0" applyFont="1" applyFill="1" applyBorder="1" applyAlignment="1">
      <alignment horizontal="justify" vertical="center" wrapText="1"/>
    </xf>
    <xf numFmtId="0" fontId="13" fillId="0" borderId="0" xfId="0" applyFont="1" applyAlignment="1">
      <alignment horizontal="left"/>
    </xf>
    <xf numFmtId="0" fontId="24" fillId="0" borderId="0" xfId="0" applyFont="1"/>
    <xf numFmtId="0" fontId="24" fillId="0" borderId="0" xfId="0" applyFont="1" applyBorder="1"/>
    <xf numFmtId="0" fontId="24" fillId="0" borderId="0" xfId="0" applyFont="1" applyFill="1" applyBorder="1"/>
    <xf numFmtId="0" fontId="24" fillId="0" borderId="0" xfId="0" applyFont="1" applyFill="1"/>
    <xf numFmtId="0" fontId="25" fillId="0" borderId="0" xfId="0" applyFont="1"/>
    <xf numFmtId="165" fontId="14" fillId="0" borderId="0" xfId="0" applyNumberFormat="1" applyFont="1" applyFill="1" applyAlignment="1">
      <alignment vertical="center" wrapText="1"/>
    </xf>
    <xf numFmtId="0" fontId="13" fillId="0" borderId="0" xfId="0" applyFont="1" applyFill="1" applyAlignment="1">
      <alignment vertical="center"/>
    </xf>
    <xf numFmtId="165" fontId="4"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165" fontId="4" fillId="0" borderId="0" xfId="0" applyNumberFormat="1" applyFont="1" applyFill="1" applyBorder="1" applyAlignment="1">
      <alignment vertical="center" wrapText="1"/>
    </xf>
    <xf numFmtId="0" fontId="27" fillId="0" borderId="0" xfId="0" applyFont="1" applyBorder="1"/>
    <xf numFmtId="14" fontId="4" fillId="0" borderId="0" xfId="0" applyNumberFormat="1" applyFont="1" applyFill="1" applyAlignment="1">
      <alignment horizontal="justify" vertical="center" wrapText="1"/>
    </xf>
    <xf numFmtId="0" fontId="4" fillId="0" borderId="8" xfId="0" applyFont="1" applyFill="1" applyBorder="1" applyAlignment="1">
      <alignment vertical="center" wrapText="1"/>
    </xf>
    <xf numFmtId="164" fontId="21" fillId="0" borderId="0" xfId="0" applyNumberFormat="1" applyFont="1" applyFill="1" applyAlignment="1">
      <alignment vertical="center" wrapText="1"/>
    </xf>
    <xf numFmtId="4" fontId="29" fillId="3" borderId="1" xfId="0" applyNumberFormat="1" applyFont="1" applyFill="1" applyBorder="1" applyAlignment="1" applyProtection="1">
      <alignment vertical="center" wrapText="1"/>
    </xf>
    <xf numFmtId="0" fontId="29" fillId="4" borderId="1" xfId="0" applyFont="1" applyFill="1" applyBorder="1" applyAlignment="1">
      <alignment horizontal="justify" wrapText="1"/>
    </xf>
    <xf numFmtId="43" fontId="29" fillId="4" borderId="1" xfId="1" applyFont="1" applyFill="1" applyBorder="1" applyAlignment="1">
      <alignment horizontal="right" vertical="center" wrapText="1"/>
    </xf>
    <xf numFmtId="9" fontId="29" fillId="4" borderId="1" xfId="2" applyFont="1" applyFill="1" applyBorder="1" applyAlignment="1">
      <alignment horizontal="right" vertical="center" wrapText="1"/>
    </xf>
    <xf numFmtId="43" fontId="5" fillId="0" borderId="1" xfId="1" applyFont="1" applyFill="1" applyBorder="1" applyAlignment="1" applyProtection="1">
      <alignment horizontal="right" vertical="center" wrapText="1"/>
    </xf>
    <xf numFmtId="43" fontId="29" fillId="0" borderId="1" xfId="1" applyFont="1" applyFill="1" applyBorder="1" applyAlignment="1" applyProtection="1">
      <alignment horizontal="right" vertical="center" wrapText="1"/>
    </xf>
    <xf numFmtId="9" fontId="29" fillId="0" borderId="1" xfId="2" applyFont="1" applyFill="1" applyBorder="1" applyAlignment="1" applyProtection="1">
      <alignment horizontal="right" vertical="center" wrapText="1"/>
    </xf>
    <xf numFmtId="43" fontId="5" fillId="0" borderId="1" xfId="1" applyFont="1" applyFill="1" applyBorder="1" applyAlignment="1">
      <alignment horizontal="right" vertical="center" wrapText="1"/>
    </xf>
    <xf numFmtId="43" fontId="29" fillId="3" borderId="1" xfId="1" applyFont="1" applyFill="1" applyBorder="1" applyAlignment="1" applyProtection="1">
      <alignment horizontal="right" vertical="center" wrapText="1"/>
    </xf>
    <xf numFmtId="166" fontId="4" fillId="0" borderId="1" xfId="0" applyNumberFormat="1" applyFont="1" applyFill="1" applyBorder="1" applyAlignment="1">
      <alignment horizontal="center" vertical="center" wrapText="1"/>
    </xf>
    <xf numFmtId="0" fontId="29" fillId="3" borderId="1" xfId="0" applyFont="1" applyFill="1" applyBorder="1" applyAlignment="1" applyProtection="1">
      <alignment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wrapText="1"/>
    </xf>
    <xf numFmtId="0" fontId="5" fillId="0" borderId="1" xfId="0" applyFont="1" applyFill="1" applyBorder="1" applyAlignment="1">
      <alignment horizontal="justify" vertical="center" wrapText="1"/>
    </xf>
    <xf numFmtId="0" fontId="32" fillId="0" borderId="1" xfId="0" applyFont="1" applyFill="1" applyBorder="1" applyAlignment="1">
      <alignment horizontal="justify" vertical="center" wrapText="1"/>
    </xf>
    <xf numFmtId="9" fontId="29" fillId="0" borderId="1" xfId="2" applyFont="1" applyFill="1" applyBorder="1" applyAlignment="1">
      <alignment horizontal="right" vertical="center" wrapText="1"/>
    </xf>
    <xf numFmtId="43" fontId="29" fillId="0" borderId="1" xfId="1" applyFont="1" applyFill="1" applyBorder="1" applyAlignment="1">
      <alignment horizontal="right" vertical="center" wrapText="1"/>
    </xf>
    <xf numFmtId="9" fontId="5" fillId="0" borderId="1" xfId="2" applyFont="1" applyFill="1" applyBorder="1" applyAlignment="1" applyProtection="1">
      <alignment horizontal="right" vertical="center" wrapText="1"/>
    </xf>
    <xf numFmtId="0" fontId="5" fillId="0" borderId="1" xfId="0" applyFont="1" applyFill="1" applyBorder="1" applyAlignment="1">
      <alignment horizontal="right" wrapText="1"/>
    </xf>
    <xf numFmtId="43" fontId="5" fillId="0" borderId="1" xfId="1" applyFont="1" applyFill="1" applyBorder="1" applyAlignment="1">
      <alignment horizontal="right" wrapText="1"/>
    </xf>
    <xf numFmtId="2" fontId="5" fillId="0" borderId="1" xfId="0" applyNumberFormat="1" applyFont="1" applyFill="1" applyBorder="1" applyAlignment="1">
      <alignment horizontal="right" wrapText="1"/>
    </xf>
    <xf numFmtId="43" fontId="19" fillId="0" borderId="1" xfId="1" applyFont="1" applyFill="1" applyBorder="1" applyAlignment="1" applyProtection="1">
      <alignment horizontal="right" vertical="center" wrapText="1"/>
    </xf>
    <xf numFmtId="9" fontId="29" fillId="3" borderId="1" xfId="2" applyFont="1" applyFill="1" applyBorder="1" applyAlignment="1" applyProtection="1">
      <alignment vertical="center" wrapText="1"/>
    </xf>
    <xf numFmtId="43" fontId="29" fillId="3" borderId="1" xfId="1" applyFont="1" applyFill="1" applyBorder="1" applyAlignment="1" applyProtection="1">
      <alignment horizontal="right" wrapText="1"/>
    </xf>
    <xf numFmtId="0" fontId="13" fillId="0" borderId="0" xfId="0" applyFont="1" applyFill="1" applyBorder="1" applyAlignment="1">
      <alignment horizontal="left" vertical="top" wrapText="1"/>
    </xf>
    <xf numFmtId="0" fontId="5" fillId="0" borderId="1" xfId="0" applyFont="1" applyFill="1" applyBorder="1" applyAlignment="1">
      <alignment horizontal="right" vertical="center" wrapText="1"/>
    </xf>
    <xf numFmtId="2" fontId="5" fillId="0" borderId="1" xfId="0" applyNumberFormat="1" applyFont="1" applyFill="1" applyBorder="1" applyAlignment="1">
      <alignment horizontal="right" vertical="center" wrapText="1"/>
    </xf>
    <xf numFmtId="43" fontId="21" fillId="0" borderId="0" xfId="0" applyNumberFormat="1" applyFont="1" applyFill="1" applyBorder="1" applyAlignment="1">
      <alignment vertical="center" wrapText="1"/>
    </xf>
    <xf numFmtId="165" fontId="19" fillId="0" borderId="1" xfId="0" applyNumberFormat="1" applyFont="1" applyFill="1" applyBorder="1" applyAlignment="1">
      <alignment horizontal="center" vertical="center" wrapText="1"/>
    </xf>
    <xf numFmtId="0" fontId="22" fillId="0" borderId="5" xfId="0" applyFont="1" applyFill="1" applyBorder="1" applyAlignment="1">
      <alignment vertical="top" wrapText="1"/>
    </xf>
    <xf numFmtId="49" fontId="22" fillId="0" borderId="1" xfId="1" applyNumberFormat="1" applyFont="1" applyFill="1" applyBorder="1" applyAlignment="1" applyProtection="1">
      <alignment horizontal="left" vertical="top" wrapText="1"/>
    </xf>
    <xf numFmtId="0" fontId="22" fillId="0" borderId="5" xfId="0" applyFont="1" applyFill="1" applyBorder="1" applyAlignment="1">
      <alignment horizontal="left" vertical="top" wrapText="1"/>
    </xf>
    <xf numFmtId="0" fontId="5" fillId="0" borderId="0" xfId="0" applyFont="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6" fontId="3" fillId="0" borderId="5" xfId="0" applyNumberFormat="1" applyFont="1" applyBorder="1" applyAlignment="1">
      <alignment horizontal="center" vertical="center" wrapText="1"/>
    </xf>
    <xf numFmtId="16" fontId="3" fillId="0" borderId="6" xfId="0" applyNumberFormat="1" applyFont="1" applyBorder="1" applyAlignment="1">
      <alignment horizontal="center" vertical="center" wrapText="1"/>
    </xf>
    <xf numFmtId="16" fontId="3" fillId="0" borderId="7"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11" fillId="0" borderId="0" xfId="0" applyFont="1" applyAlignment="1">
      <alignment horizontal="center" wrapText="1"/>
    </xf>
    <xf numFmtId="165" fontId="19" fillId="0" borderId="2" xfId="0" applyNumberFormat="1" applyFont="1" applyFill="1" applyBorder="1" applyAlignment="1">
      <alignment horizontal="center" vertical="center" wrapText="1"/>
    </xf>
    <xf numFmtId="165" fontId="19" fillId="0" borderId="4" xfId="0" applyNumberFormat="1" applyFont="1" applyFill="1" applyBorder="1" applyAlignment="1">
      <alignment horizontal="center" vertical="center" wrapText="1"/>
    </xf>
    <xf numFmtId="0" fontId="28"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2" fillId="0" borderId="5"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1" xfId="0" applyFont="1" applyFill="1" applyBorder="1" applyAlignment="1">
      <alignment horizontal="left" vertical="top" wrapText="1"/>
    </xf>
    <xf numFmtId="0" fontId="4" fillId="0" borderId="0" xfId="0" applyFont="1" applyFill="1" applyAlignment="1">
      <alignment horizontal="left" vertical="center" wrapText="1"/>
    </xf>
    <xf numFmtId="165" fontId="4" fillId="0" borderId="8" xfId="0" applyNumberFormat="1" applyFont="1" applyFill="1" applyBorder="1" applyAlignment="1">
      <alignment horizontal="center" vertical="top" wrapText="1"/>
    </xf>
    <xf numFmtId="165" fontId="4" fillId="0" borderId="0" xfId="0" applyNumberFormat="1" applyFont="1" applyFill="1" applyBorder="1" applyAlignment="1">
      <alignment horizontal="left" wrapText="1"/>
    </xf>
    <xf numFmtId="165" fontId="33" fillId="0" borderId="0" xfId="0" applyNumberFormat="1" applyFont="1" applyFill="1" applyBorder="1" applyAlignment="1">
      <alignment horizontal="left" wrapText="1"/>
    </xf>
    <xf numFmtId="165" fontId="26" fillId="0" borderId="0" xfId="0" applyNumberFormat="1" applyFont="1" applyFill="1" applyAlignment="1">
      <alignment horizontal="center" vertical="center" wrapText="1"/>
    </xf>
    <xf numFmtId="165" fontId="4" fillId="0" borderId="0" xfId="0" applyNumberFormat="1" applyFont="1" applyFill="1" applyAlignment="1">
      <alignment horizontal="left" vertical="center" wrapText="1"/>
    </xf>
    <xf numFmtId="0" fontId="27" fillId="0" borderId="0" xfId="0" applyFont="1" applyFill="1" applyBorder="1" applyAlignment="1">
      <alignment horizontal="center"/>
    </xf>
    <xf numFmtId="0" fontId="16" fillId="0" borderId="0" xfId="0" applyFont="1" applyFill="1" applyAlignment="1">
      <alignment horizontal="left" vertical="center" wrapText="1"/>
    </xf>
    <xf numFmtId="0" fontId="13" fillId="0" borderId="0" xfId="0" applyFont="1" applyFill="1" applyAlignment="1">
      <alignment horizontal="center" vertical="center" wrapText="1"/>
    </xf>
    <xf numFmtId="9" fontId="5" fillId="0" borderId="1" xfId="2" applyFont="1" applyFill="1" applyBorder="1" applyAlignment="1">
      <alignment horizontal="right" vertical="center" wrapText="1"/>
    </xf>
    <xf numFmtId="0" fontId="31" fillId="0" borderId="1" xfId="0" applyFont="1" applyFill="1" applyBorder="1" applyAlignment="1">
      <alignment horizontal="justify" vertical="top" wrapText="1"/>
    </xf>
    <xf numFmtId="2" fontId="5" fillId="0" borderId="1" xfId="0" applyNumberFormat="1" applyFont="1" applyFill="1" applyBorder="1" applyAlignment="1" applyProtection="1">
      <alignment horizontal="right" vertical="center" wrapText="1"/>
    </xf>
    <xf numFmtId="2" fontId="29" fillId="0" borderId="1" xfId="0" applyNumberFormat="1" applyFont="1" applyFill="1" applyBorder="1" applyAlignment="1" applyProtection="1">
      <alignment horizontal="right" vertical="center" wrapText="1"/>
    </xf>
    <xf numFmtId="2" fontId="29" fillId="0" borderId="7" xfId="0" applyNumberFormat="1" applyFont="1" applyFill="1" applyBorder="1" applyAlignment="1" applyProtection="1">
      <alignment horizontal="right" vertical="center" wrapText="1"/>
    </xf>
    <xf numFmtId="2" fontId="19" fillId="0" borderId="4" xfId="0" applyNumberFormat="1" applyFont="1" applyFill="1" applyBorder="1" applyAlignment="1" applyProtection="1">
      <alignment horizontal="right" vertical="center" wrapText="1"/>
    </xf>
    <xf numFmtId="0" fontId="30" fillId="0" borderId="1" xfId="0" applyFont="1" applyFill="1" applyBorder="1" applyAlignment="1">
      <alignment horizontal="justify" vertical="top" wrapText="1"/>
    </xf>
    <xf numFmtId="4" fontId="29" fillId="0" borderId="1" xfId="0" applyNumberFormat="1" applyFont="1" applyFill="1" applyBorder="1" applyAlignment="1">
      <alignment horizontal="right" vertical="center" wrapText="1"/>
    </xf>
    <xf numFmtId="0" fontId="29" fillId="0" borderId="1" xfId="0" applyFont="1" applyFill="1" applyBorder="1" applyAlignment="1">
      <alignment horizontal="justify" wrapText="1"/>
    </xf>
    <xf numFmtId="0" fontId="29" fillId="0" borderId="1" xfId="0" applyFont="1" applyFill="1" applyBorder="1" applyAlignment="1">
      <alignment horizontal="justify" vertical="top" wrapText="1"/>
    </xf>
    <xf numFmtId="43" fontId="29" fillId="0" borderId="1" xfId="1" applyFont="1" applyFill="1" applyBorder="1" applyAlignment="1">
      <alignment horizontal="right" wrapText="1"/>
    </xf>
    <xf numFmtId="43" fontId="19" fillId="0" borderId="4" xfId="1" applyFont="1" applyFill="1" applyBorder="1" applyAlignment="1" applyProtection="1">
      <alignment horizontal="right" vertical="center" wrapText="1"/>
    </xf>
    <xf numFmtId="2" fontId="19" fillId="0" borderId="1" xfId="0" applyNumberFormat="1" applyFont="1" applyFill="1" applyBorder="1" applyAlignment="1" applyProtection="1">
      <alignment horizontal="right" vertical="center" wrapText="1"/>
    </xf>
    <xf numFmtId="0" fontId="5" fillId="0" borderId="5" xfId="0" applyFont="1" applyFill="1" applyBorder="1" applyAlignment="1">
      <alignment horizontal="justify" wrapText="1"/>
    </xf>
    <xf numFmtId="43" fontId="5" fillId="0" borderId="5" xfId="1" applyFont="1" applyFill="1" applyBorder="1" applyAlignment="1">
      <alignment horizontal="right" vertical="center" wrapText="1"/>
    </xf>
    <xf numFmtId="43" fontId="5" fillId="0" borderId="5" xfId="1" applyFont="1" applyFill="1" applyBorder="1" applyAlignment="1" applyProtection="1">
      <alignment horizontal="right" vertical="center" wrapText="1"/>
    </xf>
    <xf numFmtId="9" fontId="5" fillId="0" borderId="5" xfId="2" applyFont="1" applyFill="1" applyBorder="1" applyAlignment="1" applyProtection="1">
      <alignment horizontal="right" vertical="center" wrapText="1"/>
    </xf>
    <xf numFmtId="0" fontId="29" fillId="0" borderId="10" xfId="0" applyFont="1" applyFill="1" applyBorder="1" applyAlignment="1">
      <alignment horizontal="justify" wrapText="1"/>
    </xf>
    <xf numFmtId="43" fontId="29" fillId="0" borderId="11" xfId="1" applyFont="1" applyFill="1" applyBorder="1" applyAlignment="1">
      <alignment horizontal="right" vertical="center" wrapText="1"/>
    </xf>
    <xf numFmtId="9" fontId="29" fillId="0" borderId="11" xfId="2" applyFont="1" applyFill="1" applyBorder="1" applyAlignment="1">
      <alignment horizontal="right" vertical="center" wrapText="1"/>
    </xf>
    <xf numFmtId="43" fontId="29" fillId="0" borderId="12" xfId="1" applyFont="1" applyFill="1" applyBorder="1" applyAlignment="1">
      <alignment horizontal="right" vertical="center" wrapText="1"/>
    </xf>
    <xf numFmtId="0" fontId="5" fillId="0" borderId="13" xfId="0" applyFont="1" applyFill="1" applyBorder="1" applyAlignment="1">
      <alignment horizontal="justify" wrapText="1"/>
    </xf>
    <xf numFmtId="43" fontId="5" fillId="0" borderId="14" xfId="1" applyFont="1" applyFill="1" applyBorder="1" applyAlignment="1" applyProtection="1">
      <alignment horizontal="right" vertical="center" wrapText="1"/>
    </xf>
    <xf numFmtId="0" fontId="5" fillId="0" borderId="15" xfId="0" applyFont="1" applyFill="1" applyBorder="1" applyAlignment="1">
      <alignment horizontal="justify" wrapText="1"/>
    </xf>
    <xf numFmtId="43" fontId="5" fillId="0" borderId="16" xfId="1" applyFont="1" applyFill="1" applyBorder="1" applyAlignment="1">
      <alignment horizontal="right" vertical="center" wrapText="1"/>
    </xf>
    <xf numFmtId="9" fontId="5" fillId="0" borderId="16" xfId="2" applyFont="1" applyFill="1" applyBorder="1" applyAlignment="1" applyProtection="1">
      <alignment horizontal="right" vertical="center" wrapText="1"/>
    </xf>
    <xf numFmtId="43" fontId="5" fillId="0" borderId="16" xfId="1" applyFont="1" applyFill="1" applyBorder="1" applyAlignment="1" applyProtection="1">
      <alignment horizontal="right" vertical="center" wrapText="1"/>
    </xf>
    <xf numFmtId="43" fontId="5" fillId="0" borderId="17" xfId="1" applyFont="1" applyFill="1" applyBorder="1" applyAlignment="1" applyProtection="1">
      <alignment horizontal="right" vertical="center" wrapText="1"/>
    </xf>
    <xf numFmtId="0" fontId="31" fillId="0" borderId="7" xfId="0" applyFont="1" applyFill="1" applyBorder="1" applyAlignment="1">
      <alignment horizontal="justify" vertical="top" wrapText="1"/>
    </xf>
    <xf numFmtId="43" fontId="5" fillId="0" borderId="7" xfId="1" applyFont="1" applyFill="1" applyBorder="1" applyAlignment="1">
      <alignment horizontal="right" vertical="center" wrapText="1"/>
    </xf>
    <xf numFmtId="43" fontId="29" fillId="0" borderId="7" xfId="1" applyFont="1" applyFill="1" applyBorder="1" applyAlignment="1" applyProtection="1">
      <alignment horizontal="right" vertical="center" wrapText="1"/>
    </xf>
    <xf numFmtId="9" fontId="29" fillId="0" borderId="7" xfId="2" applyFont="1" applyFill="1" applyBorder="1" applyAlignment="1" applyProtection="1">
      <alignment horizontal="right" vertical="center" wrapText="1"/>
    </xf>
    <xf numFmtId="43" fontId="19" fillId="0" borderId="9" xfId="1" applyFont="1" applyFill="1" applyBorder="1" applyAlignment="1" applyProtection="1">
      <alignment horizontal="right" vertical="center" wrapText="1"/>
    </xf>
    <xf numFmtId="43" fontId="5" fillId="0" borderId="1" xfId="0" applyNumberFormat="1" applyFont="1" applyFill="1" applyBorder="1" applyAlignment="1">
      <alignment horizontal="right" vertical="center" wrapText="1"/>
    </xf>
    <xf numFmtId="43" fontId="5" fillId="0" borderId="1" xfId="0" applyNumberFormat="1" applyFont="1" applyFill="1" applyBorder="1" applyAlignment="1">
      <alignment horizontal="justify" vertical="center" wrapText="1"/>
    </xf>
    <xf numFmtId="43" fontId="19" fillId="0" borderId="4" xfId="1" applyFont="1" applyFill="1" applyBorder="1" applyAlignment="1">
      <alignment horizontal="right" vertical="center" wrapText="1"/>
    </xf>
    <xf numFmtId="2" fontId="19" fillId="0" borderId="1" xfId="0" applyNumberFormat="1" applyFont="1" applyFill="1" applyBorder="1" applyAlignment="1">
      <alignment horizontal="right" vertical="center" wrapText="1"/>
    </xf>
  </cellXfs>
  <cellStyles count="3">
    <cellStyle name="Обычный" xfId="0" builtinId="0"/>
    <cellStyle name="Процентный" xfId="2" builtinId="5"/>
    <cellStyle name="Финансовый" xfId="1" builtinId="3"/>
  </cellStyles>
  <dxfs count="0"/>
  <tableStyles count="0" defaultTableStyle="TableStyleMedium2" defaultPivotStyle="PivotStyleMedium9"/>
  <colors>
    <mruColors>
      <color rgb="FFCCFFCC"/>
      <color rgb="FF99FF66"/>
      <color rgb="FF66FF66"/>
      <color rgb="FF00FF00"/>
      <color rgb="FF00FFCC"/>
      <color rgb="FFDED9D8"/>
      <color rgb="FFB7ABA9"/>
      <color rgb="FF99FF99"/>
      <color rgb="FFACA9F1"/>
      <color rgb="FFE5BA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V67"/>
  <sheetViews>
    <sheetView workbookViewId="0">
      <selection sqref="A1:XFD1048576"/>
    </sheetView>
  </sheetViews>
  <sheetFormatPr defaultRowHeight="12.75"/>
  <cols>
    <col min="1" max="1" width="0.42578125" style="1" customWidth="1"/>
    <col min="2" max="2" width="3.7109375" style="1" customWidth="1"/>
    <col min="3" max="3" width="73.28515625" style="1" customWidth="1"/>
    <col min="4" max="4" width="28.42578125" style="1" customWidth="1"/>
    <col min="5" max="5" width="10.42578125" style="1" customWidth="1"/>
    <col min="6" max="6" width="10.28515625" style="1" customWidth="1"/>
    <col min="7" max="9" width="10.7109375" style="1" customWidth="1"/>
    <col min="10" max="10" width="23.42578125" style="1" customWidth="1"/>
    <col min="11" max="16384" width="9.140625" style="1"/>
  </cols>
  <sheetData>
    <row r="1" spans="2:13" s="4" customFormat="1" ht="15">
      <c r="J1" s="9" t="s">
        <v>73</v>
      </c>
    </row>
    <row r="2" spans="2:13" s="4" customFormat="1" ht="15">
      <c r="J2" s="9" t="s">
        <v>68</v>
      </c>
    </row>
    <row r="3" spans="2:13" s="4" customFormat="1" ht="15">
      <c r="J3" s="9" t="s">
        <v>69</v>
      </c>
    </row>
    <row r="4" spans="2:13" s="4" customFormat="1" ht="15.75">
      <c r="J4" s="5"/>
    </row>
    <row r="5" spans="2:13" s="4" customFormat="1" ht="15.75">
      <c r="J5" s="5"/>
    </row>
    <row r="6" spans="2:13" s="4" customFormat="1" ht="16.5">
      <c r="B6" s="96" t="s">
        <v>60</v>
      </c>
      <c r="C6" s="96"/>
      <c r="D6" s="96"/>
      <c r="E6" s="96"/>
      <c r="F6" s="96"/>
      <c r="G6" s="96"/>
      <c r="H6" s="96"/>
      <c r="I6" s="96"/>
      <c r="J6" s="96"/>
    </row>
    <row r="7" spans="2:13" s="4" customFormat="1"/>
    <row r="8" spans="2:13" s="4" customFormat="1">
      <c r="B8" s="97" t="s">
        <v>29</v>
      </c>
      <c r="C8" s="97" t="s">
        <v>0</v>
      </c>
      <c r="D8" s="97" t="s">
        <v>72</v>
      </c>
      <c r="E8" s="97" t="s">
        <v>1</v>
      </c>
      <c r="F8" s="97" t="s">
        <v>30</v>
      </c>
      <c r="G8" s="97"/>
      <c r="H8" s="97"/>
      <c r="I8" s="97"/>
      <c r="J8" s="97" t="s">
        <v>2</v>
      </c>
    </row>
    <row r="9" spans="2:13" s="4" customFormat="1">
      <c r="B9" s="97"/>
      <c r="C9" s="97"/>
      <c r="D9" s="97"/>
      <c r="E9" s="97"/>
      <c r="F9" s="97" t="s">
        <v>3</v>
      </c>
      <c r="G9" s="97" t="s">
        <v>4</v>
      </c>
      <c r="H9" s="97"/>
      <c r="I9" s="97"/>
      <c r="J9" s="97"/>
    </row>
    <row r="10" spans="2:13" s="4" customFormat="1">
      <c r="B10" s="97"/>
      <c r="C10" s="97"/>
      <c r="D10" s="97"/>
      <c r="E10" s="97"/>
      <c r="F10" s="97"/>
      <c r="G10" s="14" t="s">
        <v>5</v>
      </c>
      <c r="H10" s="14" t="s">
        <v>6</v>
      </c>
      <c r="I10" s="14" t="s">
        <v>7</v>
      </c>
      <c r="J10" s="97"/>
    </row>
    <row r="11" spans="2:13" s="4" customFormat="1">
      <c r="B11" s="14">
        <v>1</v>
      </c>
      <c r="C11" s="14">
        <v>2</v>
      </c>
      <c r="D11" s="14">
        <v>3</v>
      </c>
      <c r="E11" s="14">
        <v>4</v>
      </c>
      <c r="F11" s="14">
        <v>5</v>
      </c>
      <c r="G11" s="14">
        <v>6</v>
      </c>
      <c r="H11" s="14">
        <v>7</v>
      </c>
      <c r="I11" s="14">
        <v>8</v>
      </c>
      <c r="J11" s="14">
        <v>9</v>
      </c>
    </row>
    <row r="12" spans="2:13" s="4" customFormat="1">
      <c r="B12" s="104" t="s">
        <v>63</v>
      </c>
      <c r="C12" s="104"/>
      <c r="D12" s="104"/>
      <c r="E12" s="104"/>
      <c r="F12" s="104"/>
      <c r="G12" s="104"/>
      <c r="H12" s="104"/>
      <c r="I12" s="104"/>
      <c r="J12" s="104"/>
    </row>
    <row r="13" spans="2:13" s="4" customFormat="1">
      <c r="B13" s="104" t="s">
        <v>58</v>
      </c>
      <c r="C13" s="104"/>
      <c r="D13" s="104"/>
      <c r="E13" s="104"/>
      <c r="F13" s="104"/>
      <c r="G13" s="104"/>
      <c r="H13" s="104"/>
      <c r="I13" s="104"/>
      <c r="J13" s="104"/>
    </row>
    <row r="14" spans="2:13" s="4" customFormat="1">
      <c r="B14" s="105" t="s">
        <v>8</v>
      </c>
      <c r="C14" s="106"/>
      <c r="D14" s="106"/>
      <c r="E14" s="106"/>
      <c r="F14" s="106"/>
      <c r="G14" s="106"/>
      <c r="H14" s="106"/>
      <c r="I14" s="106"/>
      <c r="J14" s="107"/>
    </row>
    <row r="15" spans="2:13" s="4" customFormat="1">
      <c r="B15" s="108" t="s">
        <v>31</v>
      </c>
      <c r="C15" s="101" t="s">
        <v>9</v>
      </c>
      <c r="D15" s="98" t="s">
        <v>43</v>
      </c>
      <c r="E15" s="98" t="s">
        <v>10</v>
      </c>
      <c r="F15" s="6">
        <f>F16+F17</f>
        <v>23731.8</v>
      </c>
      <c r="G15" s="6">
        <f>G16+G17</f>
        <v>7910.6</v>
      </c>
      <c r="H15" s="6">
        <f t="shared" ref="H15" si="0">H16+H17</f>
        <v>7910.6</v>
      </c>
      <c r="I15" s="6">
        <f>I16+I17</f>
        <v>7910.6</v>
      </c>
      <c r="J15" s="14" t="s">
        <v>25</v>
      </c>
      <c r="M15" s="8"/>
    </row>
    <row r="16" spans="2:13" s="4" customFormat="1" ht="38.25">
      <c r="B16" s="109"/>
      <c r="C16" s="102"/>
      <c r="D16" s="99"/>
      <c r="E16" s="99"/>
      <c r="F16" s="6">
        <f>G16+H16+I16</f>
        <v>23002.7</v>
      </c>
      <c r="G16" s="6">
        <f>7910.6-729.1</f>
        <v>7181.5</v>
      </c>
      <c r="H16" s="6">
        <v>7910.6</v>
      </c>
      <c r="I16" s="6">
        <v>7910.6</v>
      </c>
      <c r="J16" s="14" t="s">
        <v>70</v>
      </c>
      <c r="M16" s="8"/>
    </row>
    <row r="17" spans="2:13" s="4" customFormat="1" ht="25.5">
      <c r="B17" s="110"/>
      <c r="C17" s="103"/>
      <c r="D17" s="100"/>
      <c r="E17" s="100"/>
      <c r="F17" s="6">
        <f>G17+H17+I17</f>
        <v>729.1</v>
      </c>
      <c r="G17" s="6">
        <v>729.1</v>
      </c>
      <c r="H17" s="6">
        <v>0</v>
      </c>
      <c r="I17" s="6">
        <v>0</v>
      </c>
      <c r="J17" s="14" t="s">
        <v>42</v>
      </c>
      <c r="M17" s="8"/>
    </row>
    <row r="18" spans="2:13" s="4" customFormat="1" ht="51">
      <c r="B18" s="7" t="s">
        <v>32</v>
      </c>
      <c r="C18" s="12" t="s">
        <v>11</v>
      </c>
      <c r="D18" s="14" t="s">
        <v>43</v>
      </c>
      <c r="E18" s="14" t="s">
        <v>10</v>
      </c>
      <c r="F18" s="6">
        <f t="shared" ref="F18:F24" si="1">G18+H18+I18</f>
        <v>769.80000000000007</v>
      </c>
      <c r="G18" s="6">
        <v>256.60000000000002</v>
      </c>
      <c r="H18" s="6">
        <v>256.60000000000002</v>
      </c>
      <c r="I18" s="6">
        <v>256.60000000000002</v>
      </c>
      <c r="J18" s="14" t="s">
        <v>70</v>
      </c>
      <c r="M18" s="8"/>
    </row>
    <row r="19" spans="2:13" s="4" customFormat="1">
      <c r="B19" s="108" t="s">
        <v>33</v>
      </c>
      <c r="C19" s="101" t="s">
        <v>12</v>
      </c>
      <c r="D19" s="98" t="s">
        <v>43</v>
      </c>
      <c r="E19" s="98" t="s">
        <v>10</v>
      </c>
      <c r="F19" s="6">
        <f>G19+H19+I19</f>
        <v>2191.1999999999998</v>
      </c>
      <c r="G19" s="6">
        <f>G20+G21</f>
        <v>792</v>
      </c>
      <c r="H19" s="6">
        <f>H20+H21</f>
        <v>699.6</v>
      </c>
      <c r="I19" s="6">
        <f>I20+I21</f>
        <v>699.6</v>
      </c>
      <c r="J19" s="14" t="s">
        <v>25</v>
      </c>
      <c r="M19" s="8"/>
    </row>
    <row r="20" spans="2:13" s="4" customFormat="1" ht="38.25">
      <c r="B20" s="109"/>
      <c r="C20" s="102"/>
      <c r="D20" s="99"/>
      <c r="E20" s="99"/>
      <c r="F20" s="6">
        <f>G20+H20+I20</f>
        <v>1565</v>
      </c>
      <c r="G20" s="6">
        <f>699.6-G21+92.4</f>
        <v>165.79999999999998</v>
      </c>
      <c r="H20" s="6">
        <v>699.6</v>
      </c>
      <c r="I20" s="6">
        <v>699.6</v>
      </c>
      <c r="J20" s="14" t="s">
        <v>70</v>
      </c>
      <c r="K20" s="8"/>
      <c r="M20" s="8"/>
    </row>
    <row r="21" spans="2:13" s="4" customFormat="1" ht="63.75">
      <c r="B21" s="110"/>
      <c r="C21" s="103"/>
      <c r="D21" s="100"/>
      <c r="E21" s="100"/>
      <c r="F21" s="6">
        <f>G21+H21+I21</f>
        <v>626.20000000000005</v>
      </c>
      <c r="G21" s="6">
        <v>626.20000000000005</v>
      </c>
      <c r="H21" s="6">
        <v>0</v>
      </c>
      <c r="I21" s="6">
        <v>0</v>
      </c>
      <c r="J21" s="14" t="s">
        <v>78</v>
      </c>
      <c r="M21" s="8"/>
    </row>
    <row r="22" spans="2:13" s="4" customFormat="1" ht="51">
      <c r="B22" s="7" t="s">
        <v>34</v>
      </c>
      <c r="C22" s="12" t="s">
        <v>74</v>
      </c>
      <c r="D22" s="14" t="s">
        <v>43</v>
      </c>
      <c r="E22" s="14" t="s">
        <v>10</v>
      </c>
      <c r="F22" s="6">
        <f t="shared" si="1"/>
        <v>948.9</v>
      </c>
      <c r="G22" s="6">
        <v>505.1</v>
      </c>
      <c r="H22" s="6">
        <v>221.9</v>
      </c>
      <c r="I22" s="6">
        <v>221.9</v>
      </c>
      <c r="J22" s="14" t="s">
        <v>70</v>
      </c>
      <c r="M22" s="8"/>
    </row>
    <row r="23" spans="2:13" s="4" customFormat="1" ht="51">
      <c r="B23" s="7" t="s">
        <v>35</v>
      </c>
      <c r="C23" s="12" t="s">
        <v>13</v>
      </c>
      <c r="D23" s="14" t="s">
        <v>43</v>
      </c>
      <c r="E23" s="14" t="s">
        <v>10</v>
      </c>
      <c r="F23" s="6">
        <f t="shared" si="1"/>
        <v>3162.2999999999997</v>
      </c>
      <c r="G23" s="6">
        <v>1054.0999999999999</v>
      </c>
      <c r="H23" s="6">
        <v>1054.0999999999999</v>
      </c>
      <c r="I23" s="6">
        <v>1054.0999999999999</v>
      </c>
      <c r="J23" s="14" t="s">
        <v>70</v>
      </c>
      <c r="M23" s="8"/>
    </row>
    <row r="24" spans="2:13" s="4" customFormat="1" ht="51">
      <c r="B24" s="7" t="s">
        <v>36</v>
      </c>
      <c r="C24" s="12" t="s">
        <v>14</v>
      </c>
      <c r="D24" s="14" t="s">
        <v>43</v>
      </c>
      <c r="E24" s="14" t="s">
        <v>10</v>
      </c>
      <c r="F24" s="6">
        <f t="shared" si="1"/>
        <v>105</v>
      </c>
      <c r="G24" s="6">
        <v>35</v>
      </c>
      <c r="H24" s="6">
        <v>35</v>
      </c>
      <c r="I24" s="6">
        <v>35</v>
      </c>
      <c r="J24" s="14" t="s">
        <v>70</v>
      </c>
      <c r="M24" s="8"/>
    </row>
    <row r="25" spans="2:13" s="4" customFormat="1" ht="51">
      <c r="B25" s="7" t="s">
        <v>37</v>
      </c>
      <c r="C25" s="12" t="s">
        <v>15</v>
      </c>
      <c r="D25" s="14" t="s">
        <v>43</v>
      </c>
      <c r="E25" s="14" t="s">
        <v>10</v>
      </c>
      <c r="F25" s="97" t="s">
        <v>16</v>
      </c>
      <c r="G25" s="97"/>
      <c r="H25" s="97"/>
      <c r="I25" s="97"/>
      <c r="J25" s="97"/>
      <c r="M25" s="8"/>
    </row>
    <row r="26" spans="2:13" s="4" customFormat="1">
      <c r="B26" s="98"/>
      <c r="C26" s="101" t="s">
        <v>17</v>
      </c>
      <c r="D26" s="98" t="s">
        <v>43</v>
      </c>
      <c r="E26" s="98" t="s">
        <v>10</v>
      </c>
      <c r="F26" s="6">
        <f>G26+H26+I26</f>
        <v>30909.000000000007</v>
      </c>
      <c r="G26" s="6">
        <f>G27+G28</f>
        <v>10553.400000000001</v>
      </c>
      <c r="H26" s="6">
        <f>H27+H28</f>
        <v>10177.800000000001</v>
      </c>
      <c r="I26" s="6">
        <f>I27+I28</f>
        <v>10177.800000000001</v>
      </c>
      <c r="J26" s="14" t="s">
        <v>25</v>
      </c>
      <c r="L26" s="10"/>
      <c r="M26" s="8"/>
    </row>
    <row r="27" spans="2:13" s="4" customFormat="1" ht="38.25">
      <c r="B27" s="99"/>
      <c r="C27" s="102"/>
      <c r="D27" s="99"/>
      <c r="E27" s="99"/>
      <c r="F27" s="6">
        <f>G27+H27+I27</f>
        <v>29553.700000000004</v>
      </c>
      <c r="G27" s="6">
        <f>G16+G18+G20+G22+G23+G24</f>
        <v>9198.1</v>
      </c>
      <c r="H27" s="6">
        <f t="shared" ref="H27" si="2">H16+H18+H20+H22+H23+H24</f>
        <v>10177.800000000001</v>
      </c>
      <c r="I27" s="6">
        <f>I16+I18+I20+I22+I23+I24</f>
        <v>10177.800000000001</v>
      </c>
      <c r="J27" s="14" t="s">
        <v>70</v>
      </c>
      <c r="L27" s="10"/>
      <c r="M27" s="8"/>
    </row>
    <row r="28" spans="2:13" s="4" customFormat="1" ht="25.5">
      <c r="B28" s="100"/>
      <c r="C28" s="103"/>
      <c r="D28" s="100"/>
      <c r="E28" s="100"/>
      <c r="F28" s="6">
        <f>G28+H28+I28</f>
        <v>1355.3000000000002</v>
      </c>
      <c r="G28" s="6">
        <f>G17+G21</f>
        <v>1355.3000000000002</v>
      </c>
      <c r="H28" s="6">
        <f t="shared" ref="H28:I28" si="3">H17+H21</f>
        <v>0</v>
      </c>
      <c r="I28" s="6">
        <f t="shared" si="3"/>
        <v>0</v>
      </c>
      <c r="J28" s="14" t="s">
        <v>42</v>
      </c>
      <c r="L28" s="10"/>
      <c r="M28" s="8"/>
    </row>
    <row r="29" spans="2:13">
      <c r="B29" s="104" t="s">
        <v>18</v>
      </c>
      <c r="C29" s="104"/>
      <c r="D29" s="104"/>
      <c r="E29" s="104"/>
      <c r="F29" s="104"/>
      <c r="G29" s="104"/>
      <c r="H29" s="104"/>
      <c r="I29" s="104"/>
      <c r="J29" s="104"/>
      <c r="M29" s="8"/>
    </row>
    <row r="30" spans="2:13" ht="51">
      <c r="B30" s="7" t="s">
        <v>38</v>
      </c>
      <c r="C30" s="12" t="s">
        <v>19</v>
      </c>
      <c r="D30" s="14" t="s">
        <v>65</v>
      </c>
      <c r="E30" s="14" t="s">
        <v>10</v>
      </c>
      <c r="F30" s="6">
        <f>G30+H30+I30</f>
        <v>25572.899999999998</v>
      </c>
      <c r="G30" s="6">
        <v>8524.2999999999993</v>
      </c>
      <c r="H30" s="6">
        <v>8524.2999999999993</v>
      </c>
      <c r="I30" s="6">
        <v>8524.2999999999993</v>
      </c>
      <c r="J30" s="14" t="s">
        <v>70</v>
      </c>
      <c r="M30" s="8"/>
    </row>
    <row r="31" spans="2:13" ht="51">
      <c r="B31" s="14"/>
      <c r="C31" s="12" t="s">
        <v>20</v>
      </c>
      <c r="D31" s="14" t="s">
        <v>65</v>
      </c>
      <c r="E31" s="14"/>
      <c r="F31" s="6">
        <f>G31+H31+I31</f>
        <v>25572.899999999998</v>
      </c>
      <c r="G31" s="6">
        <f>G30</f>
        <v>8524.2999999999993</v>
      </c>
      <c r="H31" s="6">
        <f t="shared" ref="H31:I31" si="4">H30</f>
        <v>8524.2999999999993</v>
      </c>
      <c r="I31" s="6">
        <f t="shared" si="4"/>
        <v>8524.2999999999993</v>
      </c>
      <c r="J31" s="14" t="s">
        <v>70</v>
      </c>
      <c r="M31" s="8"/>
    </row>
    <row r="32" spans="2:13">
      <c r="B32" s="111"/>
      <c r="C32" s="101" t="s">
        <v>21</v>
      </c>
      <c r="D32" s="114"/>
      <c r="E32" s="98" t="s">
        <v>10</v>
      </c>
      <c r="F32" s="6">
        <f>G32+H32+I32</f>
        <v>56481.9</v>
      </c>
      <c r="G32" s="6">
        <f>G33+G34</f>
        <v>19077.7</v>
      </c>
      <c r="H32" s="6">
        <f t="shared" ref="H32" si="5">H33+H34</f>
        <v>18702.099999999999</v>
      </c>
      <c r="I32" s="6">
        <f>I33+I34</f>
        <v>18702.099999999999</v>
      </c>
      <c r="J32" s="14" t="s">
        <v>25</v>
      </c>
      <c r="L32" s="2"/>
      <c r="M32" s="8"/>
    </row>
    <row r="33" spans="2:13" ht="38.25">
      <c r="B33" s="112"/>
      <c r="C33" s="102"/>
      <c r="D33" s="115"/>
      <c r="E33" s="99"/>
      <c r="F33" s="6">
        <f>G33+H33+I33</f>
        <v>55126.6</v>
      </c>
      <c r="G33" s="6">
        <f>G31+G27</f>
        <v>17722.400000000001</v>
      </c>
      <c r="H33" s="6">
        <f>H31+H27</f>
        <v>18702.099999999999</v>
      </c>
      <c r="I33" s="6">
        <f>I31+I27</f>
        <v>18702.099999999999</v>
      </c>
      <c r="J33" s="14" t="s">
        <v>70</v>
      </c>
      <c r="L33" s="2"/>
      <c r="M33" s="8"/>
    </row>
    <row r="34" spans="2:13" ht="25.5">
      <c r="B34" s="113"/>
      <c r="C34" s="103"/>
      <c r="D34" s="116"/>
      <c r="E34" s="100"/>
      <c r="F34" s="6">
        <f>G34+H34+I34</f>
        <v>1355.3000000000002</v>
      </c>
      <c r="G34" s="6">
        <f>G28</f>
        <v>1355.3000000000002</v>
      </c>
      <c r="H34" s="6">
        <f t="shared" ref="H34" si="6">H28</f>
        <v>0</v>
      </c>
      <c r="I34" s="6">
        <f>I28</f>
        <v>0</v>
      </c>
      <c r="J34" s="14" t="s">
        <v>42</v>
      </c>
      <c r="L34" s="2"/>
      <c r="M34" s="8"/>
    </row>
    <row r="35" spans="2:13">
      <c r="B35" s="105" t="s">
        <v>59</v>
      </c>
      <c r="C35" s="106"/>
      <c r="D35" s="106"/>
      <c r="E35" s="106"/>
      <c r="F35" s="106"/>
      <c r="G35" s="106"/>
      <c r="H35" s="106"/>
      <c r="I35" s="106"/>
      <c r="J35" s="107"/>
      <c r="M35" s="8"/>
    </row>
    <row r="36" spans="2:13">
      <c r="B36" s="105" t="s">
        <v>56</v>
      </c>
      <c r="C36" s="106"/>
      <c r="D36" s="106"/>
      <c r="E36" s="106"/>
      <c r="F36" s="106"/>
      <c r="G36" s="106"/>
      <c r="H36" s="106"/>
      <c r="I36" s="106"/>
      <c r="J36" s="107"/>
      <c r="M36" s="8"/>
    </row>
    <row r="37" spans="2:13" ht="38.25">
      <c r="B37" s="14" t="s">
        <v>39</v>
      </c>
      <c r="C37" s="12" t="s">
        <v>57</v>
      </c>
      <c r="D37" s="14" t="s">
        <v>53</v>
      </c>
      <c r="E37" s="14" t="s">
        <v>10</v>
      </c>
      <c r="F37" s="6">
        <f>G37+H37+I37</f>
        <v>50</v>
      </c>
      <c r="G37" s="6">
        <v>50</v>
      </c>
      <c r="H37" s="6">
        <v>0</v>
      </c>
      <c r="I37" s="6">
        <v>0</v>
      </c>
      <c r="J37" s="14" t="s">
        <v>42</v>
      </c>
      <c r="M37" s="8"/>
    </row>
    <row r="38" spans="2:13" ht="38.25">
      <c r="B38" s="13"/>
      <c r="C38" s="12" t="s">
        <v>24</v>
      </c>
      <c r="D38" s="14" t="s">
        <v>53</v>
      </c>
      <c r="E38" s="14" t="s">
        <v>10</v>
      </c>
      <c r="F38" s="6">
        <f>F37</f>
        <v>50</v>
      </c>
      <c r="G38" s="6">
        <f>G37</f>
        <v>50</v>
      </c>
      <c r="H38" s="6">
        <f t="shared" ref="H38:I39" si="7">H37</f>
        <v>0</v>
      </c>
      <c r="I38" s="6">
        <f t="shared" si="7"/>
        <v>0</v>
      </c>
      <c r="J38" s="14" t="s">
        <v>42</v>
      </c>
      <c r="M38" s="8"/>
    </row>
    <row r="39" spans="2:13" ht="38.25">
      <c r="B39" s="13"/>
      <c r="C39" s="12" t="s">
        <v>27</v>
      </c>
      <c r="D39" s="14" t="s">
        <v>53</v>
      </c>
      <c r="E39" s="14" t="s">
        <v>10</v>
      </c>
      <c r="F39" s="6">
        <f>F38</f>
        <v>50</v>
      </c>
      <c r="G39" s="6">
        <f>G38</f>
        <v>50</v>
      </c>
      <c r="H39" s="6">
        <f t="shared" si="7"/>
        <v>0</v>
      </c>
      <c r="I39" s="6">
        <f t="shared" si="7"/>
        <v>0</v>
      </c>
      <c r="J39" s="14" t="s">
        <v>42</v>
      </c>
      <c r="M39" s="8"/>
    </row>
    <row r="40" spans="2:13">
      <c r="B40" s="105" t="s">
        <v>64</v>
      </c>
      <c r="C40" s="106"/>
      <c r="D40" s="106"/>
      <c r="E40" s="106"/>
      <c r="F40" s="106"/>
      <c r="G40" s="106"/>
      <c r="H40" s="106"/>
      <c r="I40" s="106"/>
      <c r="J40" s="107"/>
      <c r="M40" s="8"/>
    </row>
    <row r="41" spans="2:13">
      <c r="B41" s="105" t="s">
        <v>44</v>
      </c>
      <c r="C41" s="106"/>
      <c r="D41" s="106"/>
      <c r="E41" s="106"/>
      <c r="F41" s="106"/>
      <c r="G41" s="106"/>
      <c r="H41" s="106"/>
      <c r="I41" s="106"/>
      <c r="J41" s="107"/>
      <c r="M41" s="8"/>
    </row>
    <row r="42" spans="2:13">
      <c r="B42" s="104" t="s">
        <v>45</v>
      </c>
      <c r="C42" s="104"/>
      <c r="D42" s="104"/>
      <c r="E42" s="104"/>
      <c r="F42" s="104"/>
      <c r="G42" s="104"/>
      <c r="H42" s="104"/>
      <c r="I42" s="104"/>
      <c r="J42" s="104"/>
      <c r="M42" s="8"/>
    </row>
    <row r="43" spans="2:13" ht="38.25">
      <c r="B43" s="7" t="s">
        <v>40</v>
      </c>
      <c r="C43" s="12" t="s">
        <v>75</v>
      </c>
      <c r="D43" s="14" t="s">
        <v>22</v>
      </c>
      <c r="E43" s="14" t="s">
        <v>10</v>
      </c>
      <c r="F43" s="97" t="s">
        <v>16</v>
      </c>
      <c r="G43" s="97"/>
      <c r="H43" s="97"/>
      <c r="I43" s="97"/>
      <c r="J43" s="97"/>
      <c r="M43" s="8"/>
    </row>
    <row r="44" spans="2:13" ht="38.25">
      <c r="B44" s="7" t="s">
        <v>41</v>
      </c>
      <c r="C44" s="12" t="s">
        <v>79</v>
      </c>
      <c r="D44" s="14" t="s">
        <v>22</v>
      </c>
      <c r="E44" s="14" t="s">
        <v>10</v>
      </c>
      <c r="F44" s="6">
        <f>G44+H44+I44</f>
        <v>20</v>
      </c>
      <c r="G44" s="6">
        <v>10</v>
      </c>
      <c r="H44" s="6">
        <v>0</v>
      </c>
      <c r="I44" s="6">
        <v>10</v>
      </c>
      <c r="J44" s="14" t="s">
        <v>70</v>
      </c>
      <c r="M44" s="8"/>
    </row>
    <row r="45" spans="2:13" ht="38.25">
      <c r="B45" s="7" t="s">
        <v>46</v>
      </c>
      <c r="C45" s="12" t="s">
        <v>23</v>
      </c>
      <c r="D45" s="14" t="s">
        <v>22</v>
      </c>
      <c r="E45" s="14" t="s">
        <v>10</v>
      </c>
      <c r="F45" s="6">
        <f t="shared" ref="F45:F46" si="8">G45+H45+I45</f>
        <v>40</v>
      </c>
      <c r="G45" s="6">
        <v>0</v>
      </c>
      <c r="H45" s="6">
        <v>40</v>
      </c>
      <c r="I45" s="6">
        <v>0</v>
      </c>
      <c r="J45" s="14" t="s">
        <v>71</v>
      </c>
      <c r="M45" s="8"/>
    </row>
    <row r="46" spans="2:13" ht="51">
      <c r="B46" s="7" t="s">
        <v>47</v>
      </c>
      <c r="C46" s="12" t="s">
        <v>76</v>
      </c>
      <c r="D46" s="14" t="s">
        <v>22</v>
      </c>
      <c r="E46" s="14" t="s">
        <v>10</v>
      </c>
      <c r="F46" s="6">
        <f t="shared" si="8"/>
        <v>8908.5</v>
      </c>
      <c r="G46" s="6">
        <v>2969.5</v>
      </c>
      <c r="H46" s="6">
        <v>2969.5</v>
      </c>
      <c r="I46" s="6">
        <v>2969.5</v>
      </c>
      <c r="J46" s="14" t="s">
        <v>54</v>
      </c>
      <c r="M46" s="8"/>
    </row>
    <row r="47" spans="2:13">
      <c r="B47" s="97"/>
      <c r="C47" s="101" t="s">
        <v>48</v>
      </c>
      <c r="D47" s="97" t="s">
        <v>22</v>
      </c>
      <c r="E47" s="97" t="s">
        <v>10</v>
      </c>
      <c r="F47" s="6">
        <f>F46+F45+F44</f>
        <v>8968.5</v>
      </c>
      <c r="G47" s="6">
        <f t="shared" ref="G47:I47" si="9">G46+G45+G44</f>
        <v>2979.5</v>
      </c>
      <c r="H47" s="6">
        <f t="shared" si="9"/>
        <v>3009.5</v>
      </c>
      <c r="I47" s="6">
        <f t="shared" si="9"/>
        <v>2979.5</v>
      </c>
      <c r="J47" s="14" t="s">
        <v>25</v>
      </c>
      <c r="L47" s="2"/>
      <c r="M47" s="8"/>
    </row>
    <row r="48" spans="2:13" ht="38.25">
      <c r="B48" s="97"/>
      <c r="C48" s="102"/>
      <c r="D48" s="97"/>
      <c r="E48" s="97"/>
      <c r="F48" s="6">
        <f>F44+F45</f>
        <v>60</v>
      </c>
      <c r="G48" s="6">
        <f t="shared" ref="G48:I48" si="10">G44+G45</f>
        <v>10</v>
      </c>
      <c r="H48" s="6">
        <f t="shared" si="10"/>
        <v>40</v>
      </c>
      <c r="I48" s="6">
        <f t="shared" si="10"/>
        <v>10</v>
      </c>
      <c r="J48" s="14" t="s">
        <v>70</v>
      </c>
      <c r="L48" s="2"/>
      <c r="M48" s="8"/>
    </row>
    <row r="49" spans="2:22" ht="25.5">
      <c r="B49" s="97"/>
      <c r="C49" s="103"/>
      <c r="D49" s="97"/>
      <c r="E49" s="97"/>
      <c r="F49" s="6">
        <f>F46</f>
        <v>8908.5</v>
      </c>
      <c r="G49" s="6">
        <f t="shared" ref="G49:I49" si="11">G46</f>
        <v>2969.5</v>
      </c>
      <c r="H49" s="6">
        <f t="shared" si="11"/>
        <v>2969.5</v>
      </c>
      <c r="I49" s="6">
        <f t="shared" si="11"/>
        <v>2969.5</v>
      </c>
      <c r="J49" s="14" t="s">
        <v>54</v>
      </c>
      <c r="L49" s="2"/>
      <c r="M49" s="8"/>
    </row>
    <row r="50" spans="2:22" ht="28.5" customHeight="1">
      <c r="B50" s="104" t="s">
        <v>49</v>
      </c>
      <c r="C50" s="104"/>
      <c r="D50" s="104"/>
      <c r="E50" s="104"/>
      <c r="F50" s="104"/>
      <c r="G50" s="104"/>
      <c r="H50" s="104"/>
      <c r="I50" s="104"/>
      <c r="J50" s="104"/>
      <c r="M50" s="8"/>
    </row>
    <row r="51" spans="2:22" ht="31.5" customHeight="1">
      <c r="B51" s="7" t="s">
        <v>50</v>
      </c>
      <c r="C51" s="12" t="s">
        <v>77</v>
      </c>
      <c r="D51" s="14" t="s">
        <v>22</v>
      </c>
      <c r="E51" s="14" t="s">
        <v>10</v>
      </c>
      <c r="F51" s="97" t="s">
        <v>16</v>
      </c>
      <c r="G51" s="97"/>
      <c r="H51" s="97"/>
      <c r="I51" s="97"/>
      <c r="J51" s="97"/>
      <c r="M51" s="8"/>
    </row>
    <row r="52" spans="2:22" ht="51">
      <c r="B52" s="7" t="s">
        <v>51</v>
      </c>
      <c r="C52" s="12" t="s">
        <v>26</v>
      </c>
      <c r="D52" s="14" t="s">
        <v>22</v>
      </c>
      <c r="E52" s="14" t="s">
        <v>10</v>
      </c>
      <c r="F52" s="97" t="s">
        <v>16</v>
      </c>
      <c r="G52" s="97"/>
      <c r="H52" s="97"/>
      <c r="I52" s="97"/>
      <c r="J52" s="97"/>
      <c r="M52" s="8"/>
    </row>
    <row r="53" spans="2:22" ht="15.75" customHeight="1">
      <c r="B53" s="117"/>
      <c r="C53" s="104" t="s">
        <v>52</v>
      </c>
      <c r="D53" s="97" t="s">
        <v>22</v>
      </c>
      <c r="E53" s="97" t="s">
        <v>10</v>
      </c>
      <c r="F53" s="6">
        <f>F47</f>
        <v>8968.5</v>
      </c>
      <c r="G53" s="6">
        <f t="shared" ref="G53:I53" si="12">G47</f>
        <v>2979.5</v>
      </c>
      <c r="H53" s="6">
        <f t="shared" si="12"/>
        <v>3009.5</v>
      </c>
      <c r="I53" s="6">
        <f t="shared" si="12"/>
        <v>2979.5</v>
      </c>
      <c r="J53" s="14" t="s">
        <v>25</v>
      </c>
      <c r="M53" s="8"/>
    </row>
    <row r="54" spans="2:22" ht="42" customHeight="1">
      <c r="B54" s="117"/>
      <c r="C54" s="104"/>
      <c r="D54" s="97"/>
      <c r="E54" s="97"/>
      <c r="F54" s="6">
        <f t="shared" ref="F54:I55" si="13">F48</f>
        <v>60</v>
      </c>
      <c r="G54" s="6">
        <f t="shared" si="13"/>
        <v>10</v>
      </c>
      <c r="H54" s="6">
        <f t="shared" si="13"/>
        <v>40</v>
      </c>
      <c r="I54" s="6">
        <f t="shared" si="13"/>
        <v>10</v>
      </c>
      <c r="J54" s="14" t="s">
        <v>70</v>
      </c>
      <c r="M54" s="8"/>
    </row>
    <row r="55" spans="2:22" ht="25.5">
      <c r="B55" s="117"/>
      <c r="C55" s="104"/>
      <c r="D55" s="97"/>
      <c r="E55" s="97"/>
      <c r="F55" s="6">
        <f t="shared" si="13"/>
        <v>8908.5</v>
      </c>
      <c r="G55" s="6">
        <f t="shared" si="13"/>
        <v>2969.5</v>
      </c>
      <c r="H55" s="6">
        <f t="shared" si="13"/>
        <v>2969.5</v>
      </c>
      <c r="I55" s="6">
        <f t="shared" si="13"/>
        <v>2969.5</v>
      </c>
      <c r="J55" s="14" t="s">
        <v>54</v>
      </c>
      <c r="M55" s="8"/>
    </row>
    <row r="56" spans="2:22" ht="34.5" customHeight="1">
      <c r="B56" s="118"/>
      <c r="C56" s="104" t="s">
        <v>55</v>
      </c>
      <c r="D56" s="117"/>
      <c r="E56" s="97" t="s">
        <v>10</v>
      </c>
      <c r="F56" s="6">
        <f>F32+F39+F53</f>
        <v>65500.4</v>
      </c>
      <c r="G56" s="6">
        <f>G32+G39+G53</f>
        <v>22107.200000000001</v>
      </c>
      <c r="H56" s="6">
        <f>H32+H39+H53</f>
        <v>21711.599999999999</v>
      </c>
      <c r="I56" s="6">
        <f>I32+I39+I53</f>
        <v>21681.599999999999</v>
      </c>
      <c r="J56" s="14" t="s">
        <v>25</v>
      </c>
      <c r="S56" s="11"/>
      <c r="T56" s="11"/>
      <c r="U56" s="11"/>
      <c r="V56" s="11"/>
    </row>
    <row r="57" spans="2:22" ht="44.25" customHeight="1">
      <c r="B57" s="118"/>
      <c r="C57" s="104"/>
      <c r="D57" s="117"/>
      <c r="E57" s="97"/>
      <c r="F57" s="6">
        <f>F33+F54</f>
        <v>55186.6</v>
      </c>
      <c r="G57" s="6">
        <f>G33+G54</f>
        <v>17732.400000000001</v>
      </c>
      <c r="H57" s="6">
        <f>H33+H54</f>
        <v>18742.099999999999</v>
      </c>
      <c r="I57" s="6">
        <f>I33+I54</f>
        <v>18712.099999999999</v>
      </c>
      <c r="J57" s="14" t="s">
        <v>70</v>
      </c>
      <c r="S57" s="11"/>
      <c r="T57" s="11"/>
      <c r="U57" s="11"/>
      <c r="V57" s="11"/>
    </row>
    <row r="58" spans="2:22" ht="31.5" customHeight="1">
      <c r="B58" s="118"/>
      <c r="C58" s="104"/>
      <c r="D58" s="117"/>
      <c r="E58" s="97"/>
      <c r="F58" s="6">
        <f>F34+F39+F55</f>
        <v>10313.799999999999</v>
      </c>
      <c r="G58" s="6">
        <f>G34+G39+G55</f>
        <v>4374.8</v>
      </c>
      <c r="H58" s="6">
        <f>H34+H39+H55</f>
        <v>2969.5</v>
      </c>
      <c r="I58" s="6">
        <f>I34+I39+I55</f>
        <v>2969.5</v>
      </c>
      <c r="J58" s="14" t="s">
        <v>54</v>
      </c>
      <c r="S58" s="11"/>
      <c r="T58" s="11"/>
      <c r="U58" s="11"/>
      <c r="V58" s="11"/>
    </row>
    <row r="59" spans="2:22" ht="13.5" customHeight="1">
      <c r="B59" s="15"/>
      <c r="C59" s="12" t="s">
        <v>67</v>
      </c>
      <c r="D59" s="15"/>
      <c r="E59" s="15"/>
      <c r="F59" s="3"/>
      <c r="G59" s="3"/>
      <c r="H59" s="3"/>
      <c r="I59" s="3"/>
      <c r="J59" s="15"/>
      <c r="M59" s="8"/>
    </row>
    <row r="60" spans="2:22">
      <c r="B60" s="117"/>
      <c r="C60" s="104" t="s">
        <v>28</v>
      </c>
      <c r="D60" s="117"/>
      <c r="E60" s="97" t="s">
        <v>10</v>
      </c>
      <c r="F60" s="6">
        <f>F47</f>
        <v>8968.5</v>
      </c>
      <c r="G60" s="6">
        <f t="shared" ref="G60:H60" si="14">G47</f>
        <v>2979.5</v>
      </c>
      <c r="H60" s="6">
        <f t="shared" si="14"/>
        <v>3009.5</v>
      </c>
      <c r="I60" s="6">
        <f>I47</f>
        <v>2979.5</v>
      </c>
      <c r="J60" s="14" t="s">
        <v>25</v>
      </c>
      <c r="M60" s="8"/>
    </row>
    <row r="61" spans="2:22" ht="38.25">
      <c r="B61" s="117"/>
      <c r="C61" s="104"/>
      <c r="D61" s="117"/>
      <c r="E61" s="97"/>
      <c r="F61" s="6">
        <f t="shared" ref="F61:I62" si="15">F48</f>
        <v>60</v>
      </c>
      <c r="G61" s="6">
        <f t="shared" si="15"/>
        <v>10</v>
      </c>
      <c r="H61" s="6">
        <f t="shared" si="15"/>
        <v>40</v>
      </c>
      <c r="I61" s="6">
        <f t="shared" si="15"/>
        <v>10</v>
      </c>
      <c r="J61" s="14" t="s">
        <v>70</v>
      </c>
      <c r="M61" s="8"/>
    </row>
    <row r="62" spans="2:22" ht="25.5">
      <c r="B62" s="117"/>
      <c r="C62" s="104"/>
      <c r="D62" s="117"/>
      <c r="E62" s="97"/>
      <c r="F62" s="6">
        <f t="shared" si="15"/>
        <v>8908.5</v>
      </c>
      <c r="G62" s="6">
        <f t="shared" si="15"/>
        <v>2969.5</v>
      </c>
      <c r="H62" s="6">
        <f t="shared" si="15"/>
        <v>2969.5</v>
      </c>
      <c r="I62" s="6">
        <f>I49</f>
        <v>2969.5</v>
      </c>
      <c r="J62" s="14" t="s">
        <v>54</v>
      </c>
      <c r="M62" s="8"/>
    </row>
    <row r="63" spans="2:22">
      <c r="B63" s="114"/>
      <c r="C63" s="101" t="s">
        <v>61</v>
      </c>
      <c r="D63" s="114"/>
      <c r="E63" s="98" t="s">
        <v>10</v>
      </c>
      <c r="F63" s="6">
        <f>F26</f>
        <v>30909.000000000007</v>
      </c>
      <c r="G63" s="6">
        <f t="shared" ref="G63:I63" si="16">G26</f>
        <v>10553.400000000001</v>
      </c>
      <c r="H63" s="6">
        <f t="shared" si="16"/>
        <v>10177.800000000001</v>
      </c>
      <c r="I63" s="6">
        <f t="shared" si="16"/>
        <v>10177.800000000001</v>
      </c>
      <c r="J63" s="14" t="s">
        <v>25</v>
      </c>
      <c r="M63" s="8"/>
    </row>
    <row r="64" spans="2:22" ht="38.25">
      <c r="B64" s="115"/>
      <c r="C64" s="102"/>
      <c r="D64" s="115"/>
      <c r="E64" s="99"/>
      <c r="F64" s="6">
        <f t="shared" ref="F64:I65" si="17">F27</f>
        <v>29553.700000000004</v>
      </c>
      <c r="G64" s="6">
        <f t="shared" si="17"/>
        <v>9198.1</v>
      </c>
      <c r="H64" s="6">
        <f t="shared" si="17"/>
        <v>10177.800000000001</v>
      </c>
      <c r="I64" s="6">
        <f t="shared" si="17"/>
        <v>10177.800000000001</v>
      </c>
      <c r="J64" s="14" t="s">
        <v>70</v>
      </c>
      <c r="M64" s="8"/>
    </row>
    <row r="65" spans="2:13" ht="25.5">
      <c r="B65" s="116"/>
      <c r="C65" s="103"/>
      <c r="D65" s="116"/>
      <c r="E65" s="100"/>
      <c r="F65" s="6">
        <f t="shared" si="17"/>
        <v>1355.3000000000002</v>
      </c>
      <c r="G65" s="6">
        <f t="shared" si="17"/>
        <v>1355.3000000000002</v>
      </c>
      <c r="H65" s="6">
        <f t="shared" si="17"/>
        <v>0</v>
      </c>
      <c r="I65" s="6">
        <f t="shared" si="17"/>
        <v>0</v>
      </c>
      <c r="J65" s="14" t="s">
        <v>54</v>
      </c>
      <c r="M65" s="8"/>
    </row>
    <row r="66" spans="2:13" ht="38.25">
      <c r="B66" s="13"/>
      <c r="C66" s="12" t="s">
        <v>66</v>
      </c>
      <c r="D66" s="13"/>
      <c r="E66" s="14" t="s">
        <v>10</v>
      </c>
      <c r="F66" s="6">
        <f>F30</f>
        <v>25572.899999999998</v>
      </c>
      <c r="G66" s="6">
        <f t="shared" ref="G66:I66" si="18">G30</f>
        <v>8524.2999999999993</v>
      </c>
      <c r="H66" s="6">
        <f t="shared" si="18"/>
        <v>8524.2999999999993</v>
      </c>
      <c r="I66" s="6">
        <f t="shared" si="18"/>
        <v>8524.2999999999993</v>
      </c>
      <c r="J66" s="14" t="s">
        <v>70</v>
      </c>
      <c r="M66" s="8"/>
    </row>
    <row r="67" spans="2:13" ht="25.5">
      <c r="B67" s="13"/>
      <c r="C67" s="12" t="s">
        <v>62</v>
      </c>
      <c r="D67" s="13"/>
      <c r="E67" s="14" t="s">
        <v>10</v>
      </c>
      <c r="F67" s="6">
        <f t="shared" ref="F67:H67" si="19">F39</f>
        <v>50</v>
      </c>
      <c r="G67" s="6">
        <f t="shared" si="19"/>
        <v>50</v>
      </c>
      <c r="H67" s="6">
        <f t="shared" si="19"/>
        <v>0</v>
      </c>
      <c r="I67" s="6">
        <f>I39</f>
        <v>0</v>
      </c>
      <c r="J67" s="14" t="s">
        <v>54</v>
      </c>
      <c r="M67" s="8"/>
    </row>
  </sheetData>
  <mergeCells count="59">
    <mergeCell ref="B63:B65"/>
    <mergeCell ref="C63:C65"/>
    <mergeCell ref="D63:D65"/>
    <mergeCell ref="E63:E65"/>
    <mergeCell ref="B56:B58"/>
    <mergeCell ref="C56:C58"/>
    <mergeCell ref="D56:D58"/>
    <mergeCell ref="E56:E58"/>
    <mergeCell ref="B60:B62"/>
    <mergeCell ref="C60:C62"/>
    <mergeCell ref="D60:D62"/>
    <mergeCell ref="E60:E62"/>
    <mergeCell ref="B50:J50"/>
    <mergeCell ref="F51:J51"/>
    <mergeCell ref="F52:J52"/>
    <mergeCell ref="B53:B55"/>
    <mergeCell ref="C53:C55"/>
    <mergeCell ref="D53:D55"/>
    <mergeCell ref="E53:E55"/>
    <mergeCell ref="B47:B49"/>
    <mergeCell ref="C47:C49"/>
    <mergeCell ref="D47:D49"/>
    <mergeCell ref="E47:E49"/>
    <mergeCell ref="B29:J29"/>
    <mergeCell ref="B32:B34"/>
    <mergeCell ref="C32:C34"/>
    <mergeCell ref="D32:D34"/>
    <mergeCell ref="E32:E34"/>
    <mergeCell ref="B35:J35"/>
    <mergeCell ref="B36:J36"/>
    <mergeCell ref="B40:J40"/>
    <mergeCell ref="B41:J41"/>
    <mergeCell ref="B42:J42"/>
    <mergeCell ref="F43:J43"/>
    <mergeCell ref="B26:B28"/>
    <mergeCell ref="C26:C28"/>
    <mergeCell ref="D26:D28"/>
    <mergeCell ref="E26:E28"/>
    <mergeCell ref="B12:J12"/>
    <mergeCell ref="B13:J13"/>
    <mergeCell ref="B14:J14"/>
    <mergeCell ref="B15:B17"/>
    <mergeCell ref="C15:C17"/>
    <mergeCell ref="D15:D17"/>
    <mergeCell ref="E15:E17"/>
    <mergeCell ref="B19:B21"/>
    <mergeCell ref="C19:C21"/>
    <mergeCell ref="D19:D21"/>
    <mergeCell ref="E19:E21"/>
    <mergeCell ref="F25:J25"/>
    <mergeCell ref="B6:J6"/>
    <mergeCell ref="B8:B10"/>
    <mergeCell ref="C8:C10"/>
    <mergeCell ref="D8:D10"/>
    <mergeCell ref="E8:E10"/>
    <mergeCell ref="F8:I8"/>
    <mergeCell ref="J8:J10"/>
    <mergeCell ref="F9:F10"/>
    <mergeCell ref="G9:I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R72"/>
  <sheetViews>
    <sheetView topLeftCell="A56" workbookViewId="0">
      <selection activeCell="N75" sqref="N75"/>
    </sheetView>
  </sheetViews>
  <sheetFormatPr defaultRowHeight="12.75"/>
  <cols>
    <col min="1" max="1" width="0.42578125" style="1" customWidth="1"/>
    <col min="2" max="2" width="3.7109375" style="1" customWidth="1"/>
    <col min="3" max="3" width="73.28515625" style="1" customWidth="1"/>
    <col min="4" max="4" width="28.42578125" style="1" customWidth="1"/>
    <col min="5" max="5" width="10.42578125" style="1" customWidth="1"/>
    <col min="6" max="6" width="10.28515625" style="1" customWidth="1"/>
    <col min="7" max="9" width="10.7109375" style="1" customWidth="1"/>
    <col min="10" max="10" width="23.42578125" style="1" customWidth="1"/>
    <col min="11" max="11" width="9.140625" style="1"/>
    <col min="12" max="12" width="4.5703125" style="1" customWidth="1"/>
    <col min="13" max="16384" width="9.140625" style="1"/>
  </cols>
  <sheetData>
    <row r="1" spans="2:18" s="4" customFormat="1" ht="15">
      <c r="J1" s="9" t="s">
        <v>73</v>
      </c>
    </row>
    <row r="2" spans="2:18" s="4" customFormat="1" ht="15">
      <c r="J2" s="9" t="s">
        <v>68</v>
      </c>
    </row>
    <row r="3" spans="2:18" s="4" customFormat="1" ht="15">
      <c r="J3" s="9" t="s">
        <v>69</v>
      </c>
    </row>
    <row r="4" spans="2:18" s="4" customFormat="1" ht="15.75">
      <c r="J4" s="5"/>
    </row>
    <row r="5" spans="2:18" s="4" customFormat="1" ht="15.75">
      <c r="J5" s="5"/>
    </row>
    <row r="6" spans="2:18" s="4" customFormat="1" ht="16.5">
      <c r="B6" s="96" t="s">
        <v>60</v>
      </c>
      <c r="C6" s="96"/>
      <c r="D6" s="96"/>
      <c r="E6" s="96"/>
      <c r="F6" s="96"/>
      <c r="G6" s="96"/>
      <c r="H6" s="96"/>
      <c r="I6" s="96"/>
      <c r="J6" s="96"/>
    </row>
    <row r="7" spans="2:18" s="4" customFormat="1"/>
    <row r="8" spans="2:18" s="4" customFormat="1">
      <c r="B8" s="97" t="s">
        <v>29</v>
      </c>
      <c r="C8" s="97" t="s">
        <v>0</v>
      </c>
      <c r="D8" s="97" t="s">
        <v>72</v>
      </c>
      <c r="E8" s="97" t="s">
        <v>1</v>
      </c>
      <c r="F8" s="97" t="s">
        <v>30</v>
      </c>
      <c r="G8" s="97"/>
      <c r="H8" s="97"/>
      <c r="I8" s="97"/>
      <c r="J8" s="97" t="s">
        <v>2</v>
      </c>
    </row>
    <row r="9" spans="2:18" s="4" customFormat="1">
      <c r="B9" s="97"/>
      <c r="C9" s="97"/>
      <c r="D9" s="97"/>
      <c r="E9" s="97"/>
      <c r="F9" s="97" t="s">
        <v>3</v>
      </c>
      <c r="G9" s="97" t="s">
        <v>4</v>
      </c>
      <c r="H9" s="97"/>
      <c r="I9" s="97"/>
      <c r="J9" s="97"/>
    </row>
    <row r="10" spans="2:18" s="4" customFormat="1" ht="15.75" customHeight="1">
      <c r="B10" s="97"/>
      <c r="C10" s="97"/>
      <c r="D10" s="97"/>
      <c r="E10" s="97"/>
      <c r="F10" s="97"/>
      <c r="G10" s="14" t="s">
        <v>5</v>
      </c>
      <c r="H10" s="14" t="s">
        <v>6</v>
      </c>
      <c r="I10" s="14" t="s">
        <v>7</v>
      </c>
      <c r="J10" s="97"/>
    </row>
    <row r="11" spans="2:18" s="4" customFormat="1">
      <c r="B11" s="14">
        <v>1</v>
      </c>
      <c r="C11" s="14">
        <v>2</v>
      </c>
      <c r="D11" s="14">
        <v>3</v>
      </c>
      <c r="E11" s="14">
        <v>4</v>
      </c>
      <c r="F11" s="14">
        <v>5</v>
      </c>
      <c r="G11" s="14">
        <v>6</v>
      </c>
      <c r="H11" s="14">
        <v>7</v>
      </c>
      <c r="I11" s="14">
        <v>8</v>
      </c>
      <c r="J11" s="14">
        <v>9</v>
      </c>
    </row>
    <row r="12" spans="2:18" s="4" customFormat="1" ht="21.75" customHeight="1">
      <c r="B12" s="104" t="s">
        <v>63</v>
      </c>
      <c r="C12" s="104"/>
      <c r="D12" s="104"/>
      <c r="E12" s="104"/>
      <c r="F12" s="104"/>
      <c r="G12" s="104"/>
      <c r="H12" s="104"/>
      <c r="I12" s="104"/>
      <c r="J12" s="104"/>
    </row>
    <row r="13" spans="2:18" s="4" customFormat="1" ht="24.75" customHeight="1">
      <c r="B13" s="104" t="s">
        <v>58</v>
      </c>
      <c r="C13" s="104"/>
      <c r="D13" s="104"/>
      <c r="E13" s="104"/>
      <c r="F13" s="104"/>
      <c r="G13" s="104"/>
      <c r="H13" s="104"/>
      <c r="I13" s="104"/>
      <c r="J13" s="104"/>
    </row>
    <row r="14" spans="2:18" s="4" customFormat="1" ht="25.5" customHeight="1">
      <c r="B14" s="105" t="s">
        <v>8</v>
      </c>
      <c r="C14" s="106"/>
      <c r="D14" s="106"/>
      <c r="E14" s="106"/>
      <c r="F14" s="106"/>
      <c r="G14" s="106"/>
      <c r="H14" s="106"/>
      <c r="I14" s="106"/>
      <c r="J14" s="107"/>
    </row>
    <row r="15" spans="2:18" s="4" customFormat="1" ht="12.75" customHeight="1">
      <c r="B15" s="108" t="s">
        <v>31</v>
      </c>
      <c r="C15" s="101" t="s">
        <v>9</v>
      </c>
      <c r="D15" s="98" t="s">
        <v>43</v>
      </c>
      <c r="E15" s="98" t="s">
        <v>10</v>
      </c>
      <c r="F15" s="6">
        <f>F16+F17</f>
        <v>25251.299999999996</v>
      </c>
      <c r="G15" s="16">
        <f>G16+G17</f>
        <v>9430.1</v>
      </c>
      <c r="H15" s="6">
        <f t="shared" ref="H15" si="0">H16+H17</f>
        <v>7910.6</v>
      </c>
      <c r="I15" s="6">
        <f>I16+I17</f>
        <v>7910.6</v>
      </c>
      <c r="J15" s="14" t="s">
        <v>25</v>
      </c>
      <c r="L15" s="108" t="s">
        <v>31</v>
      </c>
      <c r="M15" s="6">
        <f>M16+M17</f>
        <v>23731.8</v>
      </c>
      <c r="N15" s="17">
        <f>N16+N17</f>
        <v>7910.6</v>
      </c>
      <c r="O15" s="6">
        <f t="shared" ref="O15" si="1">O16+O17</f>
        <v>7910.6</v>
      </c>
      <c r="P15" s="6">
        <f>P16+P17</f>
        <v>7910.6</v>
      </c>
      <c r="Q15" s="8">
        <f t="shared" ref="Q15:Q24" si="2">F15-M15</f>
        <v>1519.4999999999964</v>
      </c>
      <c r="R15" s="8">
        <f t="shared" ref="R15:R24" si="3">G15-N15</f>
        <v>1519.5</v>
      </c>
    </row>
    <row r="16" spans="2:18" s="4" customFormat="1" ht="38.25">
      <c r="B16" s="109"/>
      <c r="C16" s="102"/>
      <c r="D16" s="99"/>
      <c r="E16" s="99"/>
      <c r="F16" s="6">
        <f>G16+H16+I16</f>
        <v>24528.699999999997</v>
      </c>
      <c r="G16" s="16">
        <v>8707.5</v>
      </c>
      <c r="H16" s="6">
        <v>7910.6</v>
      </c>
      <c r="I16" s="6">
        <v>7910.6</v>
      </c>
      <c r="J16" s="14" t="s">
        <v>70</v>
      </c>
      <c r="L16" s="109"/>
      <c r="M16" s="6">
        <f>N16+O16+P16</f>
        <v>23002.7</v>
      </c>
      <c r="N16" s="17">
        <f>7910.6-729.1</f>
        <v>7181.5</v>
      </c>
      <c r="O16" s="6">
        <v>7910.6</v>
      </c>
      <c r="P16" s="6">
        <v>7910.6</v>
      </c>
      <c r="Q16" s="8">
        <f t="shared" si="2"/>
        <v>1525.9999999999964</v>
      </c>
      <c r="R16" s="8">
        <f t="shared" si="3"/>
        <v>1526</v>
      </c>
    </row>
    <row r="17" spans="2:18" s="4" customFormat="1" ht="25.5">
      <c r="B17" s="110"/>
      <c r="C17" s="103"/>
      <c r="D17" s="100"/>
      <c r="E17" s="100"/>
      <c r="F17" s="6">
        <f>G17+H17+I17</f>
        <v>722.6</v>
      </c>
      <c r="G17" s="16">
        <v>722.6</v>
      </c>
      <c r="H17" s="6">
        <v>0</v>
      </c>
      <c r="I17" s="6">
        <v>0</v>
      </c>
      <c r="J17" s="14" t="s">
        <v>42</v>
      </c>
      <c r="L17" s="110"/>
      <c r="M17" s="6">
        <f>N17+O17+P17</f>
        <v>729.1</v>
      </c>
      <c r="N17" s="17">
        <v>729.1</v>
      </c>
      <c r="O17" s="6">
        <v>0</v>
      </c>
      <c r="P17" s="6">
        <v>0</v>
      </c>
      <c r="Q17" s="8">
        <f t="shared" si="2"/>
        <v>-6.5</v>
      </c>
      <c r="R17" s="8">
        <f t="shared" si="3"/>
        <v>-6.5</v>
      </c>
    </row>
    <row r="18" spans="2:18" s="4" customFormat="1" ht="42.95" customHeight="1">
      <c r="B18" s="7" t="s">
        <v>32</v>
      </c>
      <c r="C18" s="12" t="s">
        <v>11</v>
      </c>
      <c r="D18" s="14" t="s">
        <v>43</v>
      </c>
      <c r="E18" s="14" t="s">
        <v>10</v>
      </c>
      <c r="F18" s="6">
        <f t="shared" ref="F18:F24" si="4">G18+H18+I18</f>
        <v>819.00000000000011</v>
      </c>
      <c r="G18" s="16">
        <v>305.8</v>
      </c>
      <c r="H18" s="6">
        <v>256.60000000000002</v>
      </c>
      <c r="I18" s="6">
        <v>256.60000000000002</v>
      </c>
      <c r="J18" s="14" t="s">
        <v>70</v>
      </c>
      <c r="L18" s="7" t="s">
        <v>32</v>
      </c>
      <c r="M18" s="6">
        <f t="shared" ref="M18" si="5">N18+O18+P18</f>
        <v>769.80000000000007</v>
      </c>
      <c r="N18" s="17">
        <v>256.60000000000002</v>
      </c>
      <c r="O18" s="6">
        <v>256.60000000000002</v>
      </c>
      <c r="P18" s="6">
        <v>256.60000000000002</v>
      </c>
      <c r="Q18" s="8">
        <f t="shared" si="2"/>
        <v>49.200000000000045</v>
      </c>
      <c r="R18" s="8">
        <f t="shared" si="3"/>
        <v>49.199999999999989</v>
      </c>
    </row>
    <row r="19" spans="2:18" s="4" customFormat="1" ht="12.75" customHeight="1">
      <c r="B19" s="108" t="s">
        <v>33</v>
      </c>
      <c r="C19" s="101" t="s">
        <v>12</v>
      </c>
      <c r="D19" s="98" t="s">
        <v>43</v>
      </c>
      <c r="E19" s="98" t="s">
        <v>10</v>
      </c>
      <c r="F19" s="6">
        <f>G19+H19+I19</f>
        <v>2098.8000000000002</v>
      </c>
      <c r="G19" s="16">
        <f>G20+G21</f>
        <v>699.6</v>
      </c>
      <c r="H19" s="6">
        <f>H20+H21</f>
        <v>699.6</v>
      </c>
      <c r="I19" s="6">
        <f>I20+I21</f>
        <v>699.6</v>
      </c>
      <c r="J19" s="14" t="s">
        <v>25</v>
      </c>
      <c r="L19" s="108" t="s">
        <v>33</v>
      </c>
      <c r="M19" s="6">
        <f>N19+O19+P19</f>
        <v>2191.1999999999998</v>
      </c>
      <c r="N19" s="17">
        <f>N20+N21</f>
        <v>792</v>
      </c>
      <c r="O19" s="6">
        <f>O20+O21</f>
        <v>699.6</v>
      </c>
      <c r="P19" s="6">
        <f>P20+P21</f>
        <v>699.6</v>
      </c>
      <c r="Q19" s="8">
        <f t="shared" si="2"/>
        <v>-92.399999999999636</v>
      </c>
      <c r="R19" s="8">
        <f t="shared" si="3"/>
        <v>-92.399999999999977</v>
      </c>
    </row>
    <row r="20" spans="2:18" s="4" customFormat="1" ht="38.25">
      <c r="B20" s="109"/>
      <c r="C20" s="102"/>
      <c r="D20" s="99"/>
      <c r="E20" s="99"/>
      <c r="F20" s="6">
        <f>G20+H20+I20</f>
        <v>1466.1</v>
      </c>
      <c r="G20" s="16">
        <v>66.900000000000006</v>
      </c>
      <c r="H20" s="6">
        <v>699.6</v>
      </c>
      <c r="I20" s="6">
        <v>699.6</v>
      </c>
      <c r="J20" s="14" t="s">
        <v>70</v>
      </c>
      <c r="K20" s="8"/>
      <c r="L20" s="109"/>
      <c r="M20" s="6">
        <f>N20+O20+P20</f>
        <v>1565</v>
      </c>
      <c r="N20" s="17">
        <f>699.6-N21+92.4</f>
        <v>165.79999999999998</v>
      </c>
      <c r="O20" s="6">
        <v>699.6</v>
      </c>
      <c r="P20" s="6">
        <v>699.6</v>
      </c>
      <c r="Q20" s="8">
        <f t="shared" si="2"/>
        <v>-98.900000000000091</v>
      </c>
      <c r="R20" s="8">
        <f t="shared" si="3"/>
        <v>-98.899999999999977</v>
      </c>
    </row>
    <row r="21" spans="2:18" s="4" customFormat="1" ht="63.75">
      <c r="B21" s="110"/>
      <c r="C21" s="103"/>
      <c r="D21" s="100"/>
      <c r="E21" s="100"/>
      <c r="F21" s="6">
        <f>G21+H21+I21</f>
        <v>632.70000000000005</v>
      </c>
      <c r="G21" s="16">
        <v>632.70000000000005</v>
      </c>
      <c r="H21" s="6">
        <v>0</v>
      </c>
      <c r="I21" s="6">
        <v>0</v>
      </c>
      <c r="J21" s="14" t="s">
        <v>78</v>
      </c>
      <c r="L21" s="110"/>
      <c r="M21" s="6">
        <f>N21+O21+P21</f>
        <v>626.20000000000005</v>
      </c>
      <c r="N21" s="17">
        <v>626.20000000000005</v>
      </c>
      <c r="O21" s="6">
        <v>0</v>
      </c>
      <c r="P21" s="6">
        <v>0</v>
      </c>
      <c r="Q21" s="8">
        <f t="shared" si="2"/>
        <v>6.5</v>
      </c>
      <c r="R21" s="8">
        <f t="shared" si="3"/>
        <v>6.5</v>
      </c>
    </row>
    <row r="22" spans="2:18" s="4" customFormat="1" ht="42.95" customHeight="1">
      <c r="B22" s="7" t="s">
        <v>34</v>
      </c>
      <c r="C22" s="12" t="s">
        <v>74</v>
      </c>
      <c r="D22" s="14" t="s">
        <v>43</v>
      </c>
      <c r="E22" s="14" t="s">
        <v>10</v>
      </c>
      <c r="F22" s="6">
        <f t="shared" si="4"/>
        <v>948.9</v>
      </c>
      <c r="G22" s="6">
        <v>505.1</v>
      </c>
      <c r="H22" s="6">
        <v>221.9</v>
      </c>
      <c r="I22" s="6">
        <v>221.9</v>
      </c>
      <c r="J22" s="14" t="s">
        <v>70</v>
      </c>
      <c r="L22" s="7" t="s">
        <v>34</v>
      </c>
      <c r="M22" s="6">
        <f t="shared" ref="M22:M24" si="6">N22+O22+P22</f>
        <v>948.9</v>
      </c>
      <c r="N22" s="6">
        <v>505.1</v>
      </c>
      <c r="O22" s="6">
        <v>221.9</v>
      </c>
      <c r="P22" s="6">
        <v>221.9</v>
      </c>
      <c r="Q22" s="8">
        <f t="shared" si="2"/>
        <v>0</v>
      </c>
      <c r="R22" s="8">
        <f t="shared" si="3"/>
        <v>0</v>
      </c>
    </row>
    <row r="23" spans="2:18" s="4" customFormat="1" ht="42.95" customHeight="1">
      <c r="B23" s="7" t="s">
        <v>35</v>
      </c>
      <c r="C23" s="12" t="s">
        <v>13</v>
      </c>
      <c r="D23" s="14" t="s">
        <v>43</v>
      </c>
      <c r="E23" s="14" t="s">
        <v>10</v>
      </c>
      <c r="F23" s="6">
        <f t="shared" si="4"/>
        <v>3162.2999999999997</v>
      </c>
      <c r="G23" s="6">
        <v>1054.0999999999999</v>
      </c>
      <c r="H23" s="6">
        <v>1054.0999999999999</v>
      </c>
      <c r="I23" s="6">
        <v>1054.0999999999999</v>
      </c>
      <c r="J23" s="14" t="s">
        <v>70</v>
      </c>
      <c r="L23" s="7" t="s">
        <v>35</v>
      </c>
      <c r="M23" s="6">
        <f t="shared" si="6"/>
        <v>3162.2999999999997</v>
      </c>
      <c r="N23" s="6">
        <v>1054.0999999999999</v>
      </c>
      <c r="O23" s="6">
        <v>1054.0999999999999</v>
      </c>
      <c r="P23" s="6">
        <v>1054.0999999999999</v>
      </c>
      <c r="Q23" s="8">
        <f t="shared" si="2"/>
        <v>0</v>
      </c>
      <c r="R23" s="8">
        <f t="shared" si="3"/>
        <v>0</v>
      </c>
    </row>
    <row r="24" spans="2:18" s="4" customFormat="1" ht="42.95" customHeight="1">
      <c r="B24" s="7" t="s">
        <v>36</v>
      </c>
      <c r="C24" s="12" t="s">
        <v>14</v>
      </c>
      <c r="D24" s="14" t="s">
        <v>43</v>
      </c>
      <c r="E24" s="14" t="s">
        <v>10</v>
      </c>
      <c r="F24" s="6">
        <f t="shared" si="4"/>
        <v>105</v>
      </c>
      <c r="G24" s="6">
        <v>35</v>
      </c>
      <c r="H24" s="6">
        <v>35</v>
      </c>
      <c r="I24" s="6">
        <v>35</v>
      </c>
      <c r="J24" s="14" t="s">
        <v>70</v>
      </c>
      <c r="L24" s="7" t="s">
        <v>36</v>
      </c>
      <c r="M24" s="6">
        <f t="shared" si="6"/>
        <v>105</v>
      </c>
      <c r="N24" s="6">
        <v>35</v>
      </c>
      <c r="O24" s="6">
        <v>35</v>
      </c>
      <c r="P24" s="6">
        <v>35</v>
      </c>
      <c r="Q24" s="8">
        <f t="shared" si="2"/>
        <v>0</v>
      </c>
      <c r="R24" s="8">
        <f t="shared" si="3"/>
        <v>0</v>
      </c>
    </row>
    <row r="25" spans="2:18" s="4" customFormat="1" ht="42.95" customHeight="1">
      <c r="B25" s="7" t="s">
        <v>37</v>
      </c>
      <c r="C25" s="12" t="s">
        <v>15</v>
      </c>
      <c r="D25" s="14" t="s">
        <v>43</v>
      </c>
      <c r="E25" s="14" t="s">
        <v>10</v>
      </c>
      <c r="F25" s="97" t="s">
        <v>16</v>
      </c>
      <c r="G25" s="97"/>
      <c r="H25" s="97"/>
      <c r="I25" s="97"/>
      <c r="J25" s="97"/>
      <c r="L25" s="7" t="s">
        <v>37</v>
      </c>
      <c r="M25" s="97" t="s">
        <v>16</v>
      </c>
      <c r="N25" s="97"/>
      <c r="O25" s="97"/>
      <c r="P25" s="97"/>
      <c r="Q25" s="8"/>
      <c r="R25" s="8"/>
    </row>
    <row r="26" spans="2:18" s="4" customFormat="1" ht="18.75" customHeight="1">
      <c r="B26" s="98"/>
      <c r="C26" s="101" t="s">
        <v>17</v>
      </c>
      <c r="D26" s="98" t="s">
        <v>43</v>
      </c>
      <c r="E26" s="98" t="s">
        <v>10</v>
      </c>
      <c r="F26" s="6">
        <f>G26+H26+I26</f>
        <v>32385.300000000003</v>
      </c>
      <c r="G26" s="6">
        <f>G27+G28</f>
        <v>12029.7</v>
      </c>
      <c r="H26" s="6">
        <f>H27+H28</f>
        <v>10177.800000000001</v>
      </c>
      <c r="I26" s="6">
        <f>I27+I28</f>
        <v>10177.800000000001</v>
      </c>
      <c r="J26" s="14" t="s">
        <v>25</v>
      </c>
      <c r="L26" s="98"/>
      <c r="M26" s="6">
        <f>N26+O26+P26</f>
        <v>30909.000000000007</v>
      </c>
      <c r="N26" s="6">
        <f>N27+N28</f>
        <v>10553.400000000001</v>
      </c>
      <c r="O26" s="6">
        <f>O27+O28</f>
        <v>10177.800000000001</v>
      </c>
      <c r="P26" s="6">
        <f>P27+P28</f>
        <v>10177.800000000001</v>
      </c>
      <c r="Q26" s="8">
        <f t="shared" ref="Q26:R28" si="7">F26-M26</f>
        <v>1476.2999999999956</v>
      </c>
      <c r="R26" s="8">
        <f t="shared" si="7"/>
        <v>1476.2999999999993</v>
      </c>
    </row>
    <row r="27" spans="2:18" s="4" customFormat="1" ht="42" customHeight="1">
      <c r="B27" s="99"/>
      <c r="C27" s="102"/>
      <c r="D27" s="99"/>
      <c r="E27" s="99"/>
      <c r="F27" s="6">
        <f>G27+H27+I27</f>
        <v>31030</v>
      </c>
      <c r="G27" s="6">
        <f>G16+G18+G20+G22+G23+G24</f>
        <v>10674.4</v>
      </c>
      <c r="H27" s="6">
        <f t="shared" ref="H27" si="8">H16+H18+H20+H22+H23+H24</f>
        <v>10177.800000000001</v>
      </c>
      <c r="I27" s="6">
        <f>I16+I18+I20+I22+I23+I24</f>
        <v>10177.800000000001</v>
      </c>
      <c r="J27" s="14" t="s">
        <v>70</v>
      </c>
      <c r="L27" s="99"/>
      <c r="M27" s="6">
        <f>N27+O27+P27</f>
        <v>29553.700000000004</v>
      </c>
      <c r="N27" s="6">
        <f>N16+N18+N20+N22+N23+N24</f>
        <v>9198.1</v>
      </c>
      <c r="O27" s="6">
        <f t="shared" ref="O27" si="9">O16+O18+O20+O22+O23+O24</f>
        <v>10177.800000000001</v>
      </c>
      <c r="P27" s="6">
        <f>P16+P18+P20+P22+P23+P24</f>
        <v>10177.800000000001</v>
      </c>
      <c r="Q27" s="8">
        <f t="shared" si="7"/>
        <v>1476.2999999999956</v>
      </c>
      <c r="R27" s="8">
        <f t="shared" si="7"/>
        <v>1476.2999999999993</v>
      </c>
    </row>
    <row r="28" spans="2:18" s="4" customFormat="1" ht="25.5">
      <c r="B28" s="100"/>
      <c r="C28" s="103"/>
      <c r="D28" s="100"/>
      <c r="E28" s="100"/>
      <c r="F28" s="6">
        <f>G28+H28+I28</f>
        <v>1355.3000000000002</v>
      </c>
      <c r="G28" s="6">
        <f>G17+G21</f>
        <v>1355.3000000000002</v>
      </c>
      <c r="H28" s="6">
        <f t="shared" ref="H28:I28" si="10">H17+H21</f>
        <v>0</v>
      </c>
      <c r="I28" s="6">
        <f t="shared" si="10"/>
        <v>0</v>
      </c>
      <c r="J28" s="14" t="s">
        <v>42</v>
      </c>
      <c r="L28" s="100"/>
      <c r="M28" s="6">
        <f>N28+O28+P28</f>
        <v>1355.3000000000002</v>
      </c>
      <c r="N28" s="6">
        <f>N17+N21</f>
        <v>1355.3000000000002</v>
      </c>
      <c r="O28" s="6">
        <f t="shared" ref="O28:P28" si="11">O17+O21</f>
        <v>0</v>
      </c>
      <c r="P28" s="6">
        <f t="shared" si="11"/>
        <v>0</v>
      </c>
      <c r="Q28" s="8">
        <f t="shared" si="7"/>
        <v>0</v>
      </c>
      <c r="R28" s="8">
        <f t="shared" si="7"/>
        <v>0</v>
      </c>
    </row>
    <row r="29" spans="2:18" ht="26.25" customHeight="1">
      <c r="B29" s="104" t="s">
        <v>18</v>
      </c>
      <c r="C29" s="104"/>
      <c r="D29" s="104"/>
      <c r="E29" s="104"/>
      <c r="F29" s="104"/>
      <c r="G29" s="104"/>
      <c r="H29" s="104"/>
      <c r="I29" s="104"/>
      <c r="J29" s="104"/>
      <c r="L29" s="104" t="s">
        <v>18</v>
      </c>
      <c r="M29" s="104"/>
      <c r="N29" s="104"/>
      <c r="O29" s="104"/>
      <c r="P29" s="104"/>
      <c r="Q29" s="8"/>
      <c r="R29" s="8"/>
    </row>
    <row r="30" spans="2:18" ht="49.5" customHeight="1">
      <c r="B30" s="7" t="s">
        <v>38</v>
      </c>
      <c r="C30" s="12" t="s">
        <v>19</v>
      </c>
      <c r="D30" s="14" t="s">
        <v>65</v>
      </c>
      <c r="E30" s="14" t="s">
        <v>10</v>
      </c>
      <c r="F30" s="6">
        <f>G30+H30+I30</f>
        <v>25572.899999999998</v>
      </c>
      <c r="G30" s="6">
        <v>8524.2999999999993</v>
      </c>
      <c r="H30" s="6">
        <v>8524.2999999999993</v>
      </c>
      <c r="I30" s="6">
        <v>8524.2999999999993</v>
      </c>
      <c r="J30" s="14" t="s">
        <v>70</v>
      </c>
      <c r="L30" s="7" t="s">
        <v>38</v>
      </c>
      <c r="M30" s="6">
        <f>N30+O30+P30</f>
        <v>25572.899999999998</v>
      </c>
      <c r="N30" s="6">
        <v>8524.2999999999993</v>
      </c>
      <c r="O30" s="6">
        <v>8524.2999999999993</v>
      </c>
      <c r="P30" s="6">
        <v>8524.2999999999993</v>
      </c>
      <c r="Q30" s="8">
        <f t="shared" ref="Q30:R34" si="12">F30-M30</f>
        <v>0</v>
      </c>
      <c r="R30" s="8">
        <f t="shared" si="12"/>
        <v>0</v>
      </c>
    </row>
    <row r="31" spans="2:18" ht="49.5" customHeight="1">
      <c r="B31" s="14"/>
      <c r="C31" s="12" t="s">
        <v>20</v>
      </c>
      <c r="D31" s="14" t="s">
        <v>65</v>
      </c>
      <c r="E31" s="14"/>
      <c r="F31" s="6">
        <f>G31+H31+I31</f>
        <v>25572.899999999998</v>
      </c>
      <c r="G31" s="6">
        <f>G30</f>
        <v>8524.2999999999993</v>
      </c>
      <c r="H31" s="6">
        <f t="shared" ref="H31:I31" si="13">H30</f>
        <v>8524.2999999999993</v>
      </c>
      <c r="I31" s="6">
        <f t="shared" si="13"/>
        <v>8524.2999999999993</v>
      </c>
      <c r="J31" s="14" t="s">
        <v>70</v>
      </c>
      <c r="L31" s="14"/>
      <c r="M31" s="6">
        <f>N31+O31+P31</f>
        <v>25572.899999999998</v>
      </c>
      <c r="N31" s="6">
        <f>N30</f>
        <v>8524.2999999999993</v>
      </c>
      <c r="O31" s="6">
        <f t="shared" ref="O31:P31" si="14">O30</f>
        <v>8524.2999999999993</v>
      </c>
      <c r="P31" s="6">
        <f t="shared" si="14"/>
        <v>8524.2999999999993</v>
      </c>
      <c r="Q31" s="8">
        <f t="shared" si="12"/>
        <v>0</v>
      </c>
      <c r="R31" s="8">
        <f t="shared" si="12"/>
        <v>0</v>
      </c>
    </row>
    <row r="32" spans="2:18" ht="12.75" customHeight="1">
      <c r="B32" s="111"/>
      <c r="C32" s="101" t="s">
        <v>21</v>
      </c>
      <c r="D32" s="114"/>
      <c r="E32" s="98" t="s">
        <v>10</v>
      </c>
      <c r="F32" s="6">
        <f>G32+H32+I32</f>
        <v>57958.19999999999</v>
      </c>
      <c r="G32" s="6">
        <f>G33+G34</f>
        <v>20553.999999999996</v>
      </c>
      <c r="H32" s="6">
        <f t="shared" ref="H32" si="15">H33+H34</f>
        <v>18702.099999999999</v>
      </c>
      <c r="I32" s="6">
        <f>I33+I34</f>
        <v>18702.099999999999</v>
      </c>
      <c r="J32" s="14" t="s">
        <v>25</v>
      </c>
      <c r="L32" s="111"/>
      <c r="M32" s="6">
        <f>N32+O32+P32</f>
        <v>56481.9</v>
      </c>
      <c r="N32" s="6">
        <f>N33+N34</f>
        <v>19077.7</v>
      </c>
      <c r="O32" s="6">
        <f t="shared" ref="O32" si="16">O33+O34</f>
        <v>18702.099999999999</v>
      </c>
      <c r="P32" s="6">
        <f>P33+P34</f>
        <v>18702.099999999999</v>
      </c>
      <c r="Q32" s="8">
        <f t="shared" si="12"/>
        <v>1476.2999999999884</v>
      </c>
      <c r="R32" s="8">
        <f t="shared" si="12"/>
        <v>1476.2999999999956</v>
      </c>
    </row>
    <row r="33" spans="2:18" ht="38.25" customHeight="1">
      <c r="B33" s="112"/>
      <c r="C33" s="102"/>
      <c r="D33" s="115"/>
      <c r="E33" s="99"/>
      <c r="F33" s="6">
        <f>G33+H33+I33</f>
        <v>56602.899999999994</v>
      </c>
      <c r="G33" s="6">
        <f>G31+G27</f>
        <v>19198.699999999997</v>
      </c>
      <c r="H33" s="6">
        <f>H31+H27</f>
        <v>18702.099999999999</v>
      </c>
      <c r="I33" s="6">
        <f>I31+I27</f>
        <v>18702.099999999999</v>
      </c>
      <c r="J33" s="14" t="s">
        <v>70</v>
      </c>
      <c r="L33" s="112"/>
      <c r="M33" s="6">
        <f>N33+O33+P33</f>
        <v>55126.6</v>
      </c>
      <c r="N33" s="6">
        <f>N31+N27</f>
        <v>17722.400000000001</v>
      </c>
      <c r="O33" s="6">
        <f>O31+O27</f>
        <v>18702.099999999999</v>
      </c>
      <c r="P33" s="6">
        <f>P31+P27</f>
        <v>18702.099999999999</v>
      </c>
      <c r="Q33" s="8">
        <f t="shared" si="12"/>
        <v>1476.2999999999956</v>
      </c>
      <c r="R33" s="8">
        <f t="shared" si="12"/>
        <v>1476.2999999999956</v>
      </c>
    </row>
    <row r="34" spans="2:18" ht="26.25" customHeight="1">
      <c r="B34" s="113"/>
      <c r="C34" s="103"/>
      <c r="D34" s="116"/>
      <c r="E34" s="100"/>
      <c r="F34" s="6">
        <f>G34+H34+I34</f>
        <v>1355.3000000000002</v>
      </c>
      <c r="G34" s="6">
        <f>G28</f>
        <v>1355.3000000000002</v>
      </c>
      <c r="H34" s="6">
        <f t="shared" ref="H34" si="17">H28</f>
        <v>0</v>
      </c>
      <c r="I34" s="6">
        <f>I28</f>
        <v>0</v>
      </c>
      <c r="J34" s="14" t="s">
        <v>42</v>
      </c>
      <c r="L34" s="113"/>
      <c r="M34" s="6">
        <f>N34+O34+P34</f>
        <v>1355.3000000000002</v>
      </c>
      <c r="N34" s="6">
        <f>N28</f>
        <v>1355.3000000000002</v>
      </c>
      <c r="O34" s="6">
        <f t="shared" ref="O34" si="18">O28</f>
        <v>0</v>
      </c>
      <c r="P34" s="6">
        <f>P28</f>
        <v>0</v>
      </c>
      <c r="Q34" s="8">
        <f t="shared" si="12"/>
        <v>0</v>
      </c>
      <c r="R34" s="8">
        <f t="shared" si="12"/>
        <v>0</v>
      </c>
    </row>
    <row r="35" spans="2:18" ht="24.75" customHeight="1">
      <c r="B35" s="105" t="s">
        <v>59</v>
      </c>
      <c r="C35" s="106"/>
      <c r="D35" s="106"/>
      <c r="E35" s="106"/>
      <c r="F35" s="106"/>
      <c r="G35" s="106"/>
      <c r="H35" s="106"/>
      <c r="I35" s="106"/>
      <c r="J35" s="107"/>
      <c r="L35" s="105" t="s">
        <v>59</v>
      </c>
      <c r="M35" s="106"/>
      <c r="N35" s="106"/>
      <c r="O35" s="106"/>
      <c r="P35" s="106"/>
      <c r="Q35" s="8"/>
      <c r="R35" s="8"/>
    </row>
    <row r="36" spans="2:18" ht="27" customHeight="1">
      <c r="B36" s="105" t="s">
        <v>56</v>
      </c>
      <c r="C36" s="106"/>
      <c r="D36" s="106"/>
      <c r="E36" s="106"/>
      <c r="F36" s="106"/>
      <c r="G36" s="106"/>
      <c r="H36" s="106"/>
      <c r="I36" s="106"/>
      <c r="J36" s="107"/>
      <c r="L36" s="105" t="s">
        <v>56</v>
      </c>
      <c r="M36" s="106"/>
      <c r="N36" s="106"/>
      <c r="O36" s="106"/>
      <c r="P36" s="106"/>
      <c r="Q36" s="8"/>
      <c r="R36" s="8"/>
    </row>
    <row r="37" spans="2:18" ht="25.5" customHeight="1">
      <c r="B37" s="14" t="s">
        <v>39</v>
      </c>
      <c r="C37" s="12" t="s">
        <v>57</v>
      </c>
      <c r="D37" s="14" t="s">
        <v>53</v>
      </c>
      <c r="E37" s="14" t="s">
        <v>10</v>
      </c>
      <c r="F37" s="6">
        <f>G37+H37+I37</f>
        <v>50</v>
      </c>
      <c r="G37" s="6">
        <v>50</v>
      </c>
      <c r="H37" s="6">
        <v>0</v>
      </c>
      <c r="I37" s="6">
        <v>0</v>
      </c>
      <c r="J37" s="14" t="s">
        <v>42</v>
      </c>
      <c r="L37" s="14" t="s">
        <v>39</v>
      </c>
      <c r="M37" s="6">
        <f>N37+O37+P37</f>
        <v>50</v>
      </c>
      <c r="N37" s="6">
        <v>50</v>
      </c>
      <c r="O37" s="6">
        <v>0</v>
      </c>
      <c r="P37" s="6">
        <v>0</v>
      </c>
      <c r="Q37" s="8">
        <f t="shared" ref="Q37:R39" si="19">F37-M37</f>
        <v>0</v>
      </c>
      <c r="R37" s="8">
        <f t="shared" si="19"/>
        <v>0</v>
      </c>
    </row>
    <row r="38" spans="2:18" ht="26.25" customHeight="1">
      <c r="B38" s="13"/>
      <c r="C38" s="12" t="s">
        <v>24</v>
      </c>
      <c r="D38" s="14" t="s">
        <v>53</v>
      </c>
      <c r="E38" s="14" t="s">
        <v>10</v>
      </c>
      <c r="F38" s="6">
        <f>F37</f>
        <v>50</v>
      </c>
      <c r="G38" s="6">
        <f>G37</f>
        <v>50</v>
      </c>
      <c r="H38" s="6">
        <f t="shared" ref="H38:I39" si="20">H37</f>
        <v>0</v>
      </c>
      <c r="I38" s="6">
        <f t="shared" si="20"/>
        <v>0</v>
      </c>
      <c r="J38" s="14" t="s">
        <v>42</v>
      </c>
      <c r="L38" s="13"/>
      <c r="M38" s="6">
        <f>M37</f>
        <v>50</v>
      </c>
      <c r="N38" s="6">
        <f>N37</f>
        <v>50</v>
      </c>
      <c r="O38" s="6">
        <f t="shared" ref="O38:P39" si="21">O37</f>
        <v>0</v>
      </c>
      <c r="P38" s="6">
        <f t="shared" si="21"/>
        <v>0</v>
      </c>
      <c r="Q38" s="8">
        <f t="shared" si="19"/>
        <v>0</v>
      </c>
      <c r="R38" s="8">
        <f t="shared" si="19"/>
        <v>0</v>
      </c>
    </row>
    <row r="39" spans="2:18" ht="27" customHeight="1">
      <c r="B39" s="13"/>
      <c r="C39" s="12" t="s">
        <v>27</v>
      </c>
      <c r="D39" s="14" t="s">
        <v>53</v>
      </c>
      <c r="E39" s="14" t="s">
        <v>10</v>
      </c>
      <c r="F39" s="6">
        <f>F38</f>
        <v>50</v>
      </c>
      <c r="G39" s="6">
        <f>G38</f>
        <v>50</v>
      </c>
      <c r="H39" s="6">
        <f t="shared" si="20"/>
        <v>0</v>
      </c>
      <c r="I39" s="6">
        <f t="shared" si="20"/>
        <v>0</v>
      </c>
      <c r="J39" s="14" t="s">
        <v>42</v>
      </c>
      <c r="L39" s="13"/>
      <c r="M39" s="6">
        <f>M38</f>
        <v>50</v>
      </c>
      <c r="N39" s="6">
        <f>N38</f>
        <v>50</v>
      </c>
      <c r="O39" s="6">
        <f t="shared" si="21"/>
        <v>0</v>
      </c>
      <c r="P39" s="6">
        <f t="shared" si="21"/>
        <v>0</v>
      </c>
      <c r="Q39" s="8">
        <f t="shared" si="19"/>
        <v>0</v>
      </c>
      <c r="R39" s="8">
        <f t="shared" si="19"/>
        <v>0</v>
      </c>
    </row>
    <row r="40" spans="2:18" ht="27" customHeight="1">
      <c r="B40" s="105" t="s">
        <v>64</v>
      </c>
      <c r="C40" s="106"/>
      <c r="D40" s="106"/>
      <c r="E40" s="106"/>
      <c r="F40" s="106"/>
      <c r="G40" s="106"/>
      <c r="H40" s="106"/>
      <c r="I40" s="106"/>
      <c r="J40" s="107"/>
      <c r="L40" s="105" t="s">
        <v>64</v>
      </c>
      <c r="M40" s="106"/>
      <c r="N40" s="106"/>
      <c r="O40" s="106"/>
      <c r="P40" s="106"/>
      <c r="Q40" s="8"/>
      <c r="R40" s="8"/>
    </row>
    <row r="41" spans="2:18" ht="26.25" customHeight="1">
      <c r="B41" s="105" t="s">
        <v>44</v>
      </c>
      <c r="C41" s="106"/>
      <c r="D41" s="106"/>
      <c r="E41" s="106"/>
      <c r="F41" s="106"/>
      <c r="G41" s="106"/>
      <c r="H41" s="106"/>
      <c r="I41" s="106"/>
      <c r="J41" s="107"/>
      <c r="L41" s="105" t="s">
        <v>44</v>
      </c>
      <c r="M41" s="106"/>
      <c r="N41" s="106"/>
      <c r="O41" s="106"/>
      <c r="P41" s="106"/>
      <c r="Q41" s="8"/>
      <c r="R41" s="8"/>
    </row>
    <row r="42" spans="2:18" ht="27.75" customHeight="1">
      <c r="B42" s="104" t="s">
        <v>45</v>
      </c>
      <c r="C42" s="104"/>
      <c r="D42" s="104"/>
      <c r="E42" s="104"/>
      <c r="F42" s="104"/>
      <c r="G42" s="104"/>
      <c r="H42" s="104"/>
      <c r="I42" s="104"/>
      <c r="J42" s="104"/>
      <c r="L42" s="104" t="s">
        <v>45</v>
      </c>
      <c r="M42" s="104"/>
      <c r="N42" s="104"/>
      <c r="O42" s="104"/>
      <c r="P42" s="104"/>
      <c r="Q42" s="8"/>
      <c r="R42" s="8"/>
    </row>
    <row r="43" spans="2:18" ht="38.25">
      <c r="B43" s="7" t="s">
        <v>40</v>
      </c>
      <c r="C43" s="12" t="s">
        <v>75</v>
      </c>
      <c r="D43" s="14" t="s">
        <v>22</v>
      </c>
      <c r="E43" s="14" t="s">
        <v>10</v>
      </c>
      <c r="F43" s="97" t="s">
        <v>16</v>
      </c>
      <c r="G43" s="97"/>
      <c r="H43" s="97"/>
      <c r="I43" s="97"/>
      <c r="J43" s="97"/>
      <c r="L43" s="7" t="s">
        <v>40</v>
      </c>
      <c r="M43" s="97" t="s">
        <v>16</v>
      </c>
      <c r="N43" s="97"/>
      <c r="O43" s="97"/>
      <c r="P43" s="97"/>
      <c r="Q43" s="8"/>
      <c r="R43" s="8"/>
    </row>
    <row r="44" spans="2:18" ht="38.25">
      <c r="B44" s="7" t="s">
        <v>41</v>
      </c>
      <c r="C44" s="12" t="s">
        <v>79</v>
      </c>
      <c r="D44" s="14" t="s">
        <v>22</v>
      </c>
      <c r="E44" s="14" t="s">
        <v>10</v>
      </c>
      <c r="F44" s="6">
        <f>G44+H44+I44</f>
        <v>20</v>
      </c>
      <c r="G44" s="6">
        <v>10</v>
      </c>
      <c r="H44" s="6">
        <v>0</v>
      </c>
      <c r="I44" s="6">
        <v>10</v>
      </c>
      <c r="J44" s="14" t="s">
        <v>70</v>
      </c>
      <c r="L44" s="7" t="s">
        <v>41</v>
      </c>
      <c r="M44" s="6">
        <f>N44+O44+P44</f>
        <v>20</v>
      </c>
      <c r="N44" s="6">
        <v>10</v>
      </c>
      <c r="O44" s="6">
        <v>0</v>
      </c>
      <c r="P44" s="6">
        <v>10</v>
      </c>
      <c r="Q44" s="8">
        <f t="shared" ref="Q44:R49" si="22">F44-M44</f>
        <v>0</v>
      </c>
      <c r="R44" s="8">
        <f t="shared" si="22"/>
        <v>0</v>
      </c>
    </row>
    <row r="45" spans="2:18" ht="38.25">
      <c r="B45" s="7" t="s">
        <v>46</v>
      </c>
      <c r="C45" s="12" t="s">
        <v>23</v>
      </c>
      <c r="D45" s="14" t="s">
        <v>22</v>
      </c>
      <c r="E45" s="14" t="s">
        <v>10</v>
      </c>
      <c r="F45" s="6">
        <f t="shared" ref="F45:F46" si="23">G45+H45+I45</f>
        <v>40</v>
      </c>
      <c r="G45" s="6">
        <v>0</v>
      </c>
      <c r="H45" s="6">
        <v>40</v>
      </c>
      <c r="I45" s="6">
        <v>0</v>
      </c>
      <c r="J45" s="14" t="s">
        <v>71</v>
      </c>
      <c r="L45" s="7" t="s">
        <v>46</v>
      </c>
      <c r="M45" s="6">
        <f t="shared" ref="M45:M46" si="24">N45+O45+P45</f>
        <v>40</v>
      </c>
      <c r="N45" s="6">
        <v>0</v>
      </c>
      <c r="O45" s="6">
        <v>40</v>
      </c>
      <c r="P45" s="6">
        <v>0</v>
      </c>
      <c r="Q45" s="8">
        <f t="shared" si="22"/>
        <v>0</v>
      </c>
      <c r="R45" s="8">
        <f t="shared" si="22"/>
        <v>0</v>
      </c>
    </row>
    <row r="46" spans="2:18" ht="51">
      <c r="B46" s="7" t="s">
        <v>47</v>
      </c>
      <c r="C46" s="12" t="s">
        <v>76</v>
      </c>
      <c r="D46" s="14" t="s">
        <v>22</v>
      </c>
      <c r="E46" s="14" t="s">
        <v>10</v>
      </c>
      <c r="F46" s="6">
        <f t="shared" si="23"/>
        <v>8908.5</v>
      </c>
      <c r="G46" s="6">
        <v>2969.5</v>
      </c>
      <c r="H46" s="6">
        <v>2969.5</v>
      </c>
      <c r="I46" s="6">
        <v>2969.5</v>
      </c>
      <c r="J46" s="14" t="s">
        <v>54</v>
      </c>
      <c r="L46" s="7" t="s">
        <v>47</v>
      </c>
      <c r="M46" s="6">
        <f t="shared" si="24"/>
        <v>8908.5</v>
      </c>
      <c r="N46" s="6">
        <v>2969.5</v>
      </c>
      <c r="O46" s="6">
        <v>2969.5</v>
      </c>
      <c r="P46" s="6">
        <v>2969.5</v>
      </c>
      <c r="Q46" s="8">
        <f t="shared" si="22"/>
        <v>0</v>
      </c>
      <c r="R46" s="8">
        <f t="shared" si="22"/>
        <v>0</v>
      </c>
    </row>
    <row r="47" spans="2:18" ht="12.75" customHeight="1">
      <c r="B47" s="97"/>
      <c r="C47" s="101" t="s">
        <v>48</v>
      </c>
      <c r="D47" s="97" t="s">
        <v>22</v>
      </c>
      <c r="E47" s="97" t="s">
        <v>10</v>
      </c>
      <c r="F47" s="6">
        <f>F46+F45+F44</f>
        <v>8968.5</v>
      </c>
      <c r="G47" s="6">
        <f t="shared" ref="G47:I47" si="25">G46+G45+G44</f>
        <v>2979.5</v>
      </c>
      <c r="H47" s="6">
        <f t="shared" si="25"/>
        <v>3009.5</v>
      </c>
      <c r="I47" s="6">
        <f t="shared" si="25"/>
        <v>2979.5</v>
      </c>
      <c r="J47" s="14" t="s">
        <v>25</v>
      </c>
      <c r="L47" s="97"/>
      <c r="M47" s="6">
        <f>M46+M45+M44</f>
        <v>8968.5</v>
      </c>
      <c r="N47" s="6">
        <f t="shared" ref="N47:P47" si="26">N46+N45+N44</f>
        <v>2979.5</v>
      </c>
      <c r="O47" s="6">
        <f t="shared" si="26"/>
        <v>3009.5</v>
      </c>
      <c r="P47" s="6">
        <f t="shared" si="26"/>
        <v>2979.5</v>
      </c>
      <c r="Q47" s="8">
        <f t="shared" si="22"/>
        <v>0</v>
      </c>
      <c r="R47" s="8">
        <f t="shared" si="22"/>
        <v>0</v>
      </c>
    </row>
    <row r="48" spans="2:18" ht="38.25">
      <c r="B48" s="97"/>
      <c r="C48" s="102"/>
      <c r="D48" s="97"/>
      <c r="E48" s="97"/>
      <c r="F48" s="6">
        <f>F44+F45</f>
        <v>60</v>
      </c>
      <c r="G48" s="6">
        <f t="shared" ref="G48:I48" si="27">G44+G45</f>
        <v>10</v>
      </c>
      <c r="H48" s="6">
        <f t="shared" si="27"/>
        <v>40</v>
      </c>
      <c r="I48" s="6">
        <f t="shared" si="27"/>
        <v>10</v>
      </c>
      <c r="J48" s="14" t="s">
        <v>70</v>
      </c>
      <c r="L48" s="97"/>
      <c r="M48" s="6">
        <f>M44+M45</f>
        <v>60</v>
      </c>
      <c r="N48" s="6">
        <f t="shared" ref="N48:P48" si="28">N44+N45</f>
        <v>10</v>
      </c>
      <c r="O48" s="6">
        <f t="shared" si="28"/>
        <v>40</v>
      </c>
      <c r="P48" s="6">
        <f t="shared" si="28"/>
        <v>10</v>
      </c>
      <c r="Q48" s="8">
        <f t="shared" si="22"/>
        <v>0</v>
      </c>
      <c r="R48" s="8">
        <f t="shared" si="22"/>
        <v>0</v>
      </c>
    </row>
    <row r="49" spans="2:18" ht="25.5">
      <c r="B49" s="97"/>
      <c r="C49" s="103"/>
      <c r="D49" s="97"/>
      <c r="E49" s="97"/>
      <c r="F49" s="6">
        <f>F46</f>
        <v>8908.5</v>
      </c>
      <c r="G49" s="6">
        <f t="shared" ref="G49:I49" si="29">G46</f>
        <v>2969.5</v>
      </c>
      <c r="H49" s="6">
        <f t="shared" si="29"/>
        <v>2969.5</v>
      </c>
      <c r="I49" s="6">
        <f t="shared" si="29"/>
        <v>2969.5</v>
      </c>
      <c r="J49" s="14" t="s">
        <v>54</v>
      </c>
      <c r="L49" s="97"/>
      <c r="M49" s="6">
        <f>M46</f>
        <v>8908.5</v>
      </c>
      <c r="N49" s="6">
        <f t="shared" ref="N49:P49" si="30">N46</f>
        <v>2969.5</v>
      </c>
      <c r="O49" s="6">
        <f t="shared" si="30"/>
        <v>2969.5</v>
      </c>
      <c r="P49" s="6">
        <f t="shared" si="30"/>
        <v>2969.5</v>
      </c>
      <c r="Q49" s="8">
        <f t="shared" si="22"/>
        <v>0</v>
      </c>
      <c r="R49" s="8">
        <f t="shared" si="22"/>
        <v>0</v>
      </c>
    </row>
    <row r="50" spans="2:18" ht="28.5" customHeight="1">
      <c r="B50" s="104" t="s">
        <v>49</v>
      </c>
      <c r="C50" s="104"/>
      <c r="D50" s="104"/>
      <c r="E50" s="104"/>
      <c r="F50" s="104"/>
      <c r="G50" s="104"/>
      <c r="H50" s="104"/>
      <c r="I50" s="104"/>
      <c r="J50" s="104"/>
      <c r="L50" s="104" t="s">
        <v>49</v>
      </c>
      <c r="M50" s="104"/>
      <c r="N50" s="104"/>
      <c r="O50" s="104"/>
      <c r="P50" s="104"/>
      <c r="Q50" s="8"/>
      <c r="R50" s="8"/>
    </row>
    <row r="51" spans="2:18" ht="31.5" customHeight="1">
      <c r="B51" s="7" t="s">
        <v>50</v>
      </c>
      <c r="C51" s="12" t="s">
        <v>77</v>
      </c>
      <c r="D51" s="14" t="s">
        <v>22</v>
      </c>
      <c r="E51" s="14" t="s">
        <v>10</v>
      </c>
      <c r="F51" s="97" t="s">
        <v>16</v>
      </c>
      <c r="G51" s="97"/>
      <c r="H51" s="97"/>
      <c r="I51" s="97"/>
      <c r="J51" s="97"/>
      <c r="L51" s="7" t="s">
        <v>50</v>
      </c>
      <c r="M51" s="97" t="s">
        <v>16</v>
      </c>
      <c r="N51" s="97"/>
      <c r="O51" s="97"/>
      <c r="P51" s="97"/>
      <c r="Q51" s="8"/>
      <c r="R51" s="8"/>
    </row>
    <row r="52" spans="2:18" ht="51">
      <c r="B52" s="7" t="s">
        <v>51</v>
      </c>
      <c r="C52" s="12" t="s">
        <v>26</v>
      </c>
      <c r="D52" s="14" t="s">
        <v>22</v>
      </c>
      <c r="E52" s="14" t="s">
        <v>10</v>
      </c>
      <c r="F52" s="97" t="s">
        <v>16</v>
      </c>
      <c r="G52" s="97"/>
      <c r="H52" s="97"/>
      <c r="I52" s="97"/>
      <c r="J52" s="97"/>
      <c r="L52" s="7" t="s">
        <v>51</v>
      </c>
      <c r="M52" s="97" t="s">
        <v>16</v>
      </c>
      <c r="N52" s="97"/>
      <c r="O52" s="97"/>
      <c r="P52" s="97"/>
      <c r="Q52" s="8"/>
      <c r="R52" s="8"/>
    </row>
    <row r="53" spans="2:18" ht="15.75" customHeight="1">
      <c r="B53" s="117"/>
      <c r="C53" s="104" t="s">
        <v>52</v>
      </c>
      <c r="D53" s="97" t="s">
        <v>22</v>
      </c>
      <c r="E53" s="97" t="s">
        <v>10</v>
      </c>
      <c r="F53" s="6">
        <f>F47</f>
        <v>8968.5</v>
      </c>
      <c r="G53" s="6">
        <f t="shared" ref="G53:I53" si="31">G47</f>
        <v>2979.5</v>
      </c>
      <c r="H53" s="6">
        <f t="shared" si="31"/>
        <v>3009.5</v>
      </c>
      <c r="I53" s="6">
        <f t="shared" si="31"/>
        <v>2979.5</v>
      </c>
      <c r="J53" s="14" t="s">
        <v>25</v>
      </c>
      <c r="L53" s="117"/>
      <c r="M53" s="6">
        <f>M47</f>
        <v>8968.5</v>
      </c>
      <c r="N53" s="6">
        <f t="shared" ref="N53:P53" si="32">N47</f>
        <v>2979.5</v>
      </c>
      <c r="O53" s="6">
        <f t="shared" si="32"/>
        <v>3009.5</v>
      </c>
      <c r="P53" s="6">
        <f t="shared" si="32"/>
        <v>2979.5</v>
      </c>
      <c r="Q53" s="8">
        <f t="shared" ref="Q53:Q67" si="33">F53-M53</f>
        <v>0</v>
      </c>
      <c r="R53" s="8">
        <f t="shared" ref="R53:R67" si="34">G53-N53</f>
        <v>0</v>
      </c>
    </row>
    <row r="54" spans="2:18" ht="42" customHeight="1">
      <c r="B54" s="117"/>
      <c r="C54" s="104"/>
      <c r="D54" s="97"/>
      <c r="E54" s="97"/>
      <c r="F54" s="6">
        <f t="shared" ref="F54:I55" si="35">F48</f>
        <v>60</v>
      </c>
      <c r="G54" s="6">
        <f t="shared" si="35"/>
        <v>10</v>
      </c>
      <c r="H54" s="6">
        <f t="shared" si="35"/>
        <v>40</v>
      </c>
      <c r="I54" s="6">
        <f t="shared" si="35"/>
        <v>10</v>
      </c>
      <c r="J54" s="14" t="s">
        <v>70</v>
      </c>
      <c r="L54" s="117"/>
      <c r="M54" s="6">
        <f t="shared" ref="M54:P55" si="36">M48</f>
        <v>60</v>
      </c>
      <c r="N54" s="6">
        <f t="shared" si="36"/>
        <v>10</v>
      </c>
      <c r="O54" s="6">
        <f t="shared" si="36"/>
        <v>40</v>
      </c>
      <c r="P54" s="6">
        <f t="shared" si="36"/>
        <v>10</v>
      </c>
      <c r="Q54" s="8">
        <f t="shared" si="33"/>
        <v>0</v>
      </c>
      <c r="R54" s="8">
        <f t="shared" si="34"/>
        <v>0</v>
      </c>
    </row>
    <row r="55" spans="2:18" ht="25.5">
      <c r="B55" s="117"/>
      <c r="C55" s="104"/>
      <c r="D55" s="97"/>
      <c r="E55" s="97"/>
      <c r="F55" s="6">
        <f t="shared" si="35"/>
        <v>8908.5</v>
      </c>
      <c r="G55" s="6">
        <f t="shared" si="35"/>
        <v>2969.5</v>
      </c>
      <c r="H55" s="6">
        <f t="shared" si="35"/>
        <v>2969.5</v>
      </c>
      <c r="I55" s="6">
        <f t="shared" si="35"/>
        <v>2969.5</v>
      </c>
      <c r="J55" s="14" t="s">
        <v>54</v>
      </c>
      <c r="L55" s="117"/>
      <c r="M55" s="6">
        <f t="shared" si="36"/>
        <v>8908.5</v>
      </c>
      <c r="N55" s="6">
        <f t="shared" si="36"/>
        <v>2969.5</v>
      </c>
      <c r="O55" s="6">
        <f t="shared" si="36"/>
        <v>2969.5</v>
      </c>
      <c r="P55" s="6">
        <f t="shared" si="36"/>
        <v>2969.5</v>
      </c>
      <c r="Q55" s="8">
        <f t="shared" si="33"/>
        <v>0</v>
      </c>
      <c r="R55" s="8">
        <f t="shared" si="34"/>
        <v>0</v>
      </c>
    </row>
    <row r="56" spans="2:18" ht="34.5" customHeight="1">
      <c r="B56" s="118"/>
      <c r="C56" s="104" t="s">
        <v>55</v>
      </c>
      <c r="D56" s="117"/>
      <c r="E56" s="97" t="s">
        <v>10</v>
      </c>
      <c r="F56" s="6">
        <f>F32+F39+F53</f>
        <v>66976.699999999983</v>
      </c>
      <c r="G56" s="6">
        <f>G32+G39+G53</f>
        <v>23583.499999999996</v>
      </c>
      <c r="H56" s="6">
        <f>H32+H39+H53</f>
        <v>21711.599999999999</v>
      </c>
      <c r="I56" s="6">
        <f>I32+I39+I53</f>
        <v>21681.599999999999</v>
      </c>
      <c r="J56" s="14" t="s">
        <v>25</v>
      </c>
      <c r="L56" s="118"/>
      <c r="M56" s="6">
        <f>M32+M39+M53</f>
        <v>65500.4</v>
      </c>
      <c r="N56" s="6">
        <f>N32+N39+N53</f>
        <v>22107.200000000001</v>
      </c>
      <c r="O56" s="6">
        <f>O32+O39+O53</f>
        <v>21711.599999999999</v>
      </c>
      <c r="P56" s="6">
        <f>P32+P39+P53</f>
        <v>21681.599999999999</v>
      </c>
      <c r="Q56" s="8">
        <f t="shared" si="33"/>
        <v>1476.2999999999811</v>
      </c>
      <c r="R56" s="8">
        <f t="shared" si="34"/>
        <v>1476.2999999999956</v>
      </c>
    </row>
    <row r="57" spans="2:18" ht="44.25" customHeight="1">
      <c r="B57" s="118"/>
      <c r="C57" s="104"/>
      <c r="D57" s="117"/>
      <c r="E57" s="97"/>
      <c r="F57" s="6">
        <f>F33+F54</f>
        <v>56662.899999999994</v>
      </c>
      <c r="G57" s="6">
        <f>G33+G54</f>
        <v>19208.699999999997</v>
      </c>
      <c r="H57" s="6">
        <f>H33+H54</f>
        <v>18742.099999999999</v>
      </c>
      <c r="I57" s="6">
        <f>I33+I54</f>
        <v>18712.099999999999</v>
      </c>
      <c r="J57" s="14" t="s">
        <v>70</v>
      </c>
      <c r="L57" s="118"/>
      <c r="M57" s="6">
        <f>M33+M54</f>
        <v>55186.6</v>
      </c>
      <c r="N57" s="6">
        <f>N33+N54</f>
        <v>17732.400000000001</v>
      </c>
      <c r="O57" s="6">
        <f>O33+O54</f>
        <v>18742.099999999999</v>
      </c>
      <c r="P57" s="6">
        <f>P33+P54</f>
        <v>18712.099999999999</v>
      </c>
      <c r="Q57" s="8">
        <f t="shared" si="33"/>
        <v>1476.2999999999956</v>
      </c>
      <c r="R57" s="8">
        <f t="shared" si="34"/>
        <v>1476.2999999999956</v>
      </c>
    </row>
    <row r="58" spans="2:18" ht="31.5" customHeight="1">
      <c r="B58" s="118"/>
      <c r="C58" s="104"/>
      <c r="D58" s="117"/>
      <c r="E58" s="97"/>
      <c r="F58" s="6">
        <f>F34+F39+F55</f>
        <v>10313.799999999999</v>
      </c>
      <c r="G58" s="6">
        <f>G34+G39+G55</f>
        <v>4374.8</v>
      </c>
      <c r="H58" s="6">
        <f>H34+H39+H55</f>
        <v>2969.5</v>
      </c>
      <c r="I58" s="6">
        <f>I34+I39+I55</f>
        <v>2969.5</v>
      </c>
      <c r="J58" s="14" t="s">
        <v>54</v>
      </c>
      <c r="L58" s="118"/>
      <c r="M58" s="6">
        <f>M34+M39+M55</f>
        <v>10313.799999999999</v>
      </c>
      <c r="N58" s="6">
        <f>N34+N39+N55</f>
        <v>4374.8</v>
      </c>
      <c r="O58" s="6">
        <f>O34+O39+O55</f>
        <v>2969.5</v>
      </c>
      <c r="P58" s="6">
        <f>P34+P39+P55</f>
        <v>2969.5</v>
      </c>
      <c r="Q58" s="8">
        <f t="shared" si="33"/>
        <v>0</v>
      </c>
      <c r="R58" s="8">
        <f t="shared" si="34"/>
        <v>0</v>
      </c>
    </row>
    <row r="59" spans="2:18" ht="13.5" customHeight="1">
      <c r="B59" s="15"/>
      <c r="C59" s="12" t="s">
        <v>67</v>
      </c>
      <c r="D59" s="15"/>
      <c r="E59" s="15"/>
      <c r="F59" s="3"/>
      <c r="G59" s="3"/>
      <c r="H59" s="3"/>
      <c r="I59" s="3"/>
      <c r="J59" s="15"/>
      <c r="L59" s="15"/>
      <c r="M59" s="3"/>
      <c r="N59" s="3"/>
      <c r="O59" s="3"/>
      <c r="P59" s="3"/>
      <c r="Q59" s="8">
        <f t="shared" si="33"/>
        <v>0</v>
      </c>
      <c r="R59" s="8">
        <f t="shared" si="34"/>
        <v>0</v>
      </c>
    </row>
    <row r="60" spans="2:18" ht="12.75" customHeight="1">
      <c r="B60" s="117"/>
      <c r="C60" s="104" t="s">
        <v>28</v>
      </c>
      <c r="D60" s="117"/>
      <c r="E60" s="97" t="s">
        <v>10</v>
      </c>
      <c r="F60" s="6">
        <f>F47</f>
        <v>8968.5</v>
      </c>
      <c r="G60" s="6">
        <f t="shared" ref="G60:H60" si="37">G47</f>
        <v>2979.5</v>
      </c>
      <c r="H60" s="6">
        <f t="shared" si="37"/>
        <v>3009.5</v>
      </c>
      <c r="I60" s="6">
        <f>I47</f>
        <v>2979.5</v>
      </c>
      <c r="J60" s="14" t="s">
        <v>25</v>
      </c>
      <c r="L60" s="117"/>
      <c r="M60" s="6">
        <f>M47</f>
        <v>8968.5</v>
      </c>
      <c r="N60" s="6">
        <f t="shared" ref="N60:O60" si="38">N47</f>
        <v>2979.5</v>
      </c>
      <c r="O60" s="6">
        <f t="shared" si="38"/>
        <v>3009.5</v>
      </c>
      <c r="P60" s="6">
        <f>P47</f>
        <v>2979.5</v>
      </c>
      <c r="Q60" s="8">
        <f t="shared" si="33"/>
        <v>0</v>
      </c>
      <c r="R60" s="8">
        <f t="shared" si="34"/>
        <v>0</v>
      </c>
    </row>
    <row r="61" spans="2:18" ht="38.25">
      <c r="B61" s="117"/>
      <c r="C61" s="104"/>
      <c r="D61" s="117"/>
      <c r="E61" s="97"/>
      <c r="F61" s="6">
        <f t="shared" ref="F61:I62" si="39">F48</f>
        <v>60</v>
      </c>
      <c r="G61" s="6">
        <f t="shared" si="39"/>
        <v>10</v>
      </c>
      <c r="H61" s="6">
        <f t="shared" si="39"/>
        <v>40</v>
      </c>
      <c r="I61" s="6">
        <f t="shared" si="39"/>
        <v>10</v>
      </c>
      <c r="J61" s="14" t="s">
        <v>70</v>
      </c>
      <c r="L61" s="117"/>
      <c r="M61" s="6">
        <f t="shared" ref="M61:P62" si="40">M48</f>
        <v>60</v>
      </c>
      <c r="N61" s="6">
        <f t="shared" si="40"/>
        <v>10</v>
      </c>
      <c r="O61" s="6">
        <f t="shared" si="40"/>
        <v>40</v>
      </c>
      <c r="P61" s="6">
        <f t="shared" si="40"/>
        <v>10</v>
      </c>
      <c r="Q61" s="8">
        <f t="shared" si="33"/>
        <v>0</v>
      </c>
      <c r="R61" s="8">
        <f t="shared" si="34"/>
        <v>0</v>
      </c>
    </row>
    <row r="62" spans="2:18" ht="25.5">
      <c r="B62" s="117"/>
      <c r="C62" s="104"/>
      <c r="D62" s="117"/>
      <c r="E62" s="97"/>
      <c r="F62" s="6">
        <f t="shared" si="39"/>
        <v>8908.5</v>
      </c>
      <c r="G62" s="6">
        <f t="shared" si="39"/>
        <v>2969.5</v>
      </c>
      <c r="H62" s="6">
        <f t="shared" si="39"/>
        <v>2969.5</v>
      </c>
      <c r="I62" s="6">
        <f>I49</f>
        <v>2969.5</v>
      </c>
      <c r="J62" s="14" t="s">
        <v>54</v>
      </c>
      <c r="L62" s="117"/>
      <c r="M62" s="6">
        <f t="shared" si="40"/>
        <v>8908.5</v>
      </c>
      <c r="N62" s="6">
        <f t="shared" si="40"/>
        <v>2969.5</v>
      </c>
      <c r="O62" s="6">
        <f t="shared" si="40"/>
        <v>2969.5</v>
      </c>
      <c r="P62" s="6">
        <f>P49</f>
        <v>2969.5</v>
      </c>
      <c r="Q62" s="8">
        <f t="shared" si="33"/>
        <v>0</v>
      </c>
      <c r="R62" s="8">
        <f t="shared" si="34"/>
        <v>0</v>
      </c>
    </row>
    <row r="63" spans="2:18" ht="12.75" customHeight="1">
      <c r="B63" s="114"/>
      <c r="C63" s="101" t="s">
        <v>61</v>
      </c>
      <c r="D63" s="114"/>
      <c r="E63" s="98" t="s">
        <v>10</v>
      </c>
      <c r="F63" s="6">
        <f>F26</f>
        <v>32385.300000000003</v>
      </c>
      <c r="G63" s="6">
        <f t="shared" ref="G63:I63" si="41">G26</f>
        <v>12029.7</v>
      </c>
      <c r="H63" s="6">
        <f t="shared" si="41"/>
        <v>10177.800000000001</v>
      </c>
      <c r="I63" s="6">
        <f t="shared" si="41"/>
        <v>10177.800000000001</v>
      </c>
      <c r="J63" s="14" t="s">
        <v>25</v>
      </c>
      <c r="L63" s="114"/>
      <c r="M63" s="6">
        <f>M26</f>
        <v>30909.000000000007</v>
      </c>
      <c r="N63" s="6">
        <f t="shared" ref="N63:P63" si="42">N26</f>
        <v>10553.400000000001</v>
      </c>
      <c r="O63" s="6">
        <f t="shared" si="42"/>
        <v>10177.800000000001</v>
      </c>
      <c r="P63" s="6">
        <f t="shared" si="42"/>
        <v>10177.800000000001</v>
      </c>
      <c r="Q63" s="8">
        <f t="shared" si="33"/>
        <v>1476.2999999999956</v>
      </c>
      <c r="R63" s="8">
        <f t="shared" si="34"/>
        <v>1476.2999999999993</v>
      </c>
    </row>
    <row r="64" spans="2:18" ht="38.25">
      <c r="B64" s="115"/>
      <c r="C64" s="102"/>
      <c r="D64" s="115"/>
      <c r="E64" s="99"/>
      <c r="F64" s="6">
        <f t="shared" ref="F64:I65" si="43">F27</f>
        <v>31030</v>
      </c>
      <c r="G64" s="6">
        <f t="shared" si="43"/>
        <v>10674.4</v>
      </c>
      <c r="H64" s="6">
        <f t="shared" si="43"/>
        <v>10177.800000000001</v>
      </c>
      <c r="I64" s="6">
        <f t="shared" si="43"/>
        <v>10177.800000000001</v>
      </c>
      <c r="J64" s="14" t="s">
        <v>70</v>
      </c>
      <c r="L64" s="115"/>
      <c r="M64" s="6">
        <f t="shared" ref="M64:P65" si="44">M27</f>
        <v>29553.700000000004</v>
      </c>
      <c r="N64" s="6">
        <f t="shared" si="44"/>
        <v>9198.1</v>
      </c>
      <c r="O64" s="6">
        <f t="shared" si="44"/>
        <v>10177.800000000001</v>
      </c>
      <c r="P64" s="6">
        <f t="shared" si="44"/>
        <v>10177.800000000001</v>
      </c>
      <c r="Q64" s="8">
        <f t="shared" si="33"/>
        <v>1476.2999999999956</v>
      </c>
      <c r="R64" s="8">
        <f t="shared" si="34"/>
        <v>1476.2999999999993</v>
      </c>
    </row>
    <row r="65" spans="2:18" ht="25.5">
      <c r="B65" s="116"/>
      <c r="C65" s="103"/>
      <c r="D65" s="116"/>
      <c r="E65" s="100"/>
      <c r="F65" s="6">
        <f t="shared" si="43"/>
        <v>1355.3000000000002</v>
      </c>
      <c r="G65" s="6">
        <f t="shared" si="43"/>
        <v>1355.3000000000002</v>
      </c>
      <c r="H65" s="6">
        <f t="shared" si="43"/>
        <v>0</v>
      </c>
      <c r="I65" s="6">
        <f t="shared" si="43"/>
        <v>0</v>
      </c>
      <c r="J65" s="14" t="s">
        <v>54</v>
      </c>
      <c r="L65" s="116"/>
      <c r="M65" s="6">
        <f t="shared" si="44"/>
        <v>1355.3000000000002</v>
      </c>
      <c r="N65" s="6">
        <f t="shared" si="44"/>
        <v>1355.3000000000002</v>
      </c>
      <c r="O65" s="6">
        <f t="shared" si="44"/>
        <v>0</v>
      </c>
      <c r="P65" s="6">
        <f t="shared" si="44"/>
        <v>0</v>
      </c>
      <c r="Q65" s="8">
        <f t="shared" si="33"/>
        <v>0</v>
      </c>
      <c r="R65" s="8">
        <f t="shared" si="34"/>
        <v>0</v>
      </c>
    </row>
    <row r="66" spans="2:18" ht="38.25">
      <c r="B66" s="13"/>
      <c r="C66" s="12" t="s">
        <v>66</v>
      </c>
      <c r="D66" s="13"/>
      <c r="E66" s="14" t="s">
        <v>10</v>
      </c>
      <c r="F66" s="6">
        <f>F30</f>
        <v>25572.899999999998</v>
      </c>
      <c r="G66" s="6">
        <f t="shared" ref="G66:I66" si="45">G30</f>
        <v>8524.2999999999993</v>
      </c>
      <c r="H66" s="6">
        <f t="shared" si="45"/>
        <v>8524.2999999999993</v>
      </c>
      <c r="I66" s="6">
        <f t="shared" si="45"/>
        <v>8524.2999999999993</v>
      </c>
      <c r="J66" s="14" t="s">
        <v>70</v>
      </c>
      <c r="L66" s="13"/>
      <c r="M66" s="6">
        <f>M30</f>
        <v>25572.899999999998</v>
      </c>
      <c r="N66" s="6">
        <f t="shared" ref="N66:P66" si="46">N30</f>
        <v>8524.2999999999993</v>
      </c>
      <c r="O66" s="6">
        <f t="shared" si="46"/>
        <v>8524.2999999999993</v>
      </c>
      <c r="P66" s="6">
        <f t="shared" si="46"/>
        <v>8524.2999999999993</v>
      </c>
      <c r="Q66" s="8">
        <f t="shared" si="33"/>
        <v>0</v>
      </c>
      <c r="R66" s="8">
        <f t="shared" si="34"/>
        <v>0</v>
      </c>
    </row>
    <row r="67" spans="2:18" ht="25.5">
      <c r="B67" s="13"/>
      <c r="C67" s="12" t="s">
        <v>62</v>
      </c>
      <c r="D67" s="13"/>
      <c r="E67" s="14" t="s">
        <v>10</v>
      </c>
      <c r="F67" s="6">
        <f t="shared" ref="F67:H67" si="47">F39</f>
        <v>50</v>
      </c>
      <c r="G67" s="6">
        <f t="shared" si="47"/>
        <v>50</v>
      </c>
      <c r="H67" s="6">
        <f t="shared" si="47"/>
        <v>0</v>
      </c>
      <c r="I67" s="6">
        <f>I39</f>
        <v>0</v>
      </c>
      <c r="J67" s="14" t="s">
        <v>54</v>
      </c>
      <c r="L67" s="13"/>
      <c r="M67" s="6">
        <f t="shared" ref="M67:O67" si="48">M39</f>
        <v>50</v>
      </c>
      <c r="N67" s="6">
        <f t="shared" si="48"/>
        <v>50</v>
      </c>
      <c r="O67" s="6">
        <f t="shared" si="48"/>
        <v>0</v>
      </c>
      <c r="P67" s="6">
        <f>P39</f>
        <v>0</v>
      </c>
      <c r="Q67" s="8">
        <f t="shared" si="33"/>
        <v>0</v>
      </c>
      <c r="R67" s="8">
        <f t="shared" si="34"/>
        <v>0</v>
      </c>
    </row>
    <row r="72" spans="2:18" s="4" customFormat="1" ht="15">
      <c r="J72" s="9"/>
    </row>
  </sheetData>
  <mergeCells count="79">
    <mergeCell ref="B63:B65"/>
    <mergeCell ref="C63:C65"/>
    <mergeCell ref="D63:D65"/>
    <mergeCell ref="E63:E65"/>
    <mergeCell ref="L63:L65"/>
    <mergeCell ref="B56:B58"/>
    <mergeCell ref="C56:C58"/>
    <mergeCell ref="D56:D58"/>
    <mergeCell ref="E56:E58"/>
    <mergeCell ref="L56:L58"/>
    <mergeCell ref="B60:B62"/>
    <mergeCell ref="C60:C62"/>
    <mergeCell ref="D60:D62"/>
    <mergeCell ref="E60:E62"/>
    <mergeCell ref="L60:L62"/>
    <mergeCell ref="F51:J51"/>
    <mergeCell ref="M51:P51"/>
    <mergeCell ref="F52:J52"/>
    <mergeCell ref="M52:P52"/>
    <mergeCell ref="B53:B55"/>
    <mergeCell ref="C53:C55"/>
    <mergeCell ref="D53:D55"/>
    <mergeCell ref="E53:E55"/>
    <mergeCell ref="L53:L55"/>
    <mergeCell ref="B50:J50"/>
    <mergeCell ref="L50:P50"/>
    <mergeCell ref="B41:J41"/>
    <mergeCell ref="L41:P41"/>
    <mergeCell ref="B42:J42"/>
    <mergeCell ref="L42:P42"/>
    <mergeCell ref="F43:J43"/>
    <mergeCell ref="M43:P43"/>
    <mergeCell ref="B47:B49"/>
    <mergeCell ref="C47:C49"/>
    <mergeCell ref="D47:D49"/>
    <mergeCell ref="E47:E49"/>
    <mergeCell ref="L47:L49"/>
    <mergeCell ref="B35:J35"/>
    <mergeCell ref="L35:P35"/>
    <mergeCell ref="B36:J36"/>
    <mergeCell ref="L36:P36"/>
    <mergeCell ref="B40:J40"/>
    <mergeCell ref="L40:P40"/>
    <mergeCell ref="B29:J29"/>
    <mergeCell ref="L29:P29"/>
    <mergeCell ref="B32:B34"/>
    <mergeCell ref="C32:C34"/>
    <mergeCell ref="D32:D34"/>
    <mergeCell ref="E32:E34"/>
    <mergeCell ref="L32:L34"/>
    <mergeCell ref="F25:J25"/>
    <mergeCell ref="M25:P25"/>
    <mergeCell ref="B26:B28"/>
    <mergeCell ref="C26:C28"/>
    <mergeCell ref="D26:D28"/>
    <mergeCell ref="E26:E28"/>
    <mergeCell ref="L26:L28"/>
    <mergeCell ref="L15:L17"/>
    <mergeCell ref="B19:B21"/>
    <mergeCell ref="C19:C21"/>
    <mergeCell ref="D19:D21"/>
    <mergeCell ref="E19:E21"/>
    <mergeCell ref="L19:L21"/>
    <mergeCell ref="B12:J12"/>
    <mergeCell ref="B13:J13"/>
    <mergeCell ref="B14:J14"/>
    <mergeCell ref="B15:B17"/>
    <mergeCell ref="C15:C17"/>
    <mergeCell ref="D15:D17"/>
    <mergeCell ref="E15:E17"/>
    <mergeCell ref="B6:J6"/>
    <mergeCell ref="B8:B10"/>
    <mergeCell ref="C8:C10"/>
    <mergeCell ref="D8:D10"/>
    <mergeCell ref="E8:E10"/>
    <mergeCell ref="F8:I8"/>
    <mergeCell ref="J8:J10"/>
    <mergeCell ref="F9:F10"/>
    <mergeCell ref="G9:I9"/>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7"/>
  <sheetViews>
    <sheetView topLeftCell="A9" workbookViewId="0">
      <selection activeCell="U30" sqref="U30"/>
    </sheetView>
  </sheetViews>
  <sheetFormatPr defaultRowHeight="12.75"/>
  <cols>
    <col min="1" max="16384" width="9.140625" style="4"/>
  </cols>
  <sheetData>
    <row r="1" spans="1:9" ht="18.75">
      <c r="A1" s="120"/>
      <c r="B1" s="120"/>
    </row>
    <row r="10" spans="1:9" ht="23.25">
      <c r="A10" s="121" t="s">
        <v>80</v>
      </c>
      <c r="B10" s="121"/>
      <c r="C10" s="121"/>
      <c r="D10" s="121"/>
      <c r="E10" s="121"/>
      <c r="F10" s="121"/>
      <c r="G10" s="121"/>
      <c r="H10" s="121"/>
      <c r="I10" s="121"/>
    </row>
    <row r="11" spans="1:9" ht="23.25">
      <c r="A11" s="121" t="s">
        <v>81</v>
      </c>
      <c r="B11" s="121"/>
      <c r="C11" s="121"/>
      <c r="D11" s="121"/>
      <c r="E11" s="121"/>
      <c r="F11" s="121"/>
      <c r="G11" s="121"/>
      <c r="H11" s="121"/>
      <c r="I11" s="121"/>
    </row>
    <row r="13" spans="1:9" ht="27" customHeight="1">
      <c r="A13" s="119" t="s">
        <v>82</v>
      </c>
      <c r="B13" s="119"/>
      <c r="C13" s="119"/>
      <c r="D13" s="119"/>
      <c r="E13" s="119"/>
      <c r="F13" s="119"/>
      <c r="G13" s="119"/>
      <c r="H13" s="119"/>
      <c r="I13" s="119"/>
    </row>
    <row r="14" spans="1:9" ht="27" customHeight="1">
      <c r="A14" s="119" t="s">
        <v>83</v>
      </c>
      <c r="B14" s="119"/>
      <c r="C14" s="119"/>
      <c r="D14" s="119"/>
      <c r="E14" s="119"/>
      <c r="F14" s="119"/>
      <c r="G14" s="119"/>
      <c r="H14" s="119"/>
      <c r="I14" s="119"/>
    </row>
    <row r="15" spans="1:9" ht="51.75" customHeight="1">
      <c r="A15" s="122" t="s">
        <v>111</v>
      </c>
      <c r="B15" s="122"/>
      <c r="C15" s="122"/>
      <c r="D15" s="122"/>
      <c r="E15" s="122"/>
      <c r="F15" s="122"/>
      <c r="G15" s="122"/>
      <c r="H15" s="122"/>
      <c r="I15" s="122"/>
    </row>
    <row r="17" spans="1:9" ht="19.5">
      <c r="A17" s="119" t="s">
        <v>145</v>
      </c>
      <c r="B17" s="119"/>
      <c r="C17" s="119"/>
      <c r="D17" s="119"/>
      <c r="E17" s="119"/>
      <c r="F17" s="119"/>
      <c r="G17" s="119"/>
      <c r="H17" s="119"/>
      <c r="I17" s="119"/>
    </row>
    <row r="46" spans="1:9" ht="16.5">
      <c r="A46" s="96" t="s">
        <v>84</v>
      </c>
      <c r="B46" s="96"/>
      <c r="C46" s="96"/>
      <c r="D46" s="96"/>
      <c r="E46" s="96"/>
      <c r="F46" s="96"/>
      <c r="G46" s="96"/>
      <c r="H46" s="96"/>
      <c r="I46" s="96"/>
    </row>
    <row r="47" spans="1:9" ht="16.5">
      <c r="A47" s="96"/>
      <c r="B47" s="96"/>
      <c r="C47" s="96"/>
      <c r="D47" s="96"/>
      <c r="E47" s="96"/>
      <c r="F47" s="96"/>
      <c r="G47" s="96"/>
      <c r="H47" s="96"/>
      <c r="I47" s="96"/>
    </row>
  </sheetData>
  <mergeCells count="9">
    <mergeCell ref="A17:I17"/>
    <mergeCell ref="A46:I46"/>
    <mergeCell ref="A47:I47"/>
    <mergeCell ref="A1:B1"/>
    <mergeCell ref="A10:I10"/>
    <mergeCell ref="A11:I11"/>
    <mergeCell ref="A13:I13"/>
    <mergeCell ref="A14:I14"/>
    <mergeCell ref="A15:I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FF0000"/>
  </sheetPr>
  <dimension ref="A1:AQ109"/>
  <sheetViews>
    <sheetView tabSelected="1" zoomScale="66" zoomScaleNormal="66" zoomScaleSheetLayoutView="70" workbookViewId="0">
      <pane xSplit="7" ySplit="7" topLeftCell="H8" activePane="bottomRight" state="frozen"/>
      <selection pane="topRight" activeCell="H1" sqref="H1"/>
      <selection pane="bottomLeft" activeCell="A8" sqref="A8"/>
      <selection pane="bottomRight" activeCell="C91" sqref="C91"/>
    </sheetView>
  </sheetViews>
  <sheetFormatPr defaultRowHeight="18.75"/>
  <cols>
    <col min="1" max="1" width="45" style="18" customWidth="1"/>
    <col min="2" max="2" width="15.28515625" style="18" customWidth="1"/>
    <col min="3" max="3" width="17.140625" style="19" customWidth="1"/>
    <col min="4" max="4" width="19" style="19" customWidth="1"/>
    <col min="5" max="5" width="15.42578125" style="19" customWidth="1"/>
    <col min="6" max="7" width="13.42578125" style="19" customWidth="1"/>
    <col min="8" max="9" width="14.28515625" style="20" customWidth="1"/>
    <col min="10" max="10" width="14" style="20" customWidth="1"/>
    <col min="11" max="11" width="14.140625" style="20" customWidth="1"/>
    <col min="12" max="12" width="13.5703125" style="20" customWidth="1"/>
    <col min="13" max="13" width="14.140625" style="20" customWidth="1"/>
    <col min="14" max="15" width="13.28515625" style="20" customWidth="1"/>
    <col min="16" max="16" width="13.5703125" style="20" customWidth="1"/>
    <col min="17" max="17" width="14" style="20" customWidth="1"/>
    <col min="18" max="19" width="13" style="20" customWidth="1"/>
    <col min="20" max="20" width="13.28515625" style="19" customWidth="1"/>
    <col min="21" max="21" width="14" style="19" customWidth="1"/>
    <col min="22" max="22" width="13.28515625" style="19" customWidth="1"/>
    <col min="23" max="24" width="13.85546875" style="19" customWidth="1"/>
    <col min="25" max="25" width="14.85546875" style="19" customWidth="1"/>
    <col min="26" max="26" width="13.140625" style="19" customWidth="1"/>
    <col min="27" max="27" width="13.85546875" style="19" customWidth="1"/>
    <col min="28" max="28" width="11.7109375" style="19" customWidth="1"/>
    <col min="29" max="29" width="14.28515625" style="19" customWidth="1"/>
    <col min="30" max="30" width="13.85546875" style="19" customWidth="1"/>
    <col min="31" max="31" width="14.42578125" style="19" customWidth="1"/>
    <col min="32" max="32" width="54.85546875" style="18" customWidth="1"/>
    <col min="33" max="33" width="14.28515625" style="20" customWidth="1"/>
    <col min="34" max="34" width="18.85546875" style="21" customWidth="1"/>
    <col min="35" max="256" width="9.140625" style="20"/>
    <col min="257" max="257" width="51.42578125" style="20" customWidth="1"/>
    <col min="258" max="258" width="15.28515625" style="20" customWidth="1"/>
    <col min="259" max="259" width="17.140625" style="20" customWidth="1"/>
    <col min="260" max="260" width="13.85546875" style="20" customWidth="1"/>
    <col min="261" max="261" width="15.42578125" style="20" customWidth="1"/>
    <col min="262" max="263" width="13.42578125" style="20" customWidth="1"/>
    <col min="264" max="264" width="17.42578125" style="20" customWidth="1"/>
    <col min="265" max="265" width="14.7109375" style="20" customWidth="1"/>
    <col min="266" max="266" width="13.5703125" style="20" customWidth="1"/>
    <col min="267" max="267" width="15.140625" style="20" customWidth="1"/>
    <col min="268" max="268" width="14.7109375" style="20" customWidth="1"/>
    <col min="269" max="269" width="15.140625" style="20" customWidth="1"/>
    <col min="270" max="270" width="14.140625" style="20" customWidth="1"/>
    <col min="271" max="271" width="14.7109375" style="20" customWidth="1"/>
    <col min="272" max="272" width="14.42578125" style="20" customWidth="1"/>
    <col min="273" max="273" width="15" style="20" customWidth="1"/>
    <col min="274" max="274" width="14.5703125" style="20" customWidth="1"/>
    <col min="275" max="275" width="14.85546875" style="20" customWidth="1"/>
    <col min="276" max="276" width="15" style="20" customWidth="1"/>
    <col min="277" max="287" width="16.140625" style="20" customWidth="1"/>
    <col min="288" max="288" width="58.140625" style="20" customWidth="1"/>
    <col min="289" max="289" width="3.7109375" style="20" customWidth="1"/>
    <col min="290" max="290" width="18.85546875" style="20" customWidth="1"/>
    <col min="291" max="512" width="9.140625" style="20"/>
    <col min="513" max="513" width="51.42578125" style="20" customWidth="1"/>
    <col min="514" max="514" width="15.28515625" style="20" customWidth="1"/>
    <col min="515" max="515" width="17.140625" style="20" customWidth="1"/>
    <col min="516" max="516" width="13.85546875" style="20" customWidth="1"/>
    <col min="517" max="517" width="15.42578125" style="20" customWidth="1"/>
    <col min="518" max="519" width="13.42578125" style="20" customWidth="1"/>
    <col min="520" max="520" width="17.42578125" style="20" customWidth="1"/>
    <col min="521" max="521" width="14.7109375" style="20" customWidth="1"/>
    <col min="522" max="522" width="13.5703125" style="20" customWidth="1"/>
    <col min="523" max="523" width="15.140625" style="20" customWidth="1"/>
    <col min="524" max="524" width="14.7109375" style="20" customWidth="1"/>
    <col min="525" max="525" width="15.140625" style="20" customWidth="1"/>
    <col min="526" max="526" width="14.140625" style="20" customWidth="1"/>
    <col min="527" max="527" width="14.7109375" style="20" customWidth="1"/>
    <col min="528" max="528" width="14.42578125" style="20" customWidth="1"/>
    <col min="529" max="529" width="15" style="20" customWidth="1"/>
    <col min="530" max="530" width="14.5703125" style="20" customWidth="1"/>
    <col min="531" max="531" width="14.85546875" style="20" customWidth="1"/>
    <col min="532" max="532" width="15" style="20" customWidth="1"/>
    <col min="533" max="543" width="16.140625" style="20" customWidth="1"/>
    <col min="544" max="544" width="58.140625" style="20" customWidth="1"/>
    <col min="545" max="545" width="3.7109375" style="20" customWidth="1"/>
    <col min="546" max="546" width="18.85546875" style="20" customWidth="1"/>
    <col min="547" max="768" width="9.140625" style="20"/>
    <col min="769" max="769" width="51.42578125" style="20" customWidth="1"/>
    <col min="770" max="770" width="15.28515625" style="20" customWidth="1"/>
    <col min="771" max="771" width="17.140625" style="20" customWidth="1"/>
    <col min="772" max="772" width="13.85546875" style="20" customWidth="1"/>
    <col min="773" max="773" width="15.42578125" style="20" customWidth="1"/>
    <col min="774" max="775" width="13.42578125" style="20" customWidth="1"/>
    <col min="776" max="776" width="17.42578125" style="20" customWidth="1"/>
    <col min="777" max="777" width="14.7109375" style="20" customWidth="1"/>
    <col min="778" max="778" width="13.5703125" style="20" customWidth="1"/>
    <col min="779" max="779" width="15.140625" style="20" customWidth="1"/>
    <col min="780" max="780" width="14.7109375" style="20" customWidth="1"/>
    <col min="781" max="781" width="15.140625" style="20" customWidth="1"/>
    <col min="782" max="782" width="14.140625" style="20" customWidth="1"/>
    <col min="783" max="783" width="14.7109375" style="20" customWidth="1"/>
    <col min="784" max="784" width="14.42578125" style="20" customWidth="1"/>
    <col min="785" max="785" width="15" style="20" customWidth="1"/>
    <col min="786" max="786" width="14.5703125" style="20" customWidth="1"/>
    <col min="787" max="787" width="14.85546875" style="20" customWidth="1"/>
    <col min="788" max="788" width="15" style="20" customWidth="1"/>
    <col min="789" max="799" width="16.140625" style="20" customWidth="1"/>
    <col min="800" max="800" width="58.140625" style="20" customWidth="1"/>
    <col min="801" max="801" width="3.7109375" style="20" customWidth="1"/>
    <col min="802" max="802" width="18.85546875" style="20" customWidth="1"/>
    <col min="803" max="1024" width="9.140625" style="20"/>
    <col min="1025" max="1025" width="51.42578125" style="20" customWidth="1"/>
    <col min="1026" max="1026" width="15.28515625" style="20" customWidth="1"/>
    <col min="1027" max="1027" width="17.140625" style="20" customWidth="1"/>
    <col min="1028" max="1028" width="13.85546875" style="20" customWidth="1"/>
    <col min="1029" max="1029" width="15.42578125" style="20" customWidth="1"/>
    <col min="1030" max="1031" width="13.42578125" style="20" customWidth="1"/>
    <col min="1032" max="1032" width="17.42578125" style="20" customWidth="1"/>
    <col min="1033" max="1033" width="14.7109375" style="20" customWidth="1"/>
    <col min="1034" max="1034" width="13.5703125" style="20" customWidth="1"/>
    <col min="1035" max="1035" width="15.140625" style="20" customWidth="1"/>
    <col min="1036" max="1036" width="14.7109375" style="20" customWidth="1"/>
    <col min="1037" max="1037" width="15.140625" style="20" customWidth="1"/>
    <col min="1038" max="1038" width="14.140625" style="20" customWidth="1"/>
    <col min="1039" max="1039" width="14.7109375" style="20" customWidth="1"/>
    <col min="1040" max="1040" width="14.42578125" style="20" customWidth="1"/>
    <col min="1041" max="1041" width="15" style="20" customWidth="1"/>
    <col min="1042" max="1042" width="14.5703125" style="20" customWidth="1"/>
    <col min="1043" max="1043" width="14.85546875" style="20" customWidth="1"/>
    <col min="1044" max="1044" width="15" style="20" customWidth="1"/>
    <col min="1045" max="1055" width="16.140625" style="20" customWidth="1"/>
    <col min="1056" max="1056" width="58.140625" style="20" customWidth="1"/>
    <col min="1057" max="1057" width="3.7109375" style="20" customWidth="1"/>
    <col min="1058" max="1058" width="18.85546875" style="20" customWidth="1"/>
    <col min="1059" max="1280" width="9.140625" style="20"/>
    <col min="1281" max="1281" width="51.42578125" style="20" customWidth="1"/>
    <col min="1282" max="1282" width="15.28515625" style="20" customWidth="1"/>
    <col min="1283" max="1283" width="17.140625" style="20" customWidth="1"/>
    <col min="1284" max="1284" width="13.85546875" style="20" customWidth="1"/>
    <col min="1285" max="1285" width="15.42578125" style="20" customWidth="1"/>
    <col min="1286" max="1287" width="13.42578125" style="20" customWidth="1"/>
    <col min="1288" max="1288" width="17.42578125" style="20" customWidth="1"/>
    <col min="1289" max="1289" width="14.7109375" style="20" customWidth="1"/>
    <col min="1290" max="1290" width="13.5703125" style="20" customWidth="1"/>
    <col min="1291" max="1291" width="15.140625" style="20" customWidth="1"/>
    <col min="1292" max="1292" width="14.7109375" style="20" customWidth="1"/>
    <col min="1293" max="1293" width="15.140625" style="20" customWidth="1"/>
    <col min="1294" max="1294" width="14.140625" style="20" customWidth="1"/>
    <col min="1295" max="1295" width="14.7109375" style="20" customWidth="1"/>
    <col min="1296" max="1296" width="14.42578125" style="20" customWidth="1"/>
    <col min="1297" max="1297" width="15" style="20" customWidth="1"/>
    <col min="1298" max="1298" width="14.5703125" style="20" customWidth="1"/>
    <col min="1299" max="1299" width="14.85546875" style="20" customWidth="1"/>
    <col min="1300" max="1300" width="15" style="20" customWidth="1"/>
    <col min="1301" max="1311" width="16.140625" style="20" customWidth="1"/>
    <col min="1312" max="1312" width="58.140625" style="20" customWidth="1"/>
    <col min="1313" max="1313" width="3.7109375" style="20" customWidth="1"/>
    <col min="1314" max="1314" width="18.85546875" style="20" customWidth="1"/>
    <col min="1315" max="1536" width="9.140625" style="20"/>
    <col min="1537" max="1537" width="51.42578125" style="20" customWidth="1"/>
    <col min="1538" max="1538" width="15.28515625" style="20" customWidth="1"/>
    <col min="1539" max="1539" width="17.140625" style="20" customWidth="1"/>
    <col min="1540" max="1540" width="13.85546875" style="20" customWidth="1"/>
    <col min="1541" max="1541" width="15.42578125" style="20" customWidth="1"/>
    <col min="1542" max="1543" width="13.42578125" style="20" customWidth="1"/>
    <col min="1544" max="1544" width="17.42578125" style="20" customWidth="1"/>
    <col min="1545" max="1545" width="14.7109375" style="20" customWidth="1"/>
    <col min="1546" max="1546" width="13.5703125" style="20" customWidth="1"/>
    <col min="1547" max="1547" width="15.140625" style="20" customWidth="1"/>
    <col min="1548" max="1548" width="14.7109375" style="20" customWidth="1"/>
    <col min="1549" max="1549" width="15.140625" style="20" customWidth="1"/>
    <col min="1550" max="1550" width="14.140625" style="20" customWidth="1"/>
    <col min="1551" max="1551" width="14.7109375" style="20" customWidth="1"/>
    <col min="1552" max="1552" width="14.42578125" style="20" customWidth="1"/>
    <col min="1553" max="1553" width="15" style="20" customWidth="1"/>
    <col min="1554" max="1554" width="14.5703125" style="20" customWidth="1"/>
    <col min="1555" max="1555" width="14.85546875" style="20" customWidth="1"/>
    <col min="1556" max="1556" width="15" style="20" customWidth="1"/>
    <col min="1557" max="1567" width="16.140625" style="20" customWidth="1"/>
    <col min="1568" max="1568" width="58.140625" style="20" customWidth="1"/>
    <col min="1569" max="1569" width="3.7109375" style="20" customWidth="1"/>
    <col min="1570" max="1570" width="18.85546875" style="20" customWidth="1"/>
    <col min="1571" max="1792" width="9.140625" style="20"/>
    <col min="1793" max="1793" width="51.42578125" style="20" customWidth="1"/>
    <col min="1794" max="1794" width="15.28515625" style="20" customWidth="1"/>
    <col min="1795" max="1795" width="17.140625" style="20" customWidth="1"/>
    <col min="1796" max="1796" width="13.85546875" style="20" customWidth="1"/>
    <col min="1797" max="1797" width="15.42578125" style="20" customWidth="1"/>
    <col min="1798" max="1799" width="13.42578125" style="20" customWidth="1"/>
    <col min="1800" max="1800" width="17.42578125" style="20" customWidth="1"/>
    <col min="1801" max="1801" width="14.7109375" style="20" customWidth="1"/>
    <col min="1802" max="1802" width="13.5703125" style="20" customWidth="1"/>
    <col min="1803" max="1803" width="15.140625" style="20" customWidth="1"/>
    <col min="1804" max="1804" width="14.7109375" style="20" customWidth="1"/>
    <col min="1805" max="1805" width="15.140625" style="20" customWidth="1"/>
    <col min="1806" max="1806" width="14.140625" style="20" customWidth="1"/>
    <col min="1807" max="1807" width="14.7109375" style="20" customWidth="1"/>
    <col min="1808" max="1808" width="14.42578125" style="20" customWidth="1"/>
    <col min="1809" max="1809" width="15" style="20" customWidth="1"/>
    <col min="1810" max="1810" width="14.5703125" style="20" customWidth="1"/>
    <col min="1811" max="1811" width="14.85546875" style="20" customWidth="1"/>
    <col min="1812" max="1812" width="15" style="20" customWidth="1"/>
    <col min="1813" max="1823" width="16.140625" style="20" customWidth="1"/>
    <col min="1824" max="1824" width="58.140625" style="20" customWidth="1"/>
    <col min="1825" max="1825" width="3.7109375" style="20" customWidth="1"/>
    <col min="1826" max="1826" width="18.85546875" style="20" customWidth="1"/>
    <col min="1827" max="2048" width="9.140625" style="20"/>
    <col min="2049" max="2049" width="51.42578125" style="20" customWidth="1"/>
    <col min="2050" max="2050" width="15.28515625" style="20" customWidth="1"/>
    <col min="2051" max="2051" width="17.140625" style="20" customWidth="1"/>
    <col min="2052" max="2052" width="13.85546875" style="20" customWidth="1"/>
    <col min="2053" max="2053" width="15.42578125" style="20" customWidth="1"/>
    <col min="2054" max="2055" width="13.42578125" style="20" customWidth="1"/>
    <col min="2056" max="2056" width="17.42578125" style="20" customWidth="1"/>
    <col min="2057" max="2057" width="14.7109375" style="20" customWidth="1"/>
    <col min="2058" max="2058" width="13.5703125" style="20" customWidth="1"/>
    <col min="2059" max="2059" width="15.140625" style="20" customWidth="1"/>
    <col min="2060" max="2060" width="14.7109375" style="20" customWidth="1"/>
    <col min="2061" max="2061" width="15.140625" style="20" customWidth="1"/>
    <col min="2062" max="2062" width="14.140625" style="20" customWidth="1"/>
    <col min="2063" max="2063" width="14.7109375" style="20" customWidth="1"/>
    <col min="2064" max="2064" width="14.42578125" style="20" customWidth="1"/>
    <col min="2065" max="2065" width="15" style="20" customWidth="1"/>
    <col min="2066" max="2066" width="14.5703125" style="20" customWidth="1"/>
    <col min="2067" max="2067" width="14.85546875" style="20" customWidth="1"/>
    <col min="2068" max="2068" width="15" style="20" customWidth="1"/>
    <col min="2069" max="2079" width="16.140625" style="20" customWidth="1"/>
    <col min="2080" max="2080" width="58.140625" style="20" customWidth="1"/>
    <col min="2081" max="2081" width="3.7109375" style="20" customWidth="1"/>
    <col min="2082" max="2082" width="18.85546875" style="20" customWidth="1"/>
    <col min="2083" max="2304" width="9.140625" style="20"/>
    <col min="2305" max="2305" width="51.42578125" style="20" customWidth="1"/>
    <col min="2306" max="2306" width="15.28515625" style="20" customWidth="1"/>
    <col min="2307" max="2307" width="17.140625" style="20" customWidth="1"/>
    <col min="2308" max="2308" width="13.85546875" style="20" customWidth="1"/>
    <col min="2309" max="2309" width="15.42578125" style="20" customWidth="1"/>
    <col min="2310" max="2311" width="13.42578125" style="20" customWidth="1"/>
    <col min="2312" max="2312" width="17.42578125" style="20" customWidth="1"/>
    <col min="2313" max="2313" width="14.7109375" style="20" customWidth="1"/>
    <col min="2314" max="2314" width="13.5703125" style="20" customWidth="1"/>
    <col min="2315" max="2315" width="15.140625" style="20" customWidth="1"/>
    <col min="2316" max="2316" width="14.7109375" style="20" customWidth="1"/>
    <col min="2317" max="2317" width="15.140625" style="20" customWidth="1"/>
    <col min="2318" max="2318" width="14.140625" style="20" customWidth="1"/>
    <col min="2319" max="2319" width="14.7109375" style="20" customWidth="1"/>
    <col min="2320" max="2320" width="14.42578125" style="20" customWidth="1"/>
    <col min="2321" max="2321" width="15" style="20" customWidth="1"/>
    <col min="2322" max="2322" width="14.5703125" style="20" customWidth="1"/>
    <col min="2323" max="2323" width="14.85546875" style="20" customWidth="1"/>
    <col min="2324" max="2324" width="15" style="20" customWidth="1"/>
    <col min="2325" max="2335" width="16.140625" style="20" customWidth="1"/>
    <col min="2336" max="2336" width="58.140625" style="20" customWidth="1"/>
    <col min="2337" max="2337" width="3.7109375" style="20" customWidth="1"/>
    <col min="2338" max="2338" width="18.85546875" style="20" customWidth="1"/>
    <col min="2339" max="2560" width="9.140625" style="20"/>
    <col min="2561" max="2561" width="51.42578125" style="20" customWidth="1"/>
    <col min="2562" max="2562" width="15.28515625" style="20" customWidth="1"/>
    <col min="2563" max="2563" width="17.140625" style="20" customWidth="1"/>
    <col min="2564" max="2564" width="13.85546875" style="20" customWidth="1"/>
    <col min="2565" max="2565" width="15.42578125" style="20" customWidth="1"/>
    <col min="2566" max="2567" width="13.42578125" style="20" customWidth="1"/>
    <col min="2568" max="2568" width="17.42578125" style="20" customWidth="1"/>
    <col min="2569" max="2569" width="14.7109375" style="20" customWidth="1"/>
    <col min="2570" max="2570" width="13.5703125" style="20" customWidth="1"/>
    <col min="2571" max="2571" width="15.140625" style="20" customWidth="1"/>
    <col min="2572" max="2572" width="14.7109375" style="20" customWidth="1"/>
    <col min="2573" max="2573" width="15.140625" style="20" customWidth="1"/>
    <col min="2574" max="2574" width="14.140625" style="20" customWidth="1"/>
    <col min="2575" max="2575" width="14.7109375" style="20" customWidth="1"/>
    <col min="2576" max="2576" width="14.42578125" style="20" customWidth="1"/>
    <col min="2577" max="2577" width="15" style="20" customWidth="1"/>
    <col min="2578" max="2578" width="14.5703125" style="20" customWidth="1"/>
    <col min="2579" max="2579" width="14.85546875" style="20" customWidth="1"/>
    <col min="2580" max="2580" width="15" style="20" customWidth="1"/>
    <col min="2581" max="2591" width="16.140625" style="20" customWidth="1"/>
    <col min="2592" max="2592" width="58.140625" style="20" customWidth="1"/>
    <col min="2593" max="2593" width="3.7109375" style="20" customWidth="1"/>
    <col min="2594" max="2594" width="18.85546875" style="20" customWidth="1"/>
    <col min="2595" max="2816" width="9.140625" style="20"/>
    <col min="2817" max="2817" width="51.42578125" style="20" customWidth="1"/>
    <col min="2818" max="2818" width="15.28515625" style="20" customWidth="1"/>
    <col min="2819" max="2819" width="17.140625" style="20" customWidth="1"/>
    <col min="2820" max="2820" width="13.85546875" style="20" customWidth="1"/>
    <col min="2821" max="2821" width="15.42578125" style="20" customWidth="1"/>
    <col min="2822" max="2823" width="13.42578125" style="20" customWidth="1"/>
    <col min="2824" max="2824" width="17.42578125" style="20" customWidth="1"/>
    <col min="2825" max="2825" width="14.7109375" style="20" customWidth="1"/>
    <col min="2826" max="2826" width="13.5703125" style="20" customWidth="1"/>
    <col min="2827" max="2827" width="15.140625" style="20" customWidth="1"/>
    <col min="2828" max="2828" width="14.7109375" style="20" customWidth="1"/>
    <col min="2829" max="2829" width="15.140625" style="20" customWidth="1"/>
    <col min="2830" max="2830" width="14.140625" style="20" customWidth="1"/>
    <col min="2831" max="2831" width="14.7109375" style="20" customWidth="1"/>
    <col min="2832" max="2832" width="14.42578125" style="20" customWidth="1"/>
    <col min="2833" max="2833" width="15" style="20" customWidth="1"/>
    <col min="2834" max="2834" width="14.5703125" style="20" customWidth="1"/>
    <col min="2835" max="2835" width="14.85546875" style="20" customWidth="1"/>
    <col min="2836" max="2836" width="15" style="20" customWidth="1"/>
    <col min="2837" max="2847" width="16.140625" style="20" customWidth="1"/>
    <col min="2848" max="2848" width="58.140625" style="20" customWidth="1"/>
    <col min="2849" max="2849" width="3.7109375" style="20" customWidth="1"/>
    <col min="2850" max="2850" width="18.85546875" style="20" customWidth="1"/>
    <col min="2851" max="3072" width="9.140625" style="20"/>
    <col min="3073" max="3073" width="51.42578125" style="20" customWidth="1"/>
    <col min="3074" max="3074" width="15.28515625" style="20" customWidth="1"/>
    <col min="3075" max="3075" width="17.140625" style="20" customWidth="1"/>
    <col min="3076" max="3076" width="13.85546875" style="20" customWidth="1"/>
    <col min="3077" max="3077" width="15.42578125" style="20" customWidth="1"/>
    <col min="3078" max="3079" width="13.42578125" style="20" customWidth="1"/>
    <col min="3080" max="3080" width="17.42578125" style="20" customWidth="1"/>
    <col min="3081" max="3081" width="14.7109375" style="20" customWidth="1"/>
    <col min="3082" max="3082" width="13.5703125" style="20" customWidth="1"/>
    <col min="3083" max="3083" width="15.140625" style="20" customWidth="1"/>
    <col min="3084" max="3084" width="14.7109375" style="20" customWidth="1"/>
    <col min="3085" max="3085" width="15.140625" style="20" customWidth="1"/>
    <col min="3086" max="3086" width="14.140625" style="20" customWidth="1"/>
    <col min="3087" max="3087" width="14.7109375" style="20" customWidth="1"/>
    <col min="3088" max="3088" width="14.42578125" style="20" customWidth="1"/>
    <col min="3089" max="3089" width="15" style="20" customWidth="1"/>
    <col min="3090" max="3090" width="14.5703125" style="20" customWidth="1"/>
    <col min="3091" max="3091" width="14.85546875" style="20" customWidth="1"/>
    <col min="3092" max="3092" width="15" style="20" customWidth="1"/>
    <col min="3093" max="3103" width="16.140625" style="20" customWidth="1"/>
    <col min="3104" max="3104" width="58.140625" style="20" customWidth="1"/>
    <col min="3105" max="3105" width="3.7109375" style="20" customWidth="1"/>
    <col min="3106" max="3106" width="18.85546875" style="20" customWidth="1"/>
    <col min="3107" max="3328" width="9.140625" style="20"/>
    <col min="3329" max="3329" width="51.42578125" style="20" customWidth="1"/>
    <col min="3330" max="3330" width="15.28515625" style="20" customWidth="1"/>
    <col min="3331" max="3331" width="17.140625" style="20" customWidth="1"/>
    <col min="3332" max="3332" width="13.85546875" style="20" customWidth="1"/>
    <col min="3333" max="3333" width="15.42578125" style="20" customWidth="1"/>
    <col min="3334" max="3335" width="13.42578125" style="20" customWidth="1"/>
    <col min="3336" max="3336" width="17.42578125" style="20" customWidth="1"/>
    <col min="3337" max="3337" width="14.7109375" style="20" customWidth="1"/>
    <col min="3338" max="3338" width="13.5703125" style="20" customWidth="1"/>
    <col min="3339" max="3339" width="15.140625" style="20" customWidth="1"/>
    <col min="3340" max="3340" width="14.7109375" style="20" customWidth="1"/>
    <col min="3341" max="3341" width="15.140625" style="20" customWidth="1"/>
    <col min="3342" max="3342" width="14.140625" style="20" customWidth="1"/>
    <col min="3343" max="3343" width="14.7109375" style="20" customWidth="1"/>
    <col min="3344" max="3344" width="14.42578125" style="20" customWidth="1"/>
    <col min="3345" max="3345" width="15" style="20" customWidth="1"/>
    <col min="3346" max="3346" width="14.5703125" style="20" customWidth="1"/>
    <col min="3347" max="3347" width="14.85546875" style="20" customWidth="1"/>
    <col min="3348" max="3348" width="15" style="20" customWidth="1"/>
    <col min="3349" max="3359" width="16.140625" style="20" customWidth="1"/>
    <col min="3360" max="3360" width="58.140625" style="20" customWidth="1"/>
    <col min="3361" max="3361" width="3.7109375" style="20" customWidth="1"/>
    <col min="3362" max="3362" width="18.85546875" style="20" customWidth="1"/>
    <col min="3363" max="3584" width="9.140625" style="20"/>
    <col min="3585" max="3585" width="51.42578125" style="20" customWidth="1"/>
    <col min="3586" max="3586" width="15.28515625" style="20" customWidth="1"/>
    <col min="3587" max="3587" width="17.140625" style="20" customWidth="1"/>
    <col min="3588" max="3588" width="13.85546875" style="20" customWidth="1"/>
    <col min="3589" max="3589" width="15.42578125" style="20" customWidth="1"/>
    <col min="3590" max="3591" width="13.42578125" style="20" customWidth="1"/>
    <col min="3592" max="3592" width="17.42578125" style="20" customWidth="1"/>
    <col min="3593" max="3593" width="14.7109375" style="20" customWidth="1"/>
    <col min="3594" max="3594" width="13.5703125" style="20" customWidth="1"/>
    <col min="3595" max="3595" width="15.140625" style="20" customWidth="1"/>
    <col min="3596" max="3596" width="14.7109375" style="20" customWidth="1"/>
    <col min="3597" max="3597" width="15.140625" style="20" customWidth="1"/>
    <col min="3598" max="3598" width="14.140625" style="20" customWidth="1"/>
    <col min="3599" max="3599" width="14.7109375" style="20" customWidth="1"/>
    <col min="3600" max="3600" width="14.42578125" style="20" customWidth="1"/>
    <col min="3601" max="3601" width="15" style="20" customWidth="1"/>
    <col min="3602" max="3602" width="14.5703125" style="20" customWidth="1"/>
    <col min="3603" max="3603" width="14.85546875" style="20" customWidth="1"/>
    <col min="3604" max="3604" width="15" style="20" customWidth="1"/>
    <col min="3605" max="3615" width="16.140625" style="20" customWidth="1"/>
    <col min="3616" max="3616" width="58.140625" style="20" customWidth="1"/>
    <col min="3617" max="3617" width="3.7109375" style="20" customWidth="1"/>
    <col min="3618" max="3618" width="18.85546875" style="20" customWidth="1"/>
    <col min="3619" max="3840" width="9.140625" style="20"/>
    <col min="3841" max="3841" width="51.42578125" style="20" customWidth="1"/>
    <col min="3842" max="3842" width="15.28515625" style="20" customWidth="1"/>
    <col min="3843" max="3843" width="17.140625" style="20" customWidth="1"/>
    <col min="3844" max="3844" width="13.85546875" style="20" customWidth="1"/>
    <col min="3845" max="3845" width="15.42578125" style="20" customWidth="1"/>
    <col min="3846" max="3847" width="13.42578125" style="20" customWidth="1"/>
    <col min="3848" max="3848" width="17.42578125" style="20" customWidth="1"/>
    <col min="3849" max="3849" width="14.7109375" style="20" customWidth="1"/>
    <col min="3850" max="3850" width="13.5703125" style="20" customWidth="1"/>
    <col min="3851" max="3851" width="15.140625" style="20" customWidth="1"/>
    <col min="3852" max="3852" width="14.7109375" style="20" customWidth="1"/>
    <col min="3853" max="3853" width="15.140625" style="20" customWidth="1"/>
    <col min="3854" max="3854" width="14.140625" style="20" customWidth="1"/>
    <col min="3855" max="3855" width="14.7109375" style="20" customWidth="1"/>
    <col min="3856" max="3856" width="14.42578125" style="20" customWidth="1"/>
    <col min="3857" max="3857" width="15" style="20" customWidth="1"/>
    <col min="3858" max="3858" width="14.5703125" style="20" customWidth="1"/>
    <col min="3859" max="3859" width="14.85546875" style="20" customWidth="1"/>
    <col min="3860" max="3860" width="15" style="20" customWidth="1"/>
    <col min="3861" max="3871" width="16.140625" style="20" customWidth="1"/>
    <col min="3872" max="3872" width="58.140625" style="20" customWidth="1"/>
    <col min="3873" max="3873" width="3.7109375" style="20" customWidth="1"/>
    <col min="3874" max="3874" width="18.85546875" style="20" customWidth="1"/>
    <col min="3875" max="4096" width="9.140625" style="20"/>
    <col min="4097" max="4097" width="51.42578125" style="20" customWidth="1"/>
    <col min="4098" max="4098" width="15.28515625" style="20" customWidth="1"/>
    <col min="4099" max="4099" width="17.140625" style="20" customWidth="1"/>
    <col min="4100" max="4100" width="13.85546875" style="20" customWidth="1"/>
    <col min="4101" max="4101" width="15.42578125" style="20" customWidth="1"/>
    <col min="4102" max="4103" width="13.42578125" style="20" customWidth="1"/>
    <col min="4104" max="4104" width="17.42578125" style="20" customWidth="1"/>
    <col min="4105" max="4105" width="14.7109375" style="20" customWidth="1"/>
    <col min="4106" max="4106" width="13.5703125" style="20" customWidth="1"/>
    <col min="4107" max="4107" width="15.140625" style="20" customWidth="1"/>
    <col min="4108" max="4108" width="14.7109375" style="20" customWidth="1"/>
    <col min="4109" max="4109" width="15.140625" style="20" customWidth="1"/>
    <col min="4110" max="4110" width="14.140625" style="20" customWidth="1"/>
    <col min="4111" max="4111" width="14.7109375" style="20" customWidth="1"/>
    <col min="4112" max="4112" width="14.42578125" style="20" customWidth="1"/>
    <col min="4113" max="4113" width="15" style="20" customWidth="1"/>
    <col min="4114" max="4114" width="14.5703125" style="20" customWidth="1"/>
    <col min="4115" max="4115" width="14.85546875" style="20" customWidth="1"/>
    <col min="4116" max="4116" width="15" style="20" customWidth="1"/>
    <col min="4117" max="4127" width="16.140625" style="20" customWidth="1"/>
    <col min="4128" max="4128" width="58.140625" style="20" customWidth="1"/>
    <col min="4129" max="4129" width="3.7109375" style="20" customWidth="1"/>
    <col min="4130" max="4130" width="18.85546875" style="20" customWidth="1"/>
    <col min="4131" max="4352" width="9.140625" style="20"/>
    <col min="4353" max="4353" width="51.42578125" style="20" customWidth="1"/>
    <col min="4354" max="4354" width="15.28515625" style="20" customWidth="1"/>
    <col min="4355" max="4355" width="17.140625" style="20" customWidth="1"/>
    <col min="4356" max="4356" width="13.85546875" style="20" customWidth="1"/>
    <col min="4357" max="4357" width="15.42578125" style="20" customWidth="1"/>
    <col min="4358" max="4359" width="13.42578125" style="20" customWidth="1"/>
    <col min="4360" max="4360" width="17.42578125" style="20" customWidth="1"/>
    <col min="4361" max="4361" width="14.7109375" style="20" customWidth="1"/>
    <col min="4362" max="4362" width="13.5703125" style="20" customWidth="1"/>
    <col min="4363" max="4363" width="15.140625" style="20" customWidth="1"/>
    <col min="4364" max="4364" width="14.7109375" style="20" customWidth="1"/>
    <col min="4365" max="4365" width="15.140625" style="20" customWidth="1"/>
    <col min="4366" max="4366" width="14.140625" style="20" customWidth="1"/>
    <col min="4367" max="4367" width="14.7109375" style="20" customWidth="1"/>
    <col min="4368" max="4368" width="14.42578125" style="20" customWidth="1"/>
    <col min="4369" max="4369" width="15" style="20" customWidth="1"/>
    <col min="4370" max="4370" width="14.5703125" style="20" customWidth="1"/>
    <col min="4371" max="4371" width="14.85546875" style="20" customWidth="1"/>
    <col min="4372" max="4372" width="15" style="20" customWidth="1"/>
    <col min="4373" max="4383" width="16.140625" style="20" customWidth="1"/>
    <col min="4384" max="4384" width="58.140625" style="20" customWidth="1"/>
    <col min="4385" max="4385" width="3.7109375" style="20" customWidth="1"/>
    <col min="4386" max="4386" width="18.85546875" style="20" customWidth="1"/>
    <col min="4387" max="4608" width="9.140625" style="20"/>
    <col min="4609" max="4609" width="51.42578125" style="20" customWidth="1"/>
    <col min="4610" max="4610" width="15.28515625" style="20" customWidth="1"/>
    <col min="4611" max="4611" width="17.140625" style="20" customWidth="1"/>
    <col min="4612" max="4612" width="13.85546875" style="20" customWidth="1"/>
    <col min="4613" max="4613" width="15.42578125" style="20" customWidth="1"/>
    <col min="4614" max="4615" width="13.42578125" style="20" customWidth="1"/>
    <col min="4616" max="4616" width="17.42578125" style="20" customWidth="1"/>
    <col min="4617" max="4617" width="14.7109375" style="20" customWidth="1"/>
    <col min="4618" max="4618" width="13.5703125" style="20" customWidth="1"/>
    <col min="4619" max="4619" width="15.140625" style="20" customWidth="1"/>
    <col min="4620" max="4620" width="14.7109375" style="20" customWidth="1"/>
    <col min="4621" max="4621" width="15.140625" style="20" customWidth="1"/>
    <col min="4622" max="4622" width="14.140625" style="20" customWidth="1"/>
    <col min="4623" max="4623" width="14.7109375" style="20" customWidth="1"/>
    <col min="4624" max="4624" width="14.42578125" style="20" customWidth="1"/>
    <col min="4625" max="4625" width="15" style="20" customWidth="1"/>
    <col min="4626" max="4626" width="14.5703125" style="20" customWidth="1"/>
    <col min="4627" max="4627" width="14.85546875" style="20" customWidth="1"/>
    <col min="4628" max="4628" width="15" style="20" customWidth="1"/>
    <col min="4629" max="4639" width="16.140625" style="20" customWidth="1"/>
    <col min="4640" max="4640" width="58.140625" style="20" customWidth="1"/>
    <col min="4641" max="4641" width="3.7109375" style="20" customWidth="1"/>
    <col min="4642" max="4642" width="18.85546875" style="20" customWidth="1"/>
    <col min="4643" max="4864" width="9.140625" style="20"/>
    <col min="4865" max="4865" width="51.42578125" style="20" customWidth="1"/>
    <col min="4866" max="4866" width="15.28515625" style="20" customWidth="1"/>
    <col min="4867" max="4867" width="17.140625" style="20" customWidth="1"/>
    <col min="4868" max="4868" width="13.85546875" style="20" customWidth="1"/>
    <col min="4869" max="4869" width="15.42578125" style="20" customWidth="1"/>
    <col min="4870" max="4871" width="13.42578125" style="20" customWidth="1"/>
    <col min="4872" max="4872" width="17.42578125" style="20" customWidth="1"/>
    <col min="4873" max="4873" width="14.7109375" style="20" customWidth="1"/>
    <col min="4874" max="4874" width="13.5703125" style="20" customWidth="1"/>
    <col min="4875" max="4875" width="15.140625" style="20" customWidth="1"/>
    <col min="4876" max="4876" width="14.7109375" style="20" customWidth="1"/>
    <col min="4877" max="4877" width="15.140625" style="20" customWidth="1"/>
    <col min="4878" max="4878" width="14.140625" style="20" customWidth="1"/>
    <col min="4879" max="4879" width="14.7109375" style="20" customWidth="1"/>
    <col min="4880" max="4880" width="14.42578125" style="20" customWidth="1"/>
    <col min="4881" max="4881" width="15" style="20" customWidth="1"/>
    <col min="4882" max="4882" width="14.5703125" style="20" customWidth="1"/>
    <col min="4883" max="4883" width="14.85546875" style="20" customWidth="1"/>
    <col min="4884" max="4884" width="15" style="20" customWidth="1"/>
    <col min="4885" max="4895" width="16.140625" style="20" customWidth="1"/>
    <col min="4896" max="4896" width="58.140625" style="20" customWidth="1"/>
    <col min="4897" max="4897" width="3.7109375" style="20" customWidth="1"/>
    <col min="4898" max="4898" width="18.85546875" style="20" customWidth="1"/>
    <col min="4899" max="5120" width="9.140625" style="20"/>
    <col min="5121" max="5121" width="51.42578125" style="20" customWidth="1"/>
    <col min="5122" max="5122" width="15.28515625" style="20" customWidth="1"/>
    <col min="5123" max="5123" width="17.140625" style="20" customWidth="1"/>
    <col min="5124" max="5124" width="13.85546875" style="20" customWidth="1"/>
    <col min="5125" max="5125" width="15.42578125" style="20" customWidth="1"/>
    <col min="5126" max="5127" width="13.42578125" style="20" customWidth="1"/>
    <col min="5128" max="5128" width="17.42578125" style="20" customWidth="1"/>
    <col min="5129" max="5129" width="14.7109375" style="20" customWidth="1"/>
    <col min="5130" max="5130" width="13.5703125" style="20" customWidth="1"/>
    <col min="5131" max="5131" width="15.140625" style="20" customWidth="1"/>
    <col min="5132" max="5132" width="14.7109375" style="20" customWidth="1"/>
    <col min="5133" max="5133" width="15.140625" style="20" customWidth="1"/>
    <col min="5134" max="5134" width="14.140625" style="20" customWidth="1"/>
    <col min="5135" max="5135" width="14.7109375" style="20" customWidth="1"/>
    <col min="5136" max="5136" width="14.42578125" style="20" customWidth="1"/>
    <col min="5137" max="5137" width="15" style="20" customWidth="1"/>
    <col min="5138" max="5138" width="14.5703125" style="20" customWidth="1"/>
    <col min="5139" max="5139" width="14.85546875" style="20" customWidth="1"/>
    <col min="5140" max="5140" width="15" style="20" customWidth="1"/>
    <col min="5141" max="5151" width="16.140625" style="20" customWidth="1"/>
    <col min="5152" max="5152" width="58.140625" style="20" customWidth="1"/>
    <col min="5153" max="5153" width="3.7109375" style="20" customWidth="1"/>
    <col min="5154" max="5154" width="18.85546875" style="20" customWidth="1"/>
    <col min="5155" max="5376" width="9.140625" style="20"/>
    <col min="5377" max="5377" width="51.42578125" style="20" customWidth="1"/>
    <col min="5378" max="5378" width="15.28515625" style="20" customWidth="1"/>
    <col min="5379" max="5379" width="17.140625" style="20" customWidth="1"/>
    <col min="5380" max="5380" width="13.85546875" style="20" customWidth="1"/>
    <col min="5381" max="5381" width="15.42578125" style="20" customWidth="1"/>
    <col min="5382" max="5383" width="13.42578125" style="20" customWidth="1"/>
    <col min="5384" max="5384" width="17.42578125" style="20" customWidth="1"/>
    <col min="5385" max="5385" width="14.7109375" style="20" customWidth="1"/>
    <col min="5386" max="5386" width="13.5703125" style="20" customWidth="1"/>
    <col min="5387" max="5387" width="15.140625" style="20" customWidth="1"/>
    <col min="5388" max="5388" width="14.7109375" style="20" customWidth="1"/>
    <col min="5389" max="5389" width="15.140625" style="20" customWidth="1"/>
    <col min="5390" max="5390" width="14.140625" style="20" customWidth="1"/>
    <col min="5391" max="5391" width="14.7109375" style="20" customWidth="1"/>
    <col min="5392" max="5392" width="14.42578125" style="20" customWidth="1"/>
    <col min="5393" max="5393" width="15" style="20" customWidth="1"/>
    <col min="5394" max="5394" width="14.5703125" style="20" customWidth="1"/>
    <col min="5395" max="5395" width="14.85546875" style="20" customWidth="1"/>
    <col min="5396" max="5396" width="15" style="20" customWidth="1"/>
    <col min="5397" max="5407" width="16.140625" style="20" customWidth="1"/>
    <col min="5408" max="5408" width="58.140625" style="20" customWidth="1"/>
    <col min="5409" max="5409" width="3.7109375" style="20" customWidth="1"/>
    <col min="5410" max="5410" width="18.85546875" style="20" customWidth="1"/>
    <col min="5411" max="5632" width="9.140625" style="20"/>
    <col min="5633" max="5633" width="51.42578125" style="20" customWidth="1"/>
    <col min="5634" max="5634" width="15.28515625" style="20" customWidth="1"/>
    <col min="5635" max="5635" width="17.140625" style="20" customWidth="1"/>
    <col min="5636" max="5636" width="13.85546875" style="20" customWidth="1"/>
    <col min="5637" max="5637" width="15.42578125" style="20" customWidth="1"/>
    <col min="5638" max="5639" width="13.42578125" style="20" customWidth="1"/>
    <col min="5640" max="5640" width="17.42578125" style="20" customWidth="1"/>
    <col min="5641" max="5641" width="14.7109375" style="20" customWidth="1"/>
    <col min="5642" max="5642" width="13.5703125" style="20" customWidth="1"/>
    <col min="5643" max="5643" width="15.140625" style="20" customWidth="1"/>
    <col min="5644" max="5644" width="14.7109375" style="20" customWidth="1"/>
    <col min="5645" max="5645" width="15.140625" style="20" customWidth="1"/>
    <col min="5646" max="5646" width="14.140625" style="20" customWidth="1"/>
    <col min="5647" max="5647" width="14.7109375" style="20" customWidth="1"/>
    <col min="5648" max="5648" width="14.42578125" style="20" customWidth="1"/>
    <col min="5649" max="5649" width="15" style="20" customWidth="1"/>
    <col min="5650" max="5650" width="14.5703125" style="20" customWidth="1"/>
    <col min="5651" max="5651" width="14.85546875" style="20" customWidth="1"/>
    <col min="5652" max="5652" width="15" style="20" customWidth="1"/>
    <col min="5653" max="5663" width="16.140625" style="20" customWidth="1"/>
    <col min="5664" max="5664" width="58.140625" style="20" customWidth="1"/>
    <col min="5665" max="5665" width="3.7109375" style="20" customWidth="1"/>
    <col min="5666" max="5666" width="18.85546875" style="20" customWidth="1"/>
    <col min="5667" max="5888" width="9.140625" style="20"/>
    <col min="5889" max="5889" width="51.42578125" style="20" customWidth="1"/>
    <col min="5890" max="5890" width="15.28515625" style="20" customWidth="1"/>
    <col min="5891" max="5891" width="17.140625" style="20" customWidth="1"/>
    <col min="5892" max="5892" width="13.85546875" style="20" customWidth="1"/>
    <col min="5893" max="5893" width="15.42578125" style="20" customWidth="1"/>
    <col min="5894" max="5895" width="13.42578125" style="20" customWidth="1"/>
    <col min="5896" max="5896" width="17.42578125" style="20" customWidth="1"/>
    <col min="5897" max="5897" width="14.7109375" style="20" customWidth="1"/>
    <col min="5898" max="5898" width="13.5703125" style="20" customWidth="1"/>
    <col min="5899" max="5899" width="15.140625" style="20" customWidth="1"/>
    <col min="5900" max="5900" width="14.7109375" style="20" customWidth="1"/>
    <col min="5901" max="5901" width="15.140625" style="20" customWidth="1"/>
    <col min="5902" max="5902" width="14.140625" style="20" customWidth="1"/>
    <col min="5903" max="5903" width="14.7109375" style="20" customWidth="1"/>
    <col min="5904" max="5904" width="14.42578125" style="20" customWidth="1"/>
    <col min="5905" max="5905" width="15" style="20" customWidth="1"/>
    <col min="5906" max="5906" width="14.5703125" style="20" customWidth="1"/>
    <col min="5907" max="5907" width="14.85546875" style="20" customWidth="1"/>
    <col min="5908" max="5908" width="15" style="20" customWidth="1"/>
    <col min="5909" max="5919" width="16.140625" style="20" customWidth="1"/>
    <col min="5920" max="5920" width="58.140625" style="20" customWidth="1"/>
    <col min="5921" max="5921" width="3.7109375" style="20" customWidth="1"/>
    <col min="5922" max="5922" width="18.85546875" style="20" customWidth="1"/>
    <col min="5923" max="6144" width="9.140625" style="20"/>
    <col min="6145" max="6145" width="51.42578125" style="20" customWidth="1"/>
    <col min="6146" max="6146" width="15.28515625" style="20" customWidth="1"/>
    <col min="6147" max="6147" width="17.140625" style="20" customWidth="1"/>
    <col min="6148" max="6148" width="13.85546875" style="20" customWidth="1"/>
    <col min="6149" max="6149" width="15.42578125" style="20" customWidth="1"/>
    <col min="6150" max="6151" width="13.42578125" style="20" customWidth="1"/>
    <col min="6152" max="6152" width="17.42578125" style="20" customWidth="1"/>
    <col min="6153" max="6153" width="14.7109375" style="20" customWidth="1"/>
    <col min="6154" max="6154" width="13.5703125" style="20" customWidth="1"/>
    <col min="6155" max="6155" width="15.140625" style="20" customWidth="1"/>
    <col min="6156" max="6156" width="14.7109375" style="20" customWidth="1"/>
    <col min="6157" max="6157" width="15.140625" style="20" customWidth="1"/>
    <col min="6158" max="6158" width="14.140625" style="20" customWidth="1"/>
    <col min="6159" max="6159" width="14.7109375" style="20" customWidth="1"/>
    <col min="6160" max="6160" width="14.42578125" style="20" customWidth="1"/>
    <col min="6161" max="6161" width="15" style="20" customWidth="1"/>
    <col min="6162" max="6162" width="14.5703125" style="20" customWidth="1"/>
    <col min="6163" max="6163" width="14.85546875" style="20" customWidth="1"/>
    <col min="6164" max="6164" width="15" style="20" customWidth="1"/>
    <col min="6165" max="6175" width="16.140625" style="20" customWidth="1"/>
    <col min="6176" max="6176" width="58.140625" style="20" customWidth="1"/>
    <col min="6177" max="6177" width="3.7109375" style="20" customWidth="1"/>
    <col min="6178" max="6178" width="18.85546875" style="20" customWidth="1"/>
    <col min="6179" max="6400" width="9.140625" style="20"/>
    <col min="6401" max="6401" width="51.42578125" style="20" customWidth="1"/>
    <col min="6402" max="6402" width="15.28515625" style="20" customWidth="1"/>
    <col min="6403" max="6403" width="17.140625" style="20" customWidth="1"/>
    <col min="6404" max="6404" width="13.85546875" style="20" customWidth="1"/>
    <col min="6405" max="6405" width="15.42578125" style="20" customWidth="1"/>
    <col min="6406" max="6407" width="13.42578125" style="20" customWidth="1"/>
    <col min="6408" max="6408" width="17.42578125" style="20" customWidth="1"/>
    <col min="6409" max="6409" width="14.7109375" style="20" customWidth="1"/>
    <col min="6410" max="6410" width="13.5703125" style="20" customWidth="1"/>
    <col min="6411" max="6411" width="15.140625" style="20" customWidth="1"/>
    <col min="6412" max="6412" width="14.7109375" style="20" customWidth="1"/>
    <col min="6413" max="6413" width="15.140625" style="20" customWidth="1"/>
    <col min="6414" max="6414" width="14.140625" style="20" customWidth="1"/>
    <col min="6415" max="6415" width="14.7109375" style="20" customWidth="1"/>
    <col min="6416" max="6416" width="14.42578125" style="20" customWidth="1"/>
    <col min="6417" max="6417" width="15" style="20" customWidth="1"/>
    <col min="6418" max="6418" width="14.5703125" style="20" customWidth="1"/>
    <col min="6419" max="6419" width="14.85546875" style="20" customWidth="1"/>
    <col min="6420" max="6420" width="15" style="20" customWidth="1"/>
    <col min="6421" max="6431" width="16.140625" style="20" customWidth="1"/>
    <col min="6432" max="6432" width="58.140625" style="20" customWidth="1"/>
    <col min="6433" max="6433" width="3.7109375" style="20" customWidth="1"/>
    <col min="6434" max="6434" width="18.85546875" style="20" customWidth="1"/>
    <col min="6435" max="6656" width="9.140625" style="20"/>
    <col min="6657" max="6657" width="51.42578125" style="20" customWidth="1"/>
    <col min="6658" max="6658" width="15.28515625" style="20" customWidth="1"/>
    <col min="6659" max="6659" width="17.140625" style="20" customWidth="1"/>
    <col min="6660" max="6660" width="13.85546875" style="20" customWidth="1"/>
    <col min="6661" max="6661" width="15.42578125" style="20" customWidth="1"/>
    <col min="6662" max="6663" width="13.42578125" style="20" customWidth="1"/>
    <col min="6664" max="6664" width="17.42578125" style="20" customWidth="1"/>
    <col min="6665" max="6665" width="14.7109375" style="20" customWidth="1"/>
    <col min="6666" max="6666" width="13.5703125" style="20" customWidth="1"/>
    <col min="6667" max="6667" width="15.140625" style="20" customWidth="1"/>
    <col min="6668" max="6668" width="14.7109375" style="20" customWidth="1"/>
    <col min="6669" max="6669" width="15.140625" style="20" customWidth="1"/>
    <col min="6670" max="6670" width="14.140625" style="20" customWidth="1"/>
    <col min="6671" max="6671" width="14.7109375" style="20" customWidth="1"/>
    <col min="6672" max="6672" width="14.42578125" style="20" customWidth="1"/>
    <col min="6673" max="6673" width="15" style="20" customWidth="1"/>
    <col min="6674" max="6674" width="14.5703125" style="20" customWidth="1"/>
    <col min="6675" max="6675" width="14.85546875" style="20" customWidth="1"/>
    <col min="6676" max="6676" width="15" style="20" customWidth="1"/>
    <col min="6677" max="6687" width="16.140625" style="20" customWidth="1"/>
    <col min="6688" max="6688" width="58.140625" style="20" customWidth="1"/>
    <col min="6689" max="6689" width="3.7109375" style="20" customWidth="1"/>
    <col min="6690" max="6690" width="18.85546875" style="20" customWidth="1"/>
    <col min="6691" max="6912" width="9.140625" style="20"/>
    <col min="6913" max="6913" width="51.42578125" style="20" customWidth="1"/>
    <col min="6914" max="6914" width="15.28515625" style="20" customWidth="1"/>
    <col min="6915" max="6915" width="17.140625" style="20" customWidth="1"/>
    <col min="6916" max="6916" width="13.85546875" style="20" customWidth="1"/>
    <col min="6917" max="6917" width="15.42578125" style="20" customWidth="1"/>
    <col min="6918" max="6919" width="13.42578125" style="20" customWidth="1"/>
    <col min="6920" max="6920" width="17.42578125" style="20" customWidth="1"/>
    <col min="6921" max="6921" width="14.7109375" style="20" customWidth="1"/>
    <col min="6922" max="6922" width="13.5703125" style="20" customWidth="1"/>
    <col min="6923" max="6923" width="15.140625" style="20" customWidth="1"/>
    <col min="6924" max="6924" width="14.7109375" style="20" customWidth="1"/>
    <col min="6925" max="6925" width="15.140625" style="20" customWidth="1"/>
    <col min="6926" max="6926" width="14.140625" style="20" customWidth="1"/>
    <col min="6927" max="6927" width="14.7109375" style="20" customWidth="1"/>
    <col min="6928" max="6928" width="14.42578125" style="20" customWidth="1"/>
    <col min="6929" max="6929" width="15" style="20" customWidth="1"/>
    <col min="6930" max="6930" width="14.5703125" style="20" customWidth="1"/>
    <col min="6931" max="6931" width="14.85546875" style="20" customWidth="1"/>
    <col min="6932" max="6932" width="15" style="20" customWidth="1"/>
    <col min="6933" max="6943" width="16.140625" style="20" customWidth="1"/>
    <col min="6944" max="6944" width="58.140625" style="20" customWidth="1"/>
    <col min="6945" max="6945" width="3.7109375" style="20" customWidth="1"/>
    <col min="6946" max="6946" width="18.85546875" style="20" customWidth="1"/>
    <col min="6947" max="7168" width="9.140625" style="20"/>
    <col min="7169" max="7169" width="51.42578125" style="20" customWidth="1"/>
    <col min="7170" max="7170" width="15.28515625" style="20" customWidth="1"/>
    <col min="7171" max="7171" width="17.140625" style="20" customWidth="1"/>
    <col min="7172" max="7172" width="13.85546875" style="20" customWidth="1"/>
    <col min="7173" max="7173" width="15.42578125" style="20" customWidth="1"/>
    <col min="7174" max="7175" width="13.42578125" style="20" customWidth="1"/>
    <col min="7176" max="7176" width="17.42578125" style="20" customWidth="1"/>
    <col min="7177" max="7177" width="14.7109375" style="20" customWidth="1"/>
    <col min="7178" max="7178" width="13.5703125" style="20" customWidth="1"/>
    <col min="7179" max="7179" width="15.140625" style="20" customWidth="1"/>
    <col min="7180" max="7180" width="14.7109375" style="20" customWidth="1"/>
    <col min="7181" max="7181" width="15.140625" style="20" customWidth="1"/>
    <col min="7182" max="7182" width="14.140625" style="20" customWidth="1"/>
    <col min="7183" max="7183" width="14.7109375" style="20" customWidth="1"/>
    <col min="7184" max="7184" width="14.42578125" style="20" customWidth="1"/>
    <col min="7185" max="7185" width="15" style="20" customWidth="1"/>
    <col min="7186" max="7186" width="14.5703125" style="20" customWidth="1"/>
    <col min="7187" max="7187" width="14.85546875" style="20" customWidth="1"/>
    <col min="7188" max="7188" width="15" style="20" customWidth="1"/>
    <col min="7189" max="7199" width="16.140625" style="20" customWidth="1"/>
    <col min="7200" max="7200" width="58.140625" style="20" customWidth="1"/>
    <col min="7201" max="7201" width="3.7109375" style="20" customWidth="1"/>
    <col min="7202" max="7202" width="18.85546875" style="20" customWidth="1"/>
    <col min="7203" max="7424" width="9.140625" style="20"/>
    <col min="7425" max="7425" width="51.42578125" style="20" customWidth="1"/>
    <col min="7426" max="7426" width="15.28515625" style="20" customWidth="1"/>
    <col min="7427" max="7427" width="17.140625" style="20" customWidth="1"/>
    <col min="7428" max="7428" width="13.85546875" style="20" customWidth="1"/>
    <col min="7429" max="7429" width="15.42578125" style="20" customWidth="1"/>
    <col min="7430" max="7431" width="13.42578125" style="20" customWidth="1"/>
    <col min="7432" max="7432" width="17.42578125" style="20" customWidth="1"/>
    <col min="7433" max="7433" width="14.7109375" style="20" customWidth="1"/>
    <col min="7434" max="7434" width="13.5703125" style="20" customWidth="1"/>
    <col min="7435" max="7435" width="15.140625" style="20" customWidth="1"/>
    <col min="7436" max="7436" width="14.7109375" style="20" customWidth="1"/>
    <col min="7437" max="7437" width="15.140625" style="20" customWidth="1"/>
    <col min="7438" max="7438" width="14.140625" style="20" customWidth="1"/>
    <col min="7439" max="7439" width="14.7109375" style="20" customWidth="1"/>
    <col min="7440" max="7440" width="14.42578125" style="20" customWidth="1"/>
    <col min="7441" max="7441" width="15" style="20" customWidth="1"/>
    <col min="7442" max="7442" width="14.5703125" style="20" customWidth="1"/>
    <col min="7443" max="7443" width="14.85546875" style="20" customWidth="1"/>
    <col min="7444" max="7444" width="15" style="20" customWidth="1"/>
    <col min="7445" max="7455" width="16.140625" style="20" customWidth="1"/>
    <col min="7456" max="7456" width="58.140625" style="20" customWidth="1"/>
    <col min="7457" max="7457" width="3.7109375" style="20" customWidth="1"/>
    <col min="7458" max="7458" width="18.85546875" style="20" customWidth="1"/>
    <col min="7459" max="7680" width="9.140625" style="20"/>
    <col min="7681" max="7681" width="51.42578125" style="20" customWidth="1"/>
    <col min="7682" max="7682" width="15.28515625" style="20" customWidth="1"/>
    <col min="7683" max="7683" width="17.140625" style="20" customWidth="1"/>
    <col min="7684" max="7684" width="13.85546875" style="20" customWidth="1"/>
    <col min="7685" max="7685" width="15.42578125" style="20" customWidth="1"/>
    <col min="7686" max="7687" width="13.42578125" style="20" customWidth="1"/>
    <col min="7688" max="7688" width="17.42578125" style="20" customWidth="1"/>
    <col min="7689" max="7689" width="14.7109375" style="20" customWidth="1"/>
    <col min="7690" max="7690" width="13.5703125" style="20" customWidth="1"/>
    <col min="7691" max="7691" width="15.140625" style="20" customWidth="1"/>
    <col min="7692" max="7692" width="14.7109375" style="20" customWidth="1"/>
    <col min="7693" max="7693" width="15.140625" style="20" customWidth="1"/>
    <col min="7694" max="7694" width="14.140625" style="20" customWidth="1"/>
    <col min="7695" max="7695" width="14.7109375" style="20" customWidth="1"/>
    <col min="7696" max="7696" width="14.42578125" style="20" customWidth="1"/>
    <col min="7697" max="7697" width="15" style="20" customWidth="1"/>
    <col min="7698" max="7698" width="14.5703125" style="20" customWidth="1"/>
    <col min="7699" max="7699" width="14.85546875" style="20" customWidth="1"/>
    <col min="7700" max="7700" width="15" style="20" customWidth="1"/>
    <col min="7701" max="7711" width="16.140625" style="20" customWidth="1"/>
    <col min="7712" max="7712" width="58.140625" style="20" customWidth="1"/>
    <col min="7713" max="7713" width="3.7109375" style="20" customWidth="1"/>
    <col min="7714" max="7714" width="18.85546875" style="20" customWidth="1"/>
    <col min="7715" max="7936" width="9.140625" style="20"/>
    <col min="7937" max="7937" width="51.42578125" style="20" customWidth="1"/>
    <col min="7938" max="7938" width="15.28515625" style="20" customWidth="1"/>
    <col min="7939" max="7939" width="17.140625" style="20" customWidth="1"/>
    <col min="7940" max="7940" width="13.85546875" style="20" customWidth="1"/>
    <col min="7941" max="7941" width="15.42578125" style="20" customWidth="1"/>
    <col min="7942" max="7943" width="13.42578125" style="20" customWidth="1"/>
    <col min="7944" max="7944" width="17.42578125" style="20" customWidth="1"/>
    <col min="7945" max="7945" width="14.7109375" style="20" customWidth="1"/>
    <col min="7946" max="7946" width="13.5703125" style="20" customWidth="1"/>
    <col min="7947" max="7947" width="15.140625" style="20" customWidth="1"/>
    <col min="7948" max="7948" width="14.7109375" style="20" customWidth="1"/>
    <col min="7949" max="7949" width="15.140625" style="20" customWidth="1"/>
    <col min="7950" max="7950" width="14.140625" style="20" customWidth="1"/>
    <col min="7951" max="7951" width="14.7109375" style="20" customWidth="1"/>
    <col min="7952" max="7952" width="14.42578125" style="20" customWidth="1"/>
    <col min="7953" max="7953" width="15" style="20" customWidth="1"/>
    <col min="7954" max="7954" width="14.5703125" style="20" customWidth="1"/>
    <col min="7955" max="7955" width="14.85546875" style="20" customWidth="1"/>
    <col min="7956" max="7956" width="15" style="20" customWidth="1"/>
    <col min="7957" max="7967" width="16.140625" style="20" customWidth="1"/>
    <col min="7968" max="7968" width="58.140625" style="20" customWidth="1"/>
    <col min="7969" max="7969" width="3.7109375" style="20" customWidth="1"/>
    <col min="7970" max="7970" width="18.85546875" style="20" customWidth="1"/>
    <col min="7971" max="8192" width="9.140625" style="20"/>
    <col min="8193" max="8193" width="51.42578125" style="20" customWidth="1"/>
    <col min="8194" max="8194" width="15.28515625" style="20" customWidth="1"/>
    <col min="8195" max="8195" width="17.140625" style="20" customWidth="1"/>
    <col min="8196" max="8196" width="13.85546875" style="20" customWidth="1"/>
    <col min="8197" max="8197" width="15.42578125" style="20" customWidth="1"/>
    <col min="8198" max="8199" width="13.42578125" style="20" customWidth="1"/>
    <col min="8200" max="8200" width="17.42578125" style="20" customWidth="1"/>
    <col min="8201" max="8201" width="14.7109375" style="20" customWidth="1"/>
    <col min="8202" max="8202" width="13.5703125" style="20" customWidth="1"/>
    <col min="8203" max="8203" width="15.140625" style="20" customWidth="1"/>
    <col min="8204" max="8204" width="14.7109375" style="20" customWidth="1"/>
    <col min="8205" max="8205" width="15.140625" style="20" customWidth="1"/>
    <col min="8206" max="8206" width="14.140625" style="20" customWidth="1"/>
    <col min="8207" max="8207" width="14.7109375" style="20" customWidth="1"/>
    <col min="8208" max="8208" width="14.42578125" style="20" customWidth="1"/>
    <col min="8209" max="8209" width="15" style="20" customWidth="1"/>
    <col min="8210" max="8210" width="14.5703125" style="20" customWidth="1"/>
    <col min="8211" max="8211" width="14.85546875" style="20" customWidth="1"/>
    <col min="8212" max="8212" width="15" style="20" customWidth="1"/>
    <col min="8213" max="8223" width="16.140625" style="20" customWidth="1"/>
    <col min="8224" max="8224" width="58.140625" style="20" customWidth="1"/>
    <col min="8225" max="8225" width="3.7109375" style="20" customWidth="1"/>
    <col min="8226" max="8226" width="18.85546875" style="20" customWidth="1"/>
    <col min="8227" max="8448" width="9.140625" style="20"/>
    <col min="8449" max="8449" width="51.42578125" style="20" customWidth="1"/>
    <col min="8450" max="8450" width="15.28515625" style="20" customWidth="1"/>
    <col min="8451" max="8451" width="17.140625" style="20" customWidth="1"/>
    <col min="8452" max="8452" width="13.85546875" style="20" customWidth="1"/>
    <col min="8453" max="8453" width="15.42578125" style="20" customWidth="1"/>
    <col min="8454" max="8455" width="13.42578125" style="20" customWidth="1"/>
    <col min="8456" max="8456" width="17.42578125" style="20" customWidth="1"/>
    <col min="8457" max="8457" width="14.7109375" style="20" customWidth="1"/>
    <col min="8458" max="8458" width="13.5703125" style="20" customWidth="1"/>
    <col min="8459" max="8459" width="15.140625" style="20" customWidth="1"/>
    <col min="8460" max="8460" width="14.7109375" style="20" customWidth="1"/>
    <col min="8461" max="8461" width="15.140625" style="20" customWidth="1"/>
    <col min="8462" max="8462" width="14.140625" style="20" customWidth="1"/>
    <col min="8463" max="8463" width="14.7109375" style="20" customWidth="1"/>
    <col min="8464" max="8464" width="14.42578125" style="20" customWidth="1"/>
    <col min="8465" max="8465" width="15" style="20" customWidth="1"/>
    <col min="8466" max="8466" width="14.5703125" style="20" customWidth="1"/>
    <col min="8467" max="8467" width="14.85546875" style="20" customWidth="1"/>
    <col min="8468" max="8468" width="15" style="20" customWidth="1"/>
    <col min="8469" max="8479" width="16.140625" style="20" customWidth="1"/>
    <col min="8480" max="8480" width="58.140625" style="20" customWidth="1"/>
    <col min="8481" max="8481" width="3.7109375" style="20" customWidth="1"/>
    <col min="8482" max="8482" width="18.85546875" style="20" customWidth="1"/>
    <col min="8483" max="8704" width="9.140625" style="20"/>
    <col min="8705" max="8705" width="51.42578125" style="20" customWidth="1"/>
    <col min="8706" max="8706" width="15.28515625" style="20" customWidth="1"/>
    <col min="8707" max="8707" width="17.140625" style="20" customWidth="1"/>
    <col min="8708" max="8708" width="13.85546875" style="20" customWidth="1"/>
    <col min="8709" max="8709" width="15.42578125" style="20" customWidth="1"/>
    <col min="8710" max="8711" width="13.42578125" style="20" customWidth="1"/>
    <col min="8712" max="8712" width="17.42578125" style="20" customWidth="1"/>
    <col min="8713" max="8713" width="14.7109375" style="20" customWidth="1"/>
    <col min="8714" max="8714" width="13.5703125" style="20" customWidth="1"/>
    <col min="8715" max="8715" width="15.140625" style="20" customWidth="1"/>
    <col min="8716" max="8716" width="14.7109375" style="20" customWidth="1"/>
    <col min="8717" max="8717" width="15.140625" style="20" customWidth="1"/>
    <col min="8718" max="8718" width="14.140625" style="20" customWidth="1"/>
    <col min="8719" max="8719" width="14.7109375" style="20" customWidth="1"/>
    <col min="8720" max="8720" width="14.42578125" style="20" customWidth="1"/>
    <col min="8721" max="8721" width="15" style="20" customWidth="1"/>
    <col min="8722" max="8722" width="14.5703125" style="20" customWidth="1"/>
    <col min="8723" max="8723" width="14.85546875" style="20" customWidth="1"/>
    <col min="8724" max="8724" width="15" style="20" customWidth="1"/>
    <col min="8725" max="8735" width="16.140625" style="20" customWidth="1"/>
    <col min="8736" max="8736" width="58.140625" style="20" customWidth="1"/>
    <col min="8737" max="8737" width="3.7109375" style="20" customWidth="1"/>
    <col min="8738" max="8738" width="18.85546875" style="20" customWidth="1"/>
    <col min="8739" max="8960" width="9.140625" style="20"/>
    <col min="8961" max="8961" width="51.42578125" style="20" customWidth="1"/>
    <col min="8962" max="8962" width="15.28515625" style="20" customWidth="1"/>
    <col min="8963" max="8963" width="17.140625" style="20" customWidth="1"/>
    <col min="8964" max="8964" width="13.85546875" style="20" customWidth="1"/>
    <col min="8965" max="8965" width="15.42578125" style="20" customWidth="1"/>
    <col min="8966" max="8967" width="13.42578125" style="20" customWidth="1"/>
    <col min="8968" max="8968" width="17.42578125" style="20" customWidth="1"/>
    <col min="8969" max="8969" width="14.7109375" style="20" customWidth="1"/>
    <col min="8970" max="8970" width="13.5703125" style="20" customWidth="1"/>
    <col min="8971" max="8971" width="15.140625" style="20" customWidth="1"/>
    <col min="8972" max="8972" width="14.7109375" style="20" customWidth="1"/>
    <col min="8973" max="8973" width="15.140625" style="20" customWidth="1"/>
    <col min="8974" max="8974" width="14.140625" style="20" customWidth="1"/>
    <col min="8975" max="8975" width="14.7109375" style="20" customWidth="1"/>
    <col min="8976" max="8976" width="14.42578125" style="20" customWidth="1"/>
    <col min="8977" max="8977" width="15" style="20" customWidth="1"/>
    <col min="8978" max="8978" width="14.5703125" style="20" customWidth="1"/>
    <col min="8979" max="8979" width="14.85546875" style="20" customWidth="1"/>
    <col min="8980" max="8980" width="15" style="20" customWidth="1"/>
    <col min="8981" max="8991" width="16.140625" style="20" customWidth="1"/>
    <col min="8992" max="8992" width="58.140625" style="20" customWidth="1"/>
    <col min="8993" max="8993" width="3.7109375" style="20" customWidth="1"/>
    <col min="8994" max="8994" width="18.85546875" style="20" customWidth="1"/>
    <col min="8995" max="9216" width="9.140625" style="20"/>
    <col min="9217" max="9217" width="51.42578125" style="20" customWidth="1"/>
    <col min="9218" max="9218" width="15.28515625" style="20" customWidth="1"/>
    <col min="9219" max="9219" width="17.140625" style="20" customWidth="1"/>
    <col min="9220" max="9220" width="13.85546875" style="20" customWidth="1"/>
    <col min="9221" max="9221" width="15.42578125" style="20" customWidth="1"/>
    <col min="9222" max="9223" width="13.42578125" style="20" customWidth="1"/>
    <col min="9224" max="9224" width="17.42578125" style="20" customWidth="1"/>
    <col min="9225" max="9225" width="14.7109375" style="20" customWidth="1"/>
    <col min="9226" max="9226" width="13.5703125" style="20" customWidth="1"/>
    <col min="9227" max="9227" width="15.140625" style="20" customWidth="1"/>
    <col min="9228" max="9228" width="14.7109375" style="20" customWidth="1"/>
    <col min="9229" max="9229" width="15.140625" style="20" customWidth="1"/>
    <col min="9230" max="9230" width="14.140625" style="20" customWidth="1"/>
    <col min="9231" max="9231" width="14.7109375" style="20" customWidth="1"/>
    <col min="9232" max="9232" width="14.42578125" style="20" customWidth="1"/>
    <col min="9233" max="9233" width="15" style="20" customWidth="1"/>
    <col min="9234" max="9234" width="14.5703125" style="20" customWidth="1"/>
    <col min="9235" max="9235" width="14.85546875" style="20" customWidth="1"/>
    <col min="9236" max="9236" width="15" style="20" customWidth="1"/>
    <col min="9237" max="9247" width="16.140625" style="20" customWidth="1"/>
    <col min="9248" max="9248" width="58.140625" style="20" customWidth="1"/>
    <col min="9249" max="9249" width="3.7109375" style="20" customWidth="1"/>
    <col min="9250" max="9250" width="18.85546875" style="20" customWidth="1"/>
    <col min="9251" max="9472" width="9.140625" style="20"/>
    <col min="9473" max="9473" width="51.42578125" style="20" customWidth="1"/>
    <col min="9474" max="9474" width="15.28515625" style="20" customWidth="1"/>
    <col min="9475" max="9475" width="17.140625" style="20" customWidth="1"/>
    <col min="9476" max="9476" width="13.85546875" style="20" customWidth="1"/>
    <col min="9477" max="9477" width="15.42578125" style="20" customWidth="1"/>
    <col min="9478" max="9479" width="13.42578125" style="20" customWidth="1"/>
    <col min="9480" max="9480" width="17.42578125" style="20" customWidth="1"/>
    <col min="9481" max="9481" width="14.7109375" style="20" customWidth="1"/>
    <col min="9482" max="9482" width="13.5703125" style="20" customWidth="1"/>
    <col min="9483" max="9483" width="15.140625" style="20" customWidth="1"/>
    <col min="9484" max="9484" width="14.7109375" style="20" customWidth="1"/>
    <col min="9485" max="9485" width="15.140625" style="20" customWidth="1"/>
    <col min="9486" max="9486" width="14.140625" style="20" customWidth="1"/>
    <col min="9487" max="9487" width="14.7109375" style="20" customWidth="1"/>
    <col min="9488" max="9488" width="14.42578125" style="20" customWidth="1"/>
    <col min="9489" max="9489" width="15" style="20" customWidth="1"/>
    <col min="9490" max="9490" width="14.5703125" style="20" customWidth="1"/>
    <col min="9491" max="9491" width="14.85546875" style="20" customWidth="1"/>
    <col min="9492" max="9492" width="15" style="20" customWidth="1"/>
    <col min="9493" max="9503" width="16.140625" style="20" customWidth="1"/>
    <col min="9504" max="9504" width="58.140625" style="20" customWidth="1"/>
    <col min="9505" max="9505" width="3.7109375" style="20" customWidth="1"/>
    <col min="9506" max="9506" width="18.85546875" style="20" customWidth="1"/>
    <col min="9507" max="9728" width="9.140625" style="20"/>
    <col min="9729" max="9729" width="51.42578125" style="20" customWidth="1"/>
    <col min="9730" max="9730" width="15.28515625" style="20" customWidth="1"/>
    <col min="9731" max="9731" width="17.140625" style="20" customWidth="1"/>
    <col min="9732" max="9732" width="13.85546875" style="20" customWidth="1"/>
    <col min="9733" max="9733" width="15.42578125" style="20" customWidth="1"/>
    <col min="9734" max="9735" width="13.42578125" style="20" customWidth="1"/>
    <col min="9736" max="9736" width="17.42578125" style="20" customWidth="1"/>
    <col min="9737" max="9737" width="14.7109375" style="20" customWidth="1"/>
    <col min="9738" max="9738" width="13.5703125" style="20" customWidth="1"/>
    <col min="9739" max="9739" width="15.140625" style="20" customWidth="1"/>
    <col min="9740" max="9740" width="14.7109375" style="20" customWidth="1"/>
    <col min="9741" max="9741" width="15.140625" style="20" customWidth="1"/>
    <col min="9742" max="9742" width="14.140625" style="20" customWidth="1"/>
    <col min="9743" max="9743" width="14.7109375" style="20" customWidth="1"/>
    <col min="9744" max="9744" width="14.42578125" style="20" customWidth="1"/>
    <col min="9745" max="9745" width="15" style="20" customWidth="1"/>
    <col min="9746" max="9746" width="14.5703125" style="20" customWidth="1"/>
    <col min="9747" max="9747" width="14.85546875" style="20" customWidth="1"/>
    <col min="9748" max="9748" width="15" style="20" customWidth="1"/>
    <col min="9749" max="9759" width="16.140625" style="20" customWidth="1"/>
    <col min="9760" max="9760" width="58.140625" style="20" customWidth="1"/>
    <col min="9761" max="9761" width="3.7109375" style="20" customWidth="1"/>
    <col min="9762" max="9762" width="18.85546875" style="20" customWidth="1"/>
    <col min="9763" max="9984" width="9.140625" style="20"/>
    <col min="9985" max="9985" width="51.42578125" style="20" customWidth="1"/>
    <col min="9986" max="9986" width="15.28515625" style="20" customWidth="1"/>
    <col min="9987" max="9987" width="17.140625" style="20" customWidth="1"/>
    <col min="9988" max="9988" width="13.85546875" style="20" customWidth="1"/>
    <col min="9989" max="9989" width="15.42578125" style="20" customWidth="1"/>
    <col min="9990" max="9991" width="13.42578125" style="20" customWidth="1"/>
    <col min="9992" max="9992" width="17.42578125" style="20" customWidth="1"/>
    <col min="9993" max="9993" width="14.7109375" style="20" customWidth="1"/>
    <col min="9994" max="9994" width="13.5703125" style="20" customWidth="1"/>
    <col min="9995" max="9995" width="15.140625" style="20" customWidth="1"/>
    <col min="9996" max="9996" width="14.7109375" style="20" customWidth="1"/>
    <col min="9997" max="9997" width="15.140625" style="20" customWidth="1"/>
    <col min="9998" max="9998" width="14.140625" style="20" customWidth="1"/>
    <col min="9999" max="9999" width="14.7109375" style="20" customWidth="1"/>
    <col min="10000" max="10000" width="14.42578125" style="20" customWidth="1"/>
    <col min="10001" max="10001" width="15" style="20" customWidth="1"/>
    <col min="10002" max="10002" width="14.5703125" style="20" customWidth="1"/>
    <col min="10003" max="10003" width="14.85546875" style="20" customWidth="1"/>
    <col min="10004" max="10004" width="15" style="20" customWidth="1"/>
    <col min="10005" max="10015" width="16.140625" style="20" customWidth="1"/>
    <col min="10016" max="10016" width="58.140625" style="20" customWidth="1"/>
    <col min="10017" max="10017" width="3.7109375" style="20" customWidth="1"/>
    <col min="10018" max="10018" width="18.85546875" style="20" customWidth="1"/>
    <col min="10019" max="10240" width="9.140625" style="20"/>
    <col min="10241" max="10241" width="51.42578125" style="20" customWidth="1"/>
    <col min="10242" max="10242" width="15.28515625" style="20" customWidth="1"/>
    <col min="10243" max="10243" width="17.140625" style="20" customWidth="1"/>
    <col min="10244" max="10244" width="13.85546875" style="20" customWidth="1"/>
    <col min="10245" max="10245" width="15.42578125" style="20" customWidth="1"/>
    <col min="10246" max="10247" width="13.42578125" style="20" customWidth="1"/>
    <col min="10248" max="10248" width="17.42578125" style="20" customWidth="1"/>
    <col min="10249" max="10249" width="14.7109375" style="20" customWidth="1"/>
    <col min="10250" max="10250" width="13.5703125" style="20" customWidth="1"/>
    <col min="10251" max="10251" width="15.140625" style="20" customWidth="1"/>
    <col min="10252" max="10252" width="14.7109375" style="20" customWidth="1"/>
    <col min="10253" max="10253" width="15.140625" style="20" customWidth="1"/>
    <col min="10254" max="10254" width="14.140625" style="20" customWidth="1"/>
    <col min="10255" max="10255" width="14.7109375" style="20" customWidth="1"/>
    <col min="10256" max="10256" width="14.42578125" style="20" customWidth="1"/>
    <col min="10257" max="10257" width="15" style="20" customWidth="1"/>
    <col min="10258" max="10258" width="14.5703125" style="20" customWidth="1"/>
    <col min="10259" max="10259" width="14.85546875" style="20" customWidth="1"/>
    <col min="10260" max="10260" width="15" style="20" customWidth="1"/>
    <col min="10261" max="10271" width="16.140625" style="20" customWidth="1"/>
    <col min="10272" max="10272" width="58.140625" style="20" customWidth="1"/>
    <col min="10273" max="10273" width="3.7109375" style="20" customWidth="1"/>
    <col min="10274" max="10274" width="18.85546875" style="20" customWidth="1"/>
    <col min="10275" max="10496" width="9.140625" style="20"/>
    <col min="10497" max="10497" width="51.42578125" style="20" customWidth="1"/>
    <col min="10498" max="10498" width="15.28515625" style="20" customWidth="1"/>
    <col min="10499" max="10499" width="17.140625" style="20" customWidth="1"/>
    <col min="10500" max="10500" width="13.85546875" style="20" customWidth="1"/>
    <col min="10501" max="10501" width="15.42578125" style="20" customWidth="1"/>
    <col min="10502" max="10503" width="13.42578125" style="20" customWidth="1"/>
    <col min="10504" max="10504" width="17.42578125" style="20" customWidth="1"/>
    <col min="10505" max="10505" width="14.7109375" style="20" customWidth="1"/>
    <col min="10506" max="10506" width="13.5703125" style="20" customWidth="1"/>
    <col min="10507" max="10507" width="15.140625" style="20" customWidth="1"/>
    <col min="10508" max="10508" width="14.7109375" style="20" customWidth="1"/>
    <col min="10509" max="10509" width="15.140625" style="20" customWidth="1"/>
    <col min="10510" max="10510" width="14.140625" style="20" customWidth="1"/>
    <col min="10511" max="10511" width="14.7109375" style="20" customWidth="1"/>
    <col min="10512" max="10512" width="14.42578125" style="20" customWidth="1"/>
    <col min="10513" max="10513" width="15" style="20" customWidth="1"/>
    <col min="10514" max="10514" width="14.5703125" style="20" customWidth="1"/>
    <col min="10515" max="10515" width="14.85546875" style="20" customWidth="1"/>
    <col min="10516" max="10516" width="15" style="20" customWidth="1"/>
    <col min="10517" max="10527" width="16.140625" style="20" customWidth="1"/>
    <col min="10528" max="10528" width="58.140625" style="20" customWidth="1"/>
    <col min="10529" max="10529" width="3.7109375" style="20" customWidth="1"/>
    <col min="10530" max="10530" width="18.85546875" style="20" customWidth="1"/>
    <col min="10531" max="10752" width="9.140625" style="20"/>
    <col min="10753" max="10753" width="51.42578125" style="20" customWidth="1"/>
    <col min="10754" max="10754" width="15.28515625" style="20" customWidth="1"/>
    <col min="10755" max="10755" width="17.140625" style="20" customWidth="1"/>
    <col min="10756" max="10756" width="13.85546875" style="20" customWidth="1"/>
    <col min="10757" max="10757" width="15.42578125" style="20" customWidth="1"/>
    <col min="10758" max="10759" width="13.42578125" style="20" customWidth="1"/>
    <col min="10760" max="10760" width="17.42578125" style="20" customWidth="1"/>
    <col min="10761" max="10761" width="14.7109375" style="20" customWidth="1"/>
    <col min="10762" max="10762" width="13.5703125" style="20" customWidth="1"/>
    <col min="10763" max="10763" width="15.140625" style="20" customWidth="1"/>
    <col min="10764" max="10764" width="14.7109375" style="20" customWidth="1"/>
    <col min="10765" max="10765" width="15.140625" style="20" customWidth="1"/>
    <col min="10766" max="10766" width="14.140625" style="20" customWidth="1"/>
    <col min="10767" max="10767" width="14.7109375" style="20" customWidth="1"/>
    <col min="10768" max="10768" width="14.42578125" style="20" customWidth="1"/>
    <col min="10769" max="10769" width="15" style="20" customWidth="1"/>
    <col min="10770" max="10770" width="14.5703125" style="20" customWidth="1"/>
    <col min="10771" max="10771" width="14.85546875" style="20" customWidth="1"/>
    <col min="10772" max="10772" width="15" style="20" customWidth="1"/>
    <col min="10773" max="10783" width="16.140625" style="20" customWidth="1"/>
    <col min="10784" max="10784" width="58.140625" style="20" customWidth="1"/>
    <col min="10785" max="10785" width="3.7109375" style="20" customWidth="1"/>
    <col min="10786" max="10786" width="18.85546875" style="20" customWidth="1"/>
    <col min="10787" max="11008" width="9.140625" style="20"/>
    <col min="11009" max="11009" width="51.42578125" style="20" customWidth="1"/>
    <col min="11010" max="11010" width="15.28515625" style="20" customWidth="1"/>
    <col min="11011" max="11011" width="17.140625" style="20" customWidth="1"/>
    <col min="11012" max="11012" width="13.85546875" style="20" customWidth="1"/>
    <col min="11013" max="11013" width="15.42578125" style="20" customWidth="1"/>
    <col min="11014" max="11015" width="13.42578125" style="20" customWidth="1"/>
    <col min="11016" max="11016" width="17.42578125" style="20" customWidth="1"/>
    <col min="11017" max="11017" width="14.7109375" style="20" customWidth="1"/>
    <col min="11018" max="11018" width="13.5703125" style="20" customWidth="1"/>
    <col min="11019" max="11019" width="15.140625" style="20" customWidth="1"/>
    <col min="11020" max="11020" width="14.7109375" style="20" customWidth="1"/>
    <col min="11021" max="11021" width="15.140625" style="20" customWidth="1"/>
    <col min="11022" max="11022" width="14.140625" style="20" customWidth="1"/>
    <col min="11023" max="11023" width="14.7109375" style="20" customWidth="1"/>
    <col min="11024" max="11024" width="14.42578125" style="20" customWidth="1"/>
    <col min="11025" max="11025" width="15" style="20" customWidth="1"/>
    <col min="11026" max="11026" width="14.5703125" style="20" customWidth="1"/>
    <col min="11027" max="11027" width="14.85546875" style="20" customWidth="1"/>
    <col min="11028" max="11028" width="15" style="20" customWidth="1"/>
    <col min="11029" max="11039" width="16.140625" style="20" customWidth="1"/>
    <col min="11040" max="11040" width="58.140625" style="20" customWidth="1"/>
    <col min="11041" max="11041" width="3.7109375" style="20" customWidth="1"/>
    <col min="11042" max="11042" width="18.85546875" style="20" customWidth="1"/>
    <col min="11043" max="11264" width="9.140625" style="20"/>
    <col min="11265" max="11265" width="51.42578125" style="20" customWidth="1"/>
    <col min="11266" max="11266" width="15.28515625" style="20" customWidth="1"/>
    <col min="11267" max="11267" width="17.140625" style="20" customWidth="1"/>
    <col min="11268" max="11268" width="13.85546875" style="20" customWidth="1"/>
    <col min="11269" max="11269" width="15.42578125" style="20" customWidth="1"/>
    <col min="11270" max="11271" width="13.42578125" style="20" customWidth="1"/>
    <col min="11272" max="11272" width="17.42578125" style="20" customWidth="1"/>
    <col min="11273" max="11273" width="14.7109375" style="20" customWidth="1"/>
    <col min="11274" max="11274" width="13.5703125" style="20" customWidth="1"/>
    <col min="11275" max="11275" width="15.140625" style="20" customWidth="1"/>
    <col min="11276" max="11276" width="14.7109375" style="20" customWidth="1"/>
    <col min="11277" max="11277" width="15.140625" style="20" customWidth="1"/>
    <col min="11278" max="11278" width="14.140625" style="20" customWidth="1"/>
    <col min="11279" max="11279" width="14.7109375" style="20" customWidth="1"/>
    <col min="11280" max="11280" width="14.42578125" style="20" customWidth="1"/>
    <col min="11281" max="11281" width="15" style="20" customWidth="1"/>
    <col min="11282" max="11282" width="14.5703125" style="20" customWidth="1"/>
    <col min="11283" max="11283" width="14.85546875" style="20" customWidth="1"/>
    <col min="11284" max="11284" width="15" style="20" customWidth="1"/>
    <col min="11285" max="11295" width="16.140625" style="20" customWidth="1"/>
    <col min="11296" max="11296" width="58.140625" style="20" customWidth="1"/>
    <col min="11297" max="11297" width="3.7109375" style="20" customWidth="1"/>
    <col min="11298" max="11298" width="18.85546875" style="20" customWidth="1"/>
    <col min="11299" max="11520" width="9.140625" style="20"/>
    <col min="11521" max="11521" width="51.42578125" style="20" customWidth="1"/>
    <col min="11522" max="11522" width="15.28515625" style="20" customWidth="1"/>
    <col min="11523" max="11523" width="17.140625" style="20" customWidth="1"/>
    <col min="11524" max="11524" width="13.85546875" style="20" customWidth="1"/>
    <col min="11525" max="11525" width="15.42578125" style="20" customWidth="1"/>
    <col min="11526" max="11527" width="13.42578125" style="20" customWidth="1"/>
    <col min="11528" max="11528" width="17.42578125" style="20" customWidth="1"/>
    <col min="11529" max="11529" width="14.7109375" style="20" customWidth="1"/>
    <col min="11530" max="11530" width="13.5703125" style="20" customWidth="1"/>
    <col min="11531" max="11531" width="15.140625" style="20" customWidth="1"/>
    <col min="11532" max="11532" width="14.7109375" style="20" customWidth="1"/>
    <col min="11533" max="11533" width="15.140625" style="20" customWidth="1"/>
    <col min="11534" max="11534" width="14.140625" style="20" customWidth="1"/>
    <col min="11535" max="11535" width="14.7109375" style="20" customWidth="1"/>
    <col min="11536" max="11536" width="14.42578125" style="20" customWidth="1"/>
    <col min="11537" max="11537" width="15" style="20" customWidth="1"/>
    <col min="11538" max="11538" width="14.5703125" style="20" customWidth="1"/>
    <col min="11539" max="11539" width="14.85546875" style="20" customWidth="1"/>
    <col min="11540" max="11540" width="15" style="20" customWidth="1"/>
    <col min="11541" max="11551" width="16.140625" style="20" customWidth="1"/>
    <col min="11552" max="11552" width="58.140625" style="20" customWidth="1"/>
    <col min="11553" max="11553" width="3.7109375" style="20" customWidth="1"/>
    <col min="11554" max="11554" width="18.85546875" style="20" customWidth="1"/>
    <col min="11555" max="11776" width="9.140625" style="20"/>
    <col min="11777" max="11777" width="51.42578125" style="20" customWidth="1"/>
    <col min="11778" max="11778" width="15.28515625" style="20" customWidth="1"/>
    <col min="11779" max="11779" width="17.140625" style="20" customWidth="1"/>
    <col min="11780" max="11780" width="13.85546875" style="20" customWidth="1"/>
    <col min="11781" max="11781" width="15.42578125" style="20" customWidth="1"/>
    <col min="11782" max="11783" width="13.42578125" style="20" customWidth="1"/>
    <col min="11784" max="11784" width="17.42578125" style="20" customWidth="1"/>
    <col min="11785" max="11785" width="14.7109375" style="20" customWidth="1"/>
    <col min="11786" max="11786" width="13.5703125" style="20" customWidth="1"/>
    <col min="11787" max="11787" width="15.140625" style="20" customWidth="1"/>
    <col min="11788" max="11788" width="14.7109375" style="20" customWidth="1"/>
    <col min="11789" max="11789" width="15.140625" style="20" customWidth="1"/>
    <col min="11790" max="11790" width="14.140625" style="20" customWidth="1"/>
    <col min="11791" max="11791" width="14.7109375" style="20" customWidth="1"/>
    <col min="11792" max="11792" width="14.42578125" style="20" customWidth="1"/>
    <col min="11793" max="11793" width="15" style="20" customWidth="1"/>
    <col min="11794" max="11794" width="14.5703125" style="20" customWidth="1"/>
    <col min="11795" max="11795" width="14.85546875" style="20" customWidth="1"/>
    <col min="11796" max="11796" width="15" style="20" customWidth="1"/>
    <col min="11797" max="11807" width="16.140625" style="20" customWidth="1"/>
    <col min="11808" max="11808" width="58.140625" style="20" customWidth="1"/>
    <col min="11809" max="11809" width="3.7109375" style="20" customWidth="1"/>
    <col min="11810" max="11810" width="18.85546875" style="20" customWidth="1"/>
    <col min="11811" max="12032" width="9.140625" style="20"/>
    <col min="12033" max="12033" width="51.42578125" style="20" customWidth="1"/>
    <col min="12034" max="12034" width="15.28515625" style="20" customWidth="1"/>
    <col min="12035" max="12035" width="17.140625" style="20" customWidth="1"/>
    <col min="12036" max="12036" width="13.85546875" style="20" customWidth="1"/>
    <col min="12037" max="12037" width="15.42578125" style="20" customWidth="1"/>
    <col min="12038" max="12039" width="13.42578125" style="20" customWidth="1"/>
    <col min="12040" max="12040" width="17.42578125" style="20" customWidth="1"/>
    <col min="12041" max="12041" width="14.7109375" style="20" customWidth="1"/>
    <col min="12042" max="12042" width="13.5703125" style="20" customWidth="1"/>
    <col min="12043" max="12043" width="15.140625" style="20" customWidth="1"/>
    <col min="12044" max="12044" width="14.7109375" style="20" customWidth="1"/>
    <col min="12045" max="12045" width="15.140625" style="20" customWidth="1"/>
    <col min="12046" max="12046" width="14.140625" style="20" customWidth="1"/>
    <col min="12047" max="12047" width="14.7109375" style="20" customWidth="1"/>
    <col min="12048" max="12048" width="14.42578125" style="20" customWidth="1"/>
    <col min="12049" max="12049" width="15" style="20" customWidth="1"/>
    <col min="12050" max="12050" width="14.5703125" style="20" customWidth="1"/>
    <col min="12051" max="12051" width="14.85546875" style="20" customWidth="1"/>
    <col min="12052" max="12052" width="15" style="20" customWidth="1"/>
    <col min="12053" max="12063" width="16.140625" style="20" customWidth="1"/>
    <col min="12064" max="12064" width="58.140625" style="20" customWidth="1"/>
    <col min="12065" max="12065" width="3.7109375" style="20" customWidth="1"/>
    <col min="12066" max="12066" width="18.85546875" style="20" customWidth="1"/>
    <col min="12067" max="12288" width="9.140625" style="20"/>
    <col min="12289" max="12289" width="51.42578125" style="20" customWidth="1"/>
    <col min="12290" max="12290" width="15.28515625" style="20" customWidth="1"/>
    <col min="12291" max="12291" width="17.140625" style="20" customWidth="1"/>
    <col min="12292" max="12292" width="13.85546875" style="20" customWidth="1"/>
    <col min="12293" max="12293" width="15.42578125" style="20" customWidth="1"/>
    <col min="12294" max="12295" width="13.42578125" style="20" customWidth="1"/>
    <col min="12296" max="12296" width="17.42578125" style="20" customWidth="1"/>
    <col min="12297" max="12297" width="14.7109375" style="20" customWidth="1"/>
    <col min="12298" max="12298" width="13.5703125" style="20" customWidth="1"/>
    <col min="12299" max="12299" width="15.140625" style="20" customWidth="1"/>
    <col min="12300" max="12300" width="14.7109375" style="20" customWidth="1"/>
    <col min="12301" max="12301" width="15.140625" style="20" customWidth="1"/>
    <col min="12302" max="12302" width="14.140625" style="20" customWidth="1"/>
    <col min="12303" max="12303" width="14.7109375" style="20" customWidth="1"/>
    <col min="12304" max="12304" width="14.42578125" style="20" customWidth="1"/>
    <col min="12305" max="12305" width="15" style="20" customWidth="1"/>
    <col min="12306" max="12306" width="14.5703125" style="20" customWidth="1"/>
    <col min="12307" max="12307" width="14.85546875" style="20" customWidth="1"/>
    <col min="12308" max="12308" width="15" style="20" customWidth="1"/>
    <col min="12309" max="12319" width="16.140625" style="20" customWidth="1"/>
    <col min="12320" max="12320" width="58.140625" style="20" customWidth="1"/>
    <col min="12321" max="12321" width="3.7109375" style="20" customWidth="1"/>
    <col min="12322" max="12322" width="18.85546875" style="20" customWidth="1"/>
    <col min="12323" max="12544" width="9.140625" style="20"/>
    <col min="12545" max="12545" width="51.42578125" style="20" customWidth="1"/>
    <col min="12546" max="12546" width="15.28515625" style="20" customWidth="1"/>
    <col min="12547" max="12547" width="17.140625" style="20" customWidth="1"/>
    <col min="12548" max="12548" width="13.85546875" style="20" customWidth="1"/>
    <col min="12549" max="12549" width="15.42578125" style="20" customWidth="1"/>
    <col min="12550" max="12551" width="13.42578125" style="20" customWidth="1"/>
    <col min="12552" max="12552" width="17.42578125" style="20" customWidth="1"/>
    <col min="12553" max="12553" width="14.7109375" style="20" customWidth="1"/>
    <col min="12554" max="12554" width="13.5703125" style="20" customWidth="1"/>
    <col min="12555" max="12555" width="15.140625" style="20" customWidth="1"/>
    <col min="12556" max="12556" width="14.7109375" style="20" customWidth="1"/>
    <col min="12557" max="12557" width="15.140625" style="20" customWidth="1"/>
    <col min="12558" max="12558" width="14.140625" style="20" customWidth="1"/>
    <col min="12559" max="12559" width="14.7109375" style="20" customWidth="1"/>
    <col min="12560" max="12560" width="14.42578125" style="20" customWidth="1"/>
    <col min="12561" max="12561" width="15" style="20" customWidth="1"/>
    <col min="12562" max="12562" width="14.5703125" style="20" customWidth="1"/>
    <col min="12563" max="12563" width="14.85546875" style="20" customWidth="1"/>
    <col min="12564" max="12564" width="15" style="20" customWidth="1"/>
    <col min="12565" max="12575" width="16.140625" style="20" customWidth="1"/>
    <col min="12576" max="12576" width="58.140625" style="20" customWidth="1"/>
    <col min="12577" max="12577" width="3.7109375" style="20" customWidth="1"/>
    <col min="12578" max="12578" width="18.85546875" style="20" customWidth="1"/>
    <col min="12579" max="12800" width="9.140625" style="20"/>
    <col min="12801" max="12801" width="51.42578125" style="20" customWidth="1"/>
    <col min="12802" max="12802" width="15.28515625" style="20" customWidth="1"/>
    <col min="12803" max="12803" width="17.140625" style="20" customWidth="1"/>
    <col min="12804" max="12804" width="13.85546875" style="20" customWidth="1"/>
    <col min="12805" max="12805" width="15.42578125" style="20" customWidth="1"/>
    <col min="12806" max="12807" width="13.42578125" style="20" customWidth="1"/>
    <col min="12808" max="12808" width="17.42578125" style="20" customWidth="1"/>
    <col min="12809" max="12809" width="14.7109375" style="20" customWidth="1"/>
    <col min="12810" max="12810" width="13.5703125" style="20" customWidth="1"/>
    <col min="12811" max="12811" width="15.140625" style="20" customWidth="1"/>
    <col min="12812" max="12812" width="14.7109375" style="20" customWidth="1"/>
    <col min="12813" max="12813" width="15.140625" style="20" customWidth="1"/>
    <col min="12814" max="12814" width="14.140625" style="20" customWidth="1"/>
    <col min="12815" max="12815" width="14.7109375" style="20" customWidth="1"/>
    <col min="12816" max="12816" width="14.42578125" style="20" customWidth="1"/>
    <col min="12817" max="12817" width="15" style="20" customWidth="1"/>
    <col min="12818" max="12818" width="14.5703125" style="20" customWidth="1"/>
    <col min="12819" max="12819" width="14.85546875" style="20" customWidth="1"/>
    <col min="12820" max="12820" width="15" style="20" customWidth="1"/>
    <col min="12821" max="12831" width="16.140625" style="20" customWidth="1"/>
    <col min="12832" max="12832" width="58.140625" style="20" customWidth="1"/>
    <col min="12833" max="12833" width="3.7109375" style="20" customWidth="1"/>
    <col min="12834" max="12834" width="18.85546875" style="20" customWidth="1"/>
    <col min="12835" max="13056" width="9.140625" style="20"/>
    <col min="13057" max="13057" width="51.42578125" style="20" customWidth="1"/>
    <col min="13058" max="13058" width="15.28515625" style="20" customWidth="1"/>
    <col min="13059" max="13059" width="17.140625" style="20" customWidth="1"/>
    <col min="13060" max="13060" width="13.85546875" style="20" customWidth="1"/>
    <col min="13061" max="13061" width="15.42578125" style="20" customWidth="1"/>
    <col min="13062" max="13063" width="13.42578125" style="20" customWidth="1"/>
    <col min="13064" max="13064" width="17.42578125" style="20" customWidth="1"/>
    <col min="13065" max="13065" width="14.7109375" style="20" customWidth="1"/>
    <col min="13066" max="13066" width="13.5703125" style="20" customWidth="1"/>
    <col min="13067" max="13067" width="15.140625" style="20" customWidth="1"/>
    <col min="13068" max="13068" width="14.7109375" style="20" customWidth="1"/>
    <col min="13069" max="13069" width="15.140625" style="20" customWidth="1"/>
    <col min="13070" max="13070" width="14.140625" style="20" customWidth="1"/>
    <col min="13071" max="13071" width="14.7109375" style="20" customWidth="1"/>
    <col min="13072" max="13072" width="14.42578125" style="20" customWidth="1"/>
    <col min="13073" max="13073" width="15" style="20" customWidth="1"/>
    <col min="13074" max="13074" width="14.5703125" style="20" customWidth="1"/>
    <col min="13075" max="13075" width="14.85546875" style="20" customWidth="1"/>
    <col min="13076" max="13076" width="15" style="20" customWidth="1"/>
    <col min="13077" max="13087" width="16.140625" style="20" customWidth="1"/>
    <col min="13088" max="13088" width="58.140625" style="20" customWidth="1"/>
    <col min="13089" max="13089" width="3.7109375" style="20" customWidth="1"/>
    <col min="13090" max="13090" width="18.85546875" style="20" customWidth="1"/>
    <col min="13091" max="13312" width="9.140625" style="20"/>
    <col min="13313" max="13313" width="51.42578125" style="20" customWidth="1"/>
    <col min="13314" max="13314" width="15.28515625" style="20" customWidth="1"/>
    <col min="13315" max="13315" width="17.140625" style="20" customWidth="1"/>
    <col min="13316" max="13316" width="13.85546875" style="20" customWidth="1"/>
    <col min="13317" max="13317" width="15.42578125" style="20" customWidth="1"/>
    <col min="13318" max="13319" width="13.42578125" style="20" customWidth="1"/>
    <col min="13320" max="13320" width="17.42578125" style="20" customWidth="1"/>
    <col min="13321" max="13321" width="14.7109375" style="20" customWidth="1"/>
    <col min="13322" max="13322" width="13.5703125" style="20" customWidth="1"/>
    <col min="13323" max="13323" width="15.140625" style="20" customWidth="1"/>
    <col min="13324" max="13324" width="14.7109375" style="20" customWidth="1"/>
    <col min="13325" max="13325" width="15.140625" style="20" customWidth="1"/>
    <col min="13326" max="13326" width="14.140625" style="20" customWidth="1"/>
    <col min="13327" max="13327" width="14.7109375" style="20" customWidth="1"/>
    <col min="13328" max="13328" width="14.42578125" style="20" customWidth="1"/>
    <col min="13329" max="13329" width="15" style="20" customWidth="1"/>
    <col min="13330" max="13330" width="14.5703125" style="20" customWidth="1"/>
    <col min="13331" max="13331" width="14.85546875" style="20" customWidth="1"/>
    <col min="13332" max="13332" width="15" style="20" customWidth="1"/>
    <col min="13333" max="13343" width="16.140625" style="20" customWidth="1"/>
    <col min="13344" max="13344" width="58.140625" style="20" customWidth="1"/>
    <col min="13345" max="13345" width="3.7109375" style="20" customWidth="1"/>
    <col min="13346" max="13346" width="18.85546875" style="20" customWidth="1"/>
    <col min="13347" max="13568" width="9.140625" style="20"/>
    <col min="13569" max="13569" width="51.42578125" style="20" customWidth="1"/>
    <col min="13570" max="13570" width="15.28515625" style="20" customWidth="1"/>
    <col min="13571" max="13571" width="17.140625" style="20" customWidth="1"/>
    <col min="13572" max="13572" width="13.85546875" style="20" customWidth="1"/>
    <col min="13573" max="13573" width="15.42578125" style="20" customWidth="1"/>
    <col min="13574" max="13575" width="13.42578125" style="20" customWidth="1"/>
    <col min="13576" max="13576" width="17.42578125" style="20" customWidth="1"/>
    <col min="13577" max="13577" width="14.7109375" style="20" customWidth="1"/>
    <col min="13578" max="13578" width="13.5703125" style="20" customWidth="1"/>
    <col min="13579" max="13579" width="15.140625" style="20" customWidth="1"/>
    <col min="13580" max="13580" width="14.7109375" style="20" customWidth="1"/>
    <col min="13581" max="13581" width="15.140625" style="20" customWidth="1"/>
    <col min="13582" max="13582" width="14.140625" style="20" customWidth="1"/>
    <col min="13583" max="13583" width="14.7109375" style="20" customWidth="1"/>
    <col min="13584" max="13584" width="14.42578125" style="20" customWidth="1"/>
    <col min="13585" max="13585" width="15" style="20" customWidth="1"/>
    <col min="13586" max="13586" width="14.5703125" style="20" customWidth="1"/>
    <col min="13587" max="13587" width="14.85546875" style="20" customWidth="1"/>
    <col min="13588" max="13588" width="15" style="20" customWidth="1"/>
    <col min="13589" max="13599" width="16.140625" style="20" customWidth="1"/>
    <col min="13600" max="13600" width="58.140625" style="20" customWidth="1"/>
    <col min="13601" max="13601" width="3.7109375" style="20" customWidth="1"/>
    <col min="13602" max="13602" width="18.85546875" style="20" customWidth="1"/>
    <col min="13603" max="13824" width="9.140625" style="20"/>
    <col min="13825" max="13825" width="51.42578125" style="20" customWidth="1"/>
    <col min="13826" max="13826" width="15.28515625" style="20" customWidth="1"/>
    <col min="13827" max="13827" width="17.140625" style="20" customWidth="1"/>
    <col min="13828" max="13828" width="13.85546875" style="20" customWidth="1"/>
    <col min="13829" max="13829" width="15.42578125" style="20" customWidth="1"/>
    <col min="13830" max="13831" width="13.42578125" style="20" customWidth="1"/>
    <col min="13832" max="13832" width="17.42578125" style="20" customWidth="1"/>
    <col min="13833" max="13833" width="14.7109375" style="20" customWidth="1"/>
    <col min="13834" max="13834" width="13.5703125" style="20" customWidth="1"/>
    <col min="13835" max="13835" width="15.140625" style="20" customWidth="1"/>
    <col min="13836" max="13836" width="14.7109375" style="20" customWidth="1"/>
    <col min="13837" max="13837" width="15.140625" style="20" customWidth="1"/>
    <col min="13838" max="13838" width="14.140625" style="20" customWidth="1"/>
    <col min="13839" max="13839" width="14.7109375" style="20" customWidth="1"/>
    <col min="13840" max="13840" width="14.42578125" style="20" customWidth="1"/>
    <col min="13841" max="13841" width="15" style="20" customWidth="1"/>
    <col min="13842" max="13842" width="14.5703125" style="20" customWidth="1"/>
    <col min="13843" max="13843" width="14.85546875" style="20" customWidth="1"/>
    <col min="13844" max="13844" width="15" style="20" customWidth="1"/>
    <col min="13845" max="13855" width="16.140625" style="20" customWidth="1"/>
    <col min="13856" max="13856" width="58.140625" style="20" customWidth="1"/>
    <col min="13857" max="13857" width="3.7109375" style="20" customWidth="1"/>
    <col min="13858" max="13858" width="18.85546875" style="20" customWidth="1"/>
    <col min="13859" max="14080" width="9.140625" style="20"/>
    <col min="14081" max="14081" width="51.42578125" style="20" customWidth="1"/>
    <col min="14082" max="14082" width="15.28515625" style="20" customWidth="1"/>
    <col min="14083" max="14083" width="17.140625" style="20" customWidth="1"/>
    <col min="14084" max="14084" width="13.85546875" style="20" customWidth="1"/>
    <col min="14085" max="14085" width="15.42578125" style="20" customWidth="1"/>
    <col min="14086" max="14087" width="13.42578125" style="20" customWidth="1"/>
    <col min="14088" max="14088" width="17.42578125" style="20" customWidth="1"/>
    <col min="14089" max="14089" width="14.7109375" style="20" customWidth="1"/>
    <col min="14090" max="14090" width="13.5703125" style="20" customWidth="1"/>
    <col min="14091" max="14091" width="15.140625" style="20" customWidth="1"/>
    <col min="14092" max="14092" width="14.7109375" style="20" customWidth="1"/>
    <col min="14093" max="14093" width="15.140625" style="20" customWidth="1"/>
    <col min="14094" max="14094" width="14.140625" style="20" customWidth="1"/>
    <col min="14095" max="14095" width="14.7109375" style="20" customWidth="1"/>
    <col min="14096" max="14096" width="14.42578125" style="20" customWidth="1"/>
    <col min="14097" max="14097" width="15" style="20" customWidth="1"/>
    <col min="14098" max="14098" width="14.5703125" style="20" customWidth="1"/>
    <col min="14099" max="14099" width="14.85546875" style="20" customWidth="1"/>
    <col min="14100" max="14100" width="15" style="20" customWidth="1"/>
    <col min="14101" max="14111" width="16.140625" style="20" customWidth="1"/>
    <col min="14112" max="14112" width="58.140625" style="20" customWidth="1"/>
    <col min="14113" max="14113" width="3.7109375" style="20" customWidth="1"/>
    <col min="14114" max="14114" width="18.85546875" style="20" customWidth="1"/>
    <col min="14115" max="14336" width="9.140625" style="20"/>
    <col min="14337" max="14337" width="51.42578125" style="20" customWidth="1"/>
    <col min="14338" max="14338" width="15.28515625" style="20" customWidth="1"/>
    <col min="14339" max="14339" width="17.140625" style="20" customWidth="1"/>
    <col min="14340" max="14340" width="13.85546875" style="20" customWidth="1"/>
    <col min="14341" max="14341" width="15.42578125" style="20" customWidth="1"/>
    <col min="14342" max="14343" width="13.42578125" style="20" customWidth="1"/>
    <col min="14344" max="14344" width="17.42578125" style="20" customWidth="1"/>
    <col min="14345" max="14345" width="14.7109375" style="20" customWidth="1"/>
    <col min="14346" max="14346" width="13.5703125" style="20" customWidth="1"/>
    <col min="14347" max="14347" width="15.140625" style="20" customWidth="1"/>
    <col min="14348" max="14348" width="14.7109375" style="20" customWidth="1"/>
    <col min="14349" max="14349" width="15.140625" style="20" customWidth="1"/>
    <col min="14350" max="14350" width="14.140625" style="20" customWidth="1"/>
    <col min="14351" max="14351" width="14.7109375" style="20" customWidth="1"/>
    <col min="14352" max="14352" width="14.42578125" style="20" customWidth="1"/>
    <col min="14353" max="14353" width="15" style="20" customWidth="1"/>
    <col min="14354" max="14354" width="14.5703125" style="20" customWidth="1"/>
    <col min="14355" max="14355" width="14.85546875" style="20" customWidth="1"/>
    <col min="14356" max="14356" width="15" style="20" customWidth="1"/>
    <col min="14357" max="14367" width="16.140625" style="20" customWidth="1"/>
    <col min="14368" max="14368" width="58.140625" style="20" customWidth="1"/>
    <col min="14369" max="14369" width="3.7109375" style="20" customWidth="1"/>
    <col min="14370" max="14370" width="18.85546875" style="20" customWidth="1"/>
    <col min="14371" max="14592" width="9.140625" style="20"/>
    <col min="14593" max="14593" width="51.42578125" style="20" customWidth="1"/>
    <col min="14594" max="14594" width="15.28515625" style="20" customWidth="1"/>
    <col min="14595" max="14595" width="17.140625" style="20" customWidth="1"/>
    <col min="14596" max="14596" width="13.85546875" style="20" customWidth="1"/>
    <col min="14597" max="14597" width="15.42578125" style="20" customWidth="1"/>
    <col min="14598" max="14599" width="13.42578125" style="20" customWidth="1"/>
    <col min="14600" max="14600" width="17.42578125" style="20" customWidth="1"/>
    <col min="14601" max="14601" width="14.7109375" style="20" customWidth="1"/>
    <col min="14602" max="14602" width="13.5703125" style="20" customWidth="1"/>
    <col min="14603" max="14603" width="15.140625" style="20" customWidth="1"/>
    <col min="14604" max="14604" width="14.7109375" style="20" customWidth="1"/>
    <col min="14605" max="14605" width="15.140625" style="20" customWidth="1"/>
    <col min="14606" max="14606" width="14.140625" style="20" customWidth="1"/>
    <col min="14607" max="14607" width="14.7109375" style="20" customWidth="1"/>
    <col min="14608" max="14608" width="14.42578125" style="20" customWidth="1"/>
    <col min="14609" max="14609" width="15" style="20" customWidth="1"/>
    <col min="14610" max="14610" width="14.5703125" style="20" customWidth="1"/>
    <col min="14611" max="14611" width="14.85546875" style="20" customWidth="1"/>
    <col min="14612" max="14612" width="15" style="20" customWidth="1"/>
    <col min="14613" max="14623" width="16.140625" style="20" customWidth="1"/>
    <col min="14624" max="14624" width="58.140625" style="20" customWidth="1"/>
    <col min="14625" max="14625" width="3.7109375" style="20" customWidth="1"/>
    <col min="14626" max="14626" width="18.85546875" style="20" customWidth="1"/>
    <col min="14627" max="14848" width="9.140625" style="20"/>
    <col min="14849" max="14849" width="51.42578125" style="20" customWidth="1"/>
    <col min="14850" max="14850" width="15.28515625" style="20" customWidth="1"/>
    <col min="14851" max="14851" width="17.140625" style="20" customWidth="1"/>
    <col min="14852" max="14852" width="13.85546875" style="20" customWidth="1"/>
    <col min="14853" max="14853" width="15.42578125" style="20" customWidth="1"/>
    <col min="14854" max="14855" width="13.42578125" style="20" customWidth="1"/>
    <col min="14856" max="14856" width="17.42578125" style="20" customWidth="1"/>
    <col min="14857" max="14857" width="14.7109375" style="20" customWidth="1"/>
    <col min="14858" max="14858" width="13.5703125" style="20" customWidth="1"/>
    <col min="14859" max="14859" width="15.140625" style="20" customWidth="1"/>
    <col min="14860" max="14860" width="14.7109375" style="20" customWidth="1"/>
    <col min="14861" max="14861" width="15.140625" style="20" customWidth="1"/>
    <col min="14862" max="14862" width="14.140625" style="20" customWidth="1"/>
    <col min="14863" max="14863" width="14.7109375" style="20" customWidth="1"/>
    <col min="14864" max="14864" width="14.42578125" style="20" customWidth="1"/>
    <col min="14865" max="14865" width="15" style="20" customWidth="1"/>
    <col min="14866" max="14866" width="14.5703125" style="20" customWidth="1"/>
    <col min="14867" max="14867" width="14.85546875" style="20" customWidth="1"/>
    <col min="14868" max="14868" width="15" style="20" customWidth="1"/>
    <col min="14869" max="14879" width="16.140625" style="20" customWidth="1"/>
    <col min="14880" max="14880" width="58.140625" style="20" customWidth="1"/>
    <col min="14881" max="14881" width="3.7109375" style="20" customWidth="1"/>
    <col min="14882" max="14882" width="18.85546875" style="20" customWidth="1"/>
    <col min="14883" max="15104" width="9.140625" style="20"/>
    <col min="15105" max="15105" width="51.42578125" style="20" customWidth="1"/>
    <col min="15106" max="15106" width="15.28515625" style="20" customWidth="1"/>
    <col min="15107" max="15107" width="17.140625" style="20" customWidth="1"/>
    <col min="15108" max="15108" width="13.85546875" style="20" customWidth="1"/>
    <col min="15109" max="15109" width="15.42578125" style="20" customWidth="1"/>
    <col min="15110" max="15111" width="13.42578125" style="20" customWidth="1"/>
    <col min="15112" max="15112" width="17.42578125" style="20" customWidth="1"/>
    <col min="15113" max="15113" width="14.7109375" style="20" customWidth="1"/>
    <col min="15114" max="15114" width="13.5703125" style="20" customWidth="1"/>
    <col min="15115" max="15115" width="15.140625" style="20" customWidth="1"/>
    <col min="15116" max="15116" width="14.7109375" style="20" customWidth="1"/>
    <col min="15117" max="15117" width="15.140625" style="20" customWidth="1"/>
    <col min="15118" max="15118" width="14.140625" style="20" customWidth="1"/>
    <col min="15119" max="15119" width="14.7109375" style="20" customWidth="1"/>
    <col min="15120" max="15120" width="14.42578125" style="20" customWidth="1"/>
    <col min="15121" max="15121" width="15" style="20" customWidth="1"/>
    <col min="15122" max="15122" width="14.5703125" style="20" customWidth="1"/>
    <col min="15123" max="15123" width="14.85546875" style="20" customWidth="1"/>
    <col min="15124" max="15124" width="15" style="20" customWidth="1"/>
    <col min="15125" max="15135" width="16.140625" style="20" customWidth="1"/>
    <col min="15136" max="15136" width="58.140625" style="20" customWidth="1"/>
    <col min="15137" max="15137" width="3.7109375" style="20" customWidth="1"/>
    <col min="15138" max="15138" width="18.85546875" style="20" customWidth="1"/>
    <col min="15139" max="15360" width="9.140625" style="20"/>
    <col min="15361" max="15361" width="51.42578125" style="20" customWidth="1"/>
    <col min="15362" max="15362" width="15.28515625" style="20" customWidth="1"/>
    <col min="15363" max="15363" width="17.140625" style="20" customWidth="1"/>
    <col min="15364" max="15364" width="13.85546875" style="20" customWidth="1"/>
    <col min="15365" max="15365" width="15.42578125" style="20" customWidth="1"/>
    <col min="15366" max="15367" width="13.42578125" style="20" customWidth="1"/>
    <col min="15368" max="15368" width="17.42578125" style="20" customWidth="1"/>
    <col min="15369" max="15369" width="14.7109375" style="20" customWidth="1"/>
    <col min="15370" max="15370" width="13.5703125" style="20" customWidth="1"/>
    <col min="15371" max="15371" width="15.140625" style="20" customWidth="1"/>
    <col min="15372" max="15372" width="14.7109375" style="20" customWidth="1"/>
    <col min="15373" max="15373" width="15.140625" style="20" customWidth="1"/>
    <col min="15374" max="15374" width="14.140625" style="20" customWidth="1"/>
    <col min="15375" max="15375" width="14.7109375" style="20" customWidth="1"/>
    <col min="15376" max="15376" width="14.42578125" style="20" customWidth="1"/>
    <col min="15377" max="15377" width="15" style="20" customWidth="1"/>
    <col min="15378" max="15378" width="14.5703125" style="20" customWidth="1"/>
    <col min="15379" max="15379" width="14.85546875" style="20" customWidth="1"/>
    <col min="15380" max="15380" width="15" style="20" customWidth="1"/>
    <col min="15381" max="15391" width="16.140625" style="20" customWidth="1"/>
    <col min="15392" max="15392" width="58.140625" style="20" customWidth="1"/>
    <col min="15393" max="15393" width="3.7109375" style="20" customWidth="1"/>
    <col min="15394" max="15394" width="18.85546875" style="20" customWidth="1"/>
    <col min="15395" max="15616" width="9.140625" style="20"/>
    <col min="15617" max="15617" width="51.42578125" style="20" customWidth="1"/>
    <col min="15618" max="15618" width="15.28515625" style="20" customWidth="1"/>
    <col min="15619" max="15619" width="17.140625" style="20" customWidth="1"/>
    <col min="15620" max="15620" width="13.85546875" style="20" customWidth="1"/>
    <col min="15621" max="15621" width="15.42578125" style="20" customWidth="1"/>
    <col min="15622" max="15623" width="13.42578125" style="20" customWidth="1"/>
    <col min="15624" max="15624" width="17.42578125" style="20" customWidth="1"/>
    <col min="15625" max="15625" width="14.7109375" style="20" customWidth="1"/>
    <col min="15626" max="15626" width="13.5703125" style="20" customWidth="1"/>
    <col min="15627" max="15627" width="15.140625" style="20" customWidth="1"/>
    <col min="15628" max="15628" width="14.7109375" style="20" customWidth="1"/>
    <col min="15629" max="15629" width="15.140625" style="20" customWidth="1"/>
    <col min="15630" max="15630" width="14.140625" style="20" customWidth="1"/>
    <col min="15631" max="15631" width="14.7109375" style="20" customWidth="1"/>
    <col min="15632" max="15632" width="14.42578125" style="20" customWidth="1"/>
    <col min="15633" max="15633" width="15" style="20" customWidth="1"/>
    <col min="15634" max="15634" width="14.5703125" style="20" customWidth="1"/>
    <col min="15635" max="15635" width="14.85546875" style="20" customWidth="1"/>
    <col min="15636" max="15636" width="15" style="20" customWidth="1"/>
    <col min="15637" max="15647" width="16.140625" style="20" customWidth="1"/>
    <col min="15648" max="15648" width="58.140625" style="20" customWidth="1"/>
    <col min="15649" max="15649" width="3.7109375" style="20" customWidth="1"/>
    <col min="15650" max="15650" width="18.85546875" style="20" customWidth="1"/>
    <col min="15651" max="15872" width="9.140625" style="20"/>
    <col min="15873" max="15873" width="51.42578125" style="20" customWidth="1"/>
    <col min="15874" max="15874" width="15.28515625" style="20" customWidth="1"/>
    <col min="15875" max="15875" width="17.140625" style="20" customWidth="1"/>
    <col min="15876" max="15876" width="13.85546875" style="20" customWidth="1"/>
    <col min="15877" max="15877" width="15.42578125" style="20" customWidth="1"/>
    <col min="15878" max="15879" width="13.42578125" style="20" customWidth="1"/>
    <col min="15880" max="15880" width="17.42578125" style="20" customWidth="1"/>
    <col min="15881" max="15881" width="14.7109375" style="20" customWidth="1"/>
    <col min="15882" max="15882" width="13.5703125" style="20" customWidth="1"/>
    <col min="15883" max="15883" width="15.140625" style="20" customWidth="1"/>
    <col min="15884" max="15884" width="14.7109375" style="20" customWidth="1"/>
    <col min="15885" max="15885" width="15.140625" style="20" customWidth="1"/>
    <col min="15886" max="15886" width="14.140625" style="20" customWidth="1"/>
    <col min="15887" max="15887" width="14.7109375" style="20" customWidth="1"/>
    <col min="15888" max="15888" width="14.42578125" style="20" customWidth="1"/>
    <col min="15889" max="15889" width="15" style="20" customWidth="1"/>
    <col min="15890" max="15890" width="14.5703125" style="20" customWidth="1"/>
    <col min="15891" max="15891" width="14.85546875" style="20" customWidth="1"/>
    <col min="15892" max="15892" width="15" style="20" customWidth="1"/>
    <col min="15893" max="15903" width="16.140625" style="20" customWidth="1"/>
    <col min="15904" max="15904" width="58.140625" style="20" customWidth="1"/>
    <col min="15905" max="15905" width="3.7109375" style="20" customWidth="1"/>
    <col min="15906" max="15906" width="18.85546875" style="20" customWidth="1"/>
    <col min="15907" max="16128" width="9.140625" style="20"/>
    <col min="16129" max="16129" width="51.42578125" style="20" customWidth="1"/>
    <col min="16130" max="16130" width="15.28515625" style="20" customWidth="1"/>
    <col min="16131" max="16131" width="17.140625" style="20" customWidth="1"/>
    <col min="16132" max="16132" width="13.85546875" style="20" customWidth="1"/>
    <col min="16133" max="16133" width="15.42578125" style="20" customWidth="1"/>
    <col min="16134" max="16135" width="13.42578125" style="20" customWidth="1"/>
    <col min="16136" max="16136" width="17.42578125" style="20" customWidth="1"/>
    <col min="16137" max="16137" width="14.7109375" style="20" customWidth="1"/>
    <col min="16138" max="16138" width="13.5703125" style="20" customWidth="1"/>
    <col min="16139" max="16139" width="15.140625" style="20" customWidth="1"/>
    <col min="16140" max="16140" width="14.7109375" style="20" customWidth="1"/>
    <col min="16141" max="16141" width="15.140625" style="20" customWidth="1"/>
    <col min="16142" max="16142" width="14.140625" style="20" customWidth="1"/>
    <col min="16143" max="16143" width="14.7109375" style="20" customWidth="1"/>
    <col min="16144" max="16144" width="14.42578125" style="20" customWidth="1"/>
    <col min="16145" max="16145" width="15" style="20" customWidth="1"/>
    <col min="16146" max="16146" width="14.5703125" style="20" customWidth="1"/>
    <col min="16147" max="16147" width="14.85546875" style="20" customWidth="1"/>
    <col min="16148" max="16148" width="15" style="20" customWidth="1"/>
    <col min="16149" max="16159" width="16.140625" style="20" customWidth="1"/>
    <col min="16160" max="16160" width="58.140625" style="20" customWidth="1"/>
    <col min="16161" max="16161" width="3.7109375" style="20" customWidth="1"/>
    <col min="16162" max="16162" width="18.85546875" style="20" customWidth="1"/>
    <col min="16163" max="16384" width="9.140625" style="20"/>
  </cols>
  <sheetData>
    <row r="1" spans="1:34" ht="26.25" customHeight="1">
      <c r="A1" s="22"/>
      <c r="O1" s="23"/>
      <c r="P1" s="23"/>
      <c r="Q1" s="23"/>
      <c r="R1" s="23"/>
      <c r="S1" s="23"/>
      <c r="Z1" s="23"/>
      <c r="AA1" s="23"/>
      <c r="AB1" s="23"/>
      <c r="AC1" s="23"/>
      <c r="AD1" s="23"/>
      <c r="AF1" s="24"/>
    </row>
    <row r="2" spans="1:34" ht="26.25" customHeight="1">
      <c r="A2" s="140" t="s">
        <v>146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1"/>
      <c r="AF2" s="24"/>
    </row>
    <row r="3" spans="1:34" ht="26.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58"/>
      <c r="AF3" s="24"/>
    </row>
    <row r="4" spans="1:34" s="26" customFormat="1" ht="35.25" customHeight="1">
      <c r="A4" s="25"/>
      <c r="B4" s="25"/>
      <c r="C4" s="25"/>
      <c r="D4" s="25"/>
      <c r="E4" s="25"/>
      <c r="F4" s="25"/>
      <c r="G4" s="25"/>
      <c r="H4" s="25"/>
      <c r="I4" s="25"/>
      <c r="J4" s="25"/>
      <c r="L4" s="25"/>
      <c r="M4" s="25"/>
      <c r="N4" s="25"/>
      <c r="O4" s="25"/>
      <c r="P4" s="25"/>
      <c r="Q4" s="25"/>
      <c r="R4" s="25"/>
      <c r="S4" s="27" t="s">
        <v>85</v>
      </c>
      <c r="T4" s="25"/>
      <c r="U4" s="25"/>
      <c r="V4" s="25"/>
      <c r="W4" s="25"/>
      <c r="X4" s="25"/>
      <c r="Y4" s="25"/>
      <c r="Z4" s="25"/>
      <c r="AA4" s="25"/>
      <c r="AB4" s="25"/>
      <c r="AC4" s="25"/>
      <c r="AD4" s="62" t="s">
        <v>116</v>
      </c>
      <c r="AE4" s="25"/>
      <c r="AF4" s="27" t="s">
        <v>85</v>
      </c>
      <c r="AH4" s="21"/>
    </row>
    <row r="5" spans="1:34" s="28" customFormat="1" ht="18.75" customHeight="1">
      <c r="A5" s="126" t="s">
        <v>112</v>
      </c>
      <c r="B5" s="127" t="s">
        <v>133</v>
      </c>
      <c r="C5" s="127" t="s">
        <v>147</v>
      </c>
      <c r="D5" s="127" t="s">
        <v>148</v>
      </c>
      <c r="E5" s="127" t="s">
        <v>149</v>
      </c>
      <c r="F5" s="127" t="s">
        <v>86</v>
      </c>
      <c r="G5" s="127"/>
      <c r="H5" s="127" t="s">
        <v>87</v>
      </c>
      <c r="I5" s="127"/>
      <c r="J5" s="123" t="s">
        <v>88</v>
      </c>
      <c r="K5" s="124"/>
      <c r="L5" s="123" t="s">
        <v>89</v>
      </c>
      <c r="M5" s="124"/>
      <c r="N5" s="123" t="s">
        <v>90</v>
      </c>
      <c r="O5" s="124"/>
      <c r="P5" s="123" t="s">
        <v>91</v>
      </c>
      <c r="Q5" s="124"/>
      <c r="R5" s="123" t="s">
        <v>92</v>
      </c>
      <c r="S5" s="124"/>
      <c r="T5" s="123" t="s">
        <v>93</v>
      </c>
      <c r="U5" s="124"/>
      <c r="V5" s="123" t="s">
        <v>94</v>
      </c>
      <c r="W5" s="124"/>
      <c r="X5" s="123" t="s">
        <v>95</v>
      </c>
      <c r="Y5" s="124"/>
      <c r="Z5" s="123" t="s">
        <v>96</v>
      </c>
      <c r="AA5" s="124"/>
      <c r="AB5" s="123" t="s">
        <v>97</v>
      </c>
      <c r="AC5" s="124"/>
      <c r="AD5" s="123" t="s">
        <v>98</v>
      </c>
      <c r="AE5" s="124"/>
      <c r="AF5" s="126" t="s">
        <v>99</v>
      </c>
      <c r="AH5" s="29"/>
    </row>
    <row r="6" spans="1:34" s="30" customFormat="1" ht="82.5" customHeight="1">
      <c r="A6" s="126"/>
      <c r="B6" s="127"/>
      <c r="C6" s="127"/>
      <c r="D6" s="128"/>
      <c r="E6" s="127"/>
      <c r="F6" s="92" t="s">
        <v>100</v>
      </c>
      <c r="G6" s="92" t="s">
        <v>101</v>
      </c>
      <c r="H6" s="92" t="s">
        <v>127</v>
      </c>
      <c r="I6" s="92" t="s">
        <v>102</v>
      </c>
      <c r="J6" s="92" t="s">
        <v>127</v>
      </c>
      <c r="K6" s="92" t="s">
        <v>102</v>
      </c>
      <c r="L6" s="92" t="s">
        <v>127</v>
      </c>
      <c r="M6" s="92" t="s">
        <v>102</v>
      </c>
      <c r="N6" s="92" t="s">
        <v>127</v>
      </c>
      <c r="O6" s="92" t="s">
        <v>102</v>
      </c>
      <c r="P6" s="92" t="s">
        <v>127</v>
      </c>
      <c r="Q6" s="92" t="s">
        <v>102</v>
      </c>
      <c r="R6" s="92" t="s">
        <v>127</v>
      </c>
      <c r="S6" s="92" t="s">
        <v>102</v>
      </c>
      <c r="T6" s="92" t="s">
        <v>127</v>
      </c>
      <c r="U6" s="92" t="s">
        <v>102</v>
      </c>
      <c r="V6" s="92" t="s">
        <v>127</v>
      </c>
      <c r="W6" s="92" t="s">
        <v>102</v>
      </c>
      <c r="X6" s="92" t="s">
        <v>127</v>
      </c>
      <c r="Y6" s="92" t="s">
        <v>102</v>
      </c>
      <c r="Z6" s="92" t="s">
        <v>127</v>
      </c>
      <c r="AA6" s="92" t="s">
        <v>102</v>
      </c>
      <c r="AB6" s="92" t="s">
        <v>127</v>
      </c>
      <c r="AC6" s="92" t="s">
        <v>102</v>
      </c>
      <c r="AD6" s="92" t="s">
        <v>127</v>
      </c>
      <c r="AE6" s="92" t="s">
        <v>102</v>
      </c>
      <c r="AF6" s="126"/>
      <c r="AH6" s="29"/>
    </row>
    <row r="7" spans="1:34" s="31" customFormat="1" ht="17.25" customHeight="1">
      <c r="A7" s="73">
        <v>1</v>
      </c>
      <c r="B7" s="73">
        <v>2</v>
      </c>
      <c r="C7" s="73">
        <v>3</v>
      </c>
      <c r="D7" s="73">
        <v>4</v>
      </c>
      <c r="E7" s="73">
        <v>5</v>
      </c>
      <c r="F7" s="73">
        <v>6</v>
      </c>
      <c r="G7" s="73">
        <v>7</v>
      </c>
      <c r="H7" s="73">
        <v>8</v>
      </c>
      <c r="I7" s="73">
        <v>9</v>
      </c>
      <c r="J7" s="73">
        <v>10</v>
      </c>
      <c r="K7" s="73">
        <v>11</v>
      </c>
      <c r="L7" s="73">
        <v>12</v>
      </c>
      <c r="M7" s="73">
        <v>13</v>
      </c>
      <c r="N7" s="73">
        <v>14</v>
      </c>
      <c r="O7" s="73">
        <v>15</v>
      </c>
      <c r="P7" s="73">
        <v>16</v>
      </c>
      <c r="Q7" s="73">
        <v>17</v>
      </c>
      <c r="R7" s="73">
        <v>18</v>
      </c>
      <c r="S7" s="73">
        <v>19</v>
      </c>
      <c r="T7" s="73">
        <v>20</v>
      </c>
      <c r="U7" s="73">
        <v>21</v>
      </c>
      <c r="V7" s="73">
        <v>22</v>
      </c>
      <c r="W7" s="73">
        <v>23</v>
      </c>
      <c r="X7" s="73">
        <v>24</v>
      </c>
      <c r="Y7" s="73">
        <v>25</v>
      </c>
      <c r="Z7" s="73">
        <v>26</v>
      </c>
      <c r="AA7" s="73">
        <v>27</v>
      </c>
      <c r="AB7" s="73">
        <v>28</v>
      </c>
      <c r="AC7" s="73">
        <v>29</v>
      </c>
      <c r="AD7" s="73">
        <v>30</v>
      </c>
      <c r="AE7" s="73">
        <v>31</v>
      </c>
      <c r="AF7" s="73">
        <v>32</v>
      </c>
      <c r="AH7" s="32"/>
    </row>
    <row r="8" spans="1:34" s="35" customFormat="1" ht="40.5" customHeight="1">
      <c r="A8" s="74" t="s">
        <v>103</v>
      </c>
      <c r="B8" s="64">
        <f>B9</f>
        <v>22827.800100000004</v>
      </c>
      <c r="C8" s="72">
        <f t="shared" ref="C8:AE9" si="0">C9</f>
        <v>1815.4380000000001</v>
      </c>
      <c r="D8" s="64">
        <f t="shared" si="0"/>
        <v>1635.0867800000001</v>
      </c>
      <c r="E8" s="72">
        <f t="shared" si="0"/>
        <v>978.38</v>
      </c>
      <c r="F8" s="86">
        <f>E8/B8</f>
        <v>4.2859145240193332E-2</v>
      </c>
      <c r="G8" s="86">
        <f>E8/C8</f>
        <v>0.53892228762425376</v>
      </c>
      <c r="H8" s="87">
        <f t="shared" si="0"/>
        <v>0</v>
      </c>
      <c r="I8" s="87">
        <f t="shared" si="0"/>
        <v>0</v>
      </c>
      <c r="J8" s="64">
        <f t="shared" si="0"/>
        <v>870.92899999999997</v>
      </c>
      <c r="K8" s="64">
        <f t="shared" si="0"/>
        <v>285.32</v>
      </c>
      <c r="L8" s="64">
        <f t="shared" si="0"/>
        <v>944.50900000000001</v>
      </c>
      <c r="M8" s="87">
        <f t="shared" si="0"/>
        <v>693.06000000000006</v>
      </c>
      <c r="N8" s="64">
        <f t="shared" si="0"/>
        <v>1789.2955000000002</v>
      </c>
      <c r="O8" s="87">
        <f t="shared" si="0"/>
        <v>0</v>
      </c>
      <c r="P8" s="64">
        <f t="shared" si="0"/>
        <v>1228.9046000000001</v>
      </c>
      <c r="Q8" s="87">
        <f t="shared" si="0"/>
        <v>0</v>
      </c>
      <c r="R8" s="64">
        <f t="shared" si="0"/>
        <v>4759.4984999999997</v>
      </c>
      <c r="S8" s="87">
        <f t="shared" si="0"/>
        <v>0</v>
      </c>
      <c r="T8" s="64">
        <f t="shared" si="0"/>
        <v>4942.9565000000002</v>
      </c>
      <c r="U8" s="87">
        <f t="shared" si="0"/>
        <v>0</v>
      </c>
      <c r="V8" s="64">
        <f t="shared" si="0"/>
        <v>4701.4249999999993</v>
      </c>
      <c r="W8" s="87">
        <f t="shared" si="0"/>
        <v>0</v>
      </c>
      <c r="X8" s="64">
        <f t="shared" si="0"/>
        <v>909.26099999999997</v>
      </c>
      <c r="Y8" s="87">
        <f t="shared" si="0"/>
        <v>0</v>
      </c>
      <c r="Z8" s="64">
        <f t="shared" si="0"/>
        <v>1083.143</v>
      </c>
      <c r="AA8" s="87">
        <f t="shared" si="0"/>
        <v>0</v>
      </c>
      <c r="AB8" s="64">
        <f t="shared" si="0"/>
        <v>692.37799999999993</v>
      </c>
      <c r="AC8" s="87">
        <f t="shared" si="0"/>
        <v>0</v>
      </c>
      <c r="AD8" s="64">
        <f t="shared" si="0"/>
        <v>905.5</v>
      </c>
      <c r="AE8" s="87">
        <f t="shared" si="0"/>
        <v>0</v>
      </c>
      <c r="AF8" s="87"/>
      <c r="AH8" s="36"/>
    </row>
    <row r="9" spans="1:34" s="35" customFormat="1" ht="75.75" customHeight="1">
      <c r="A9" s="151" t="s">
        <v>117</v>
      </c>
      <c r="B9" s="149">
        <f>B10</f>
        <v>22827.800100000004</v>
      </c>
      <c r="C9" s="80">
        <f>C10</f>
        <v>1815.4380000000001</v>
      </c>
      <c r="D9" s="149">
        <f t="shared" si="0"/>
        <v>1635.0867800000001</v>
      </c>
      <c r="E9" s="80">
        <f t="shared" si="0"/>
        <v>978.38</v>
      </c>
      <c r="F9" s="79">
        <f>E9/B9</f>
        <v>4.2859145240193332E-2</v>
      </c>
      <c r="G9" s="79">
        <f>E9/C9</f>
        <v>0.53892228762425376</v>
      </c>
      <c r="H9" s="152">
        <f t="shared" si="0"/>
        <v>0</v>
      </c>
      <c r="I9" s="152">
        <f>I10</f>
        <v>0</v>
      </c>
      <c r="J9" s="149">
        <f t="shared" si="0"/>
        <v>870.92899999999997</v>
      </c>
      <c r="K9" s="149">
        <f t="shared" si="0"/>
        <v>285.32</v>
      </c>
      <c r="L9" s="149">
        <f t="shared" si="0"/>
        <v>944.50900000000001</v>
      </c>
      <c r="M9" s="152">
        <f t="shared" si="0"/>
        <v>693.06000000000006</v>
      </c>
      <c r="N9" s="149">
        <f t="shared" si="0"/>
        <v>1789.2955000000002</v>
      </c>
      <c r="O9" s="152">
        <f t="shared" si="0"/>
        <v>0</v>
      </c>
      <c r="P9" s="149">
        <f t="shared" si="0"/>
        <v>1228.9046000000001</v>
      </c>
      <c r="Q9" s="152">
        <f t="shared" si="0"/>
        <v>0</v>
      </c>
      <c r="R9" s="149">
        <f t="shared" si="0"/>
        <v>4759.4984999999997</v>
      </c>
      <c r="S9" s="152">
        <f t="shared" si="0"/>
        <v>0</v>
      </c>
      <c r="T9" s="149">
        <f t="shared" si="0"/>
        <v>4942.9565000000002</v>
      </c>
      <c r="U9" s="152">
        <f t="shared" si="0"/>
        <v>0</v>
      </c>
      <c r="V9" s="149">
        <f t="shared" si="0"/>
        <v>4701.4249999999993</v>
      </c>
      <c r="W9" s="152">
        <f t="shared" si="0"/>
        <v>0</v>
      </c>
      <c r="X9" s="149">
        <f t="shared" si="0"/>
        <v>909.26099999999997</v>
      </c>
      <c r="Y9" s="152">
        <f t="shared" si="0"/>
        <v>0</v>
      </c>
      <c r="Z9" s="149">
        <f t="shared" si="0"/>
        <v>1083.143</v>
      </c>
      <c r="AA9" s="152">
        <f t="shared" si="0"/>
        <v>0</v>
      </c>
      <c r="AB9" s="149">
        <f t="shared" si="0"/>
        <v>692.37799999999993</v>
      </c>
      <c r="AC9" s="152">
        <f t="shared" si="0"/>
        <v>0</v>
      </c>
      <c r="AD9" s="149">
        <f t="shared" si="0"/>
        <v>905.5</v>
      </c>
      <c r="AE9" s="152">
        <f t="shared" si="0"/>
        <v>0</v>
      </c>
      <c r="AF9" s="152"/>
      <c r="AH9" s="36"/>
    </row>
    <row r="10" spans="1:34" s="35" customFormat="1">
      <c r="A10" s="76" t="s">
        <v>25</v>
      </c>
      <c r="B10" s="71">
        <f>B11+B12</f>
        <v>22827.800100000004</v>
      </c>
      <c r="C10" s="71">
        <f t="shared" ref="C10:AD10" si="1">C11+C12</f>
        <v>1815.4380000000001</v>
      </c>
      <c r="D10" s="71">
        <f t="shared" si="1"/>
        <v>1635.0867800000001</v>
      </c>
      <c r="E10" s="71">
        <f t="shared" si="1"/>
        <v>978.38</v>
      </c>
      <c r="F10" s="142">
        <f>E10/B10</f>
        <v>4.2859145240193332E-2</v>
      </c>
      <c r="G10" s="142">
        <f>E10/C10</f>
        <v>0.53892228762425376</v>
      </c>
      <c r="H10" s="71">
        <f t="shared" si="1"/>
        <v>0</v>
      </c>
      <c r="I10" s="71">
        <f t="shared" si="1"/>
        <v>0</v>
      </c>
      <c r="J10" s="71">
        <f t="shared" si="1"/>
        <v>870.92899999999997</v>
      </c>
      <c r="K10" s="71">
        <f t="shared" si="1"/>
        <v>285.32</v>
      </c>
      <c r="L10" s="71">
        <f t="shared" si="1"/>
        <v>944.50900000000001</v>
      </c>
      <c r="M10" s="71">
        <f t="shared" si="1"/>
        <v>693.06000000000006</v>
      </c>
      <c r="N10" s="71">
        <f t="shared" si="1"/>
        <v>1789.2955000000002</v>
      </c>
      <c r="O10" s="71">
        <f t="shared" si="1"/>
        <v>0</v>
      </c>
      <c r="P10" s="71">
        <f t="shared" si="1"/>
        <v>1228.9046000000001</v>
      </c>
      <c r="Q10" s="71">
        <f t="shared" si="1"/>
        <v>0</v>
      </c>
      <c r="R10" s="71">
        <f t="shared" si="1"/>
        <v>4759.4984999999997</v>
      </c>
      <c r="S10" s="71">
        <f t="shared" si="1"/>
        <v>0</v>
      </c>
      <c r="T10" s="71">
        <f t="shared" si="1"/>
        <v>4942.9565000000002</v>
      </c>
      <c r="U10" s="71">
        <f t="shared" si="1"/>
        <v>0</v>
      </c>
      <c r="V10" s="71">
        <f t="shared" si="1"/>
        <v>4701.4249999999993</v>
      </c>
      <c r="W10" s="71">
        <f t="shared" si="1"/>
        <v>0</v>
      </c>
      <c r="X10" s="71">
        <f t="shared" si="1"/>
        <v>909.26099999999997</v>
      </c>
      <c r="Y10" s="71">
        <f t="shared" si="1"/>
        <v>0</v>
      </c>
      <c r="Z10" s="71">
        <f t="shared" si="1"/>
        <v>1083.143</v>
      </c>
      <c r="AA10" s="71">
        <f t="shared" si="1"/>
        <v>0</v>
      </c>
      <c r="AB10" s="71">
        <f t="shared" si="1"/>
        <v>692.37799999999993</v>
      </c>
      <c r="AC10" s="71">
        <f t="shared" si="1"/>
        <v>0</v>
      </c>
      <c r="AD10" s="71">
        <f t="shared" si="1"/>
        <v>905.5</v>
      </c>
      <c r="AE10" s="71">
        <f>AE11+AE12</f>
        <v>0</v>
      </c>
      <c r="AF10" s="71"/>
      <c r="AH10" s="36"/>
    </row>
    <row r="11" spans="1:34" s="35" customFormat="1">
      <c r="A11" s="76" t="s">
        <v>104</v>
      </c>
      <c r="B11" s="71">
        <f>B54+B71+B75</f>
        <v>3374.7</v>
      </c>
      <c r="C11" s="71">
        <f t="shared" ref="C11:AE11" si="2">C54+C71+C75</f>
        <v>220.30800000000002</v>
      </c>
      <c r="D11" s="71">
        <f t="shared" si="2"/>
        <v>39.956780000000002</v>
      </c>
      <c r="E11" s="71">
        <f t="shared" si="2"/>
        <v>39.96</v>
      </c>
      <c r="F11" s="142">
        <f>E11/B11</f>
        <v>1.1841052538003379E-2</v>
      </c>
      <c r="G11" s="142">
        <f>E11/C11</f>
        <v>0.18138242823683207</v>
      </c>
      <c r="H11" s="71">
        <f t="shared" si="2"/>
        <v>0</v>
      </c>
      <c r="I11" s="71">
        <f t="shared" si="2"/>
        <v>0</v>
      </c>
      <c r="J11" s="71">
        <f t="shared" si="2"/>
        <v>77.635999999999996</v>
      </c>
      <c r="K11" s="71">
        <f t="shared" si="2"/>
        <v>0</v>
      </c>
      <c r="L11" s="71">
        <f t="shared" si="2"/>
        <v>142.672</v>
      </c>
      <c r="M11" s="71">
        <f t="shared" si="2"/>
        <v>39.96</v>
      </c>
      <c r="N11" s="71">
        <f t="shared" si="2"/>
        <v>346.37900000000002</v>
      </c>
      <c r="O11" s="71">
        <f t="shared" si="2"/>
        <v>0</v>
      </c>
      <c r="P11" s="71">
        <f t="shared" si="2"/>
        <v>219.10500000000002</v>
      </c>
      <c r="Q11" s="71">
        <f t="shared" si="2"/>
        <v>0</v>
      </c>
      <c r="R11" s="71">
        <f t="shared" si="2"/>
        <v>684.61199999999997</v>
      </c>
      <c r="S11" s="71">
        <f t="shared" si="2"/>
        <v>0</v>
      </c>
      <c r="T11" s="71">
        <f t="shared" si="2"/>
        <v>951.63300000000004</v>
      </c>
      <c r="U11" s="71">
        <f t="shared" si="2"/>
        <v>0</v>
      </c>
      <c r="V11" s="71">
        <f t="shared" si="2"/>
        <v>743.21199999999999</v>
      </c>
      <c r="W11" s="71">
        <f t="shared" si="2"/>
        <v>0</v>
      </c>
      <c r="X11" s="71">
        <f t="shared" si="2"/>
        <v>80.433000000000007</v>
      </c>
      <c r="Y11" s="71">
        <f t="shared" si="2"/>
        <v>0</v>
      </c>
      <c r="Z11" s="71">
        <f t="shared" si="2"/>
        <v>112.218</v>
      </c>
      <c r="AA11" s="71">
        <f t="shared" si="2"/>
        <v>0</v>
      </c>
      <c r="AB11" s="71">
        <f t="shared" si="2"/>
        <v>16.8</v>
      </c>
      <c r="AC11" s="71">
        <f t="shared" si="2"/>
        <v>0</v>
      </c>
      <c r="AD11" s="71">
        <f t="shared" si="2"/>
        <v>0</v>
      </c>
      <c r="AE11" s="71">
        <f t="shared" si="2"/>
        <v>0</v>
      </c>
      <c r="AF11" s="71"/>
      <c r="AH11" s="36"/>
    </row>
    <row r="12" spans="1:34" s="35" customFormat="1">
      <c r="A12" s="76" t="s">
        <v>105</v>
      </c>
      <c r="B12" s="71">
        <f>B55+B72</f>
        <v>19453.100100000003</v>
      </c>
      <c r="C12" s="71">
        <f t="shared" ref="C12:AE12" si="3">C55+C72</f>
        <v>1595.13</v>
      </c>
      <c r="D12" s="71">
        <f t="shared" si="3"/>
        <v>1595.13</v>
      </c>
      <c r="E12" s="71">
        <f t="shared" si="3"/>
        <v>938.42</v>
      </c>
      <c r="F12" s="142">
        <f>E12/B12</f>
        <v>4.8240126004389386E-2</v>
      </c>
      <c r="G12" s="142">
        <f>E12/C12</f>
        <v>0.58830314770582959</v>
      </c>
      <c r="H12" s="71">
        <f t="shared" si="3"/>
        <v>0</v>
      </c>
      <c r="I12" s="71">
        <f t="shared" si="3"/>
        <v>0</v>
      </c>
      <c r="J12" s="71">
        <f t="shared" si="3"/>
        <v>793.29300000000001</v>
      </c>
      <c r="K12" s="71">
        <f t="shared" si="3"/>
        <v>285.32</v>
      </c>
      <c r="L12" s="71">
        <f t="shared" si="3"/>
        <v>801.83699999999999</v>
      </c>
      <c r="M12" s="71">
        <f t="shared" si="3"/>
        <v>653.1</v>
      </c>
      <c r="N12" s="71">
        <f t="shared" si="3"/>
        <v>1442.9165</v>
      </c>
      <c r="O12" s="71">
        <f t="shared" si="3"/>
        <v>0</v>
      </c>
      <c r="P12" s="71">
        <f t="shared" si="3"/>
        <v>1009.7996000000001</v>
      </c>
      <c r="Q12" s="71">
        <f t="shared" si="3"/>
        <v>0</v>
      </c>
      <c r="R12" s="71">
        <f t="shared" si="3"/>
        <v>4074.8865000000001</v>
      </c>
      <c r="S12" s="71">
        <f t="shared" si="3"/>
        <v>0</v>
      </c>
      <c r="T12" s="71">
        <f t="shared" si="3"/>
        <v>3991.3235000000004</v>
      </c>
      <c r="U12" s="71">
        <f t="shared" si="3"/>
        <v>0</v>
      </c>
      <c r="V12" s="71">
        <f t="shared" si="3"/>
        <v>3958.2129999999997</v>
      </c>
      <c r="W12" s="71">
        <f t="shared" si="3"/>
        <v>0</v>
      </c>
      <c r="X12" s="71">
        <f t="shared" si="3"/>
        <v>828.82799999999997</v>
      </c>
      <c r="Y12" s="71">
        <f t="shared" si="3"/>
        <v>0</v>
      </c>
      <c r="Z12" s="71">
        <f t="shared" si="3"/>
        <v>970.92500000000007</v>
      </c>
      <c r="AA12" s="71">
        <f t="shared" si="3"/>
        <v>0</v>
      </c>
      <c r="AB12" s="71">
        <f t="shared" si="3"/>
        <v>675.57799999999997</v>
      </c>
      <c r="AC12" s="71">
        <f t="shared" si="3"/>
        <v>0</v>
      </c>
      <c r="AD12" s="71">
        <f t="shared" si="3"/>
        <v>905.5</v>
      </c>
      <c r="AE12" s="71">
        <f t="shared" si="3"/>
        <v>0</v>
      </c>
      <c r="AF12" s="71"/>
      <c r="AH12" s="36"/>
    </row>
    <row r="13" spans="1:34" s="35" customFormat="1" ht="95.25" customHeight="1">
      <c r="A13" s="143" t="s">
        <v>129</v>
      </c>
      <c r="B13" s="90"/>
      <c r="C13" s="144"/>
      <c r="D13" s="144"/>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6"/>
      <c r="AE13" s="147"/>
      <c r="AF13" s="129" t="s">
        <v>150</v>
      </c>
      <c r="AG13" s="91"/>
      <c r="AH13" s="36"/>
    </row>
    <row r="14" spans="1:34" s="35" customFormat="1" ht="33.75" customHeight="1">
      <c r="A14" s="148" t="s">
        <v>120</v>
      </c>
      <c r="B14" s="149"/>
      <c r="C14" s="149"/>
      <c r="D14" s="149"/>
      <c r="E14" s="149"/>
      <c r="F14" s="79"/>
      <c r="G14" s="7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30"/>
      <c r="AH14" s="36"/>
    </row>
    <row r="15" spans="1:34" s="35" customFormat="1" ht="15.75" customHeight="1">
      <c r="A15" s="75" t="s">
        <v>121</v>
      </c>
      <c r="B15" s="80">
        <f>B17+B16</f>
        <v>8782.103000000001</v>
      </c>
      <c r="C15" s="80">
        <f>C17+C16</f>
        <v>0</v>
      </c>
      <c r="D15" s="80">
        <f>D17+D16</f>
        <v>0</v>
      </c>
      <c r="E15" s="80">
        <f>E17+E16</f>
        <v>0</v>
      </c>
      <c r="F15" s="79">
        <f>E15/B15</f>
        <v>0</v>
      </c>
      <c r="G15" s="79">
        <v>0</v>
      </c>
      <c r="H15" s="69">
        <f>H17+H16</f>
        <v>0</v>
      </c>
      <c r="I15" s="69">
        <f>I17+I16</f>
        <v>0</v>
      </c>
      <c r="J15" s="69">
        <f t="shared" ref="J15:AE15" si="4">J17+J16</f>
        <v>0</v>
      </c>
      <c r="K15" s="69">
        <f t="shared" si="4"/>
        <v>0</v>
      </c>
      <c r="L15" s="69">
        <f t="shared" si="4"/>
        <v>0</v>
      </c>
      <c r="M15" s="69">
        <f t="shared" si="4"/>
        <v>0</v>
      </c>
      <c r="N15" s="69">
        <f t="shared" si="4"/>
        <v>0</v>
      </c>
      <c r="O15" s="69">
        <f t="shared" si="4"/>
        <v>0</v>
      </c>
      <c r="P15" s="69">
        <f t="shared" si="4"/>
        <v>0</v>
      </c>
      <c r="Q15" s="69">
        <f t="shared" si="4"/>
        <v>0</v>
      </c>
      <c r="R15" s="69">
        <f t="shared" si="4"/>
        <v>2935.5219999999999</v>
      </c>
      <c r="S15" s="69">
        <f t="shared" si="4"/>
        <v>0</v>
      </c>
      <c r="T15" s="69">
        <f t="shared" si="4"/>
        <v>2927.1590000000001</v>
      </c>
      <c r="U15" s="69">
        <f t="shared" si="4"/>
        <v>0</v>
      </c>
      <c r="V15" s="69">
        <f t="shared" si="4"/>
        <v>2919.422</v>
      </c>
      <c r="W15" s="69">
        <f t="shared" si="4"/>
        <v>0</v>
      </c>
      <c r="X15" s="69">
        <f t="shared" si="4"/>
        <v>0</v>
      </c>
      <c r="Y15" s="69">
        <f t="shared" si="4"/>
        <v>0</v>
      </c>
      <c r="Z15" s="69">
        <f t="shared" si="4"/>
        <v>0</v>
      </c>
      <c r="AA15" s="69">
        <f t="shared" si="4"/>
        <v>0</v>
      </c>
      <c r="AB15" s="69">
        <f t="shared" si="4"/>
        <v>0</v>
      </c>
      <c r="AC15" s="69">
        <f t="shared" si="4"/>
        <v>0</v>
      </c>
      <c r="AD15" s="69">
        <f t="shared" si="4"/>
        <v>0</v>
      </c>
      <c r="AE15" s="69">
        <f t="shared" si="4"/>
        <v>0</v>
      </c>
      <c r="AF15" s="130"/>
      <c r="AG15" s="91">
        <f>C22-E22</f>
        <v>52.688000000000002</v>
      </c>
      <c r="AH15" s="36"/>
    </row>
    <row r="16" spans="1:34" s="35" customFormat="1" ht="21.75" customHeight="1">
      <c r="A16" s="76" t="s">
        <v>104</v>
      </c>
      <c r="B16" s="71">
        <f>H16+J16+L16+N16+P16+R16+T16+V16+X16+Z16+AB16+AD16</f>
        <v>840</v>
      </c>
      <c r="C16" s="68">
        <f>H16+J16+L16</f>
        <v>0</v>
      </c>
      <c r="D16" s="68"/>
      <c r="E16" s="68">
        <f>I16+K16+M16</f>
        <v>0</v>
      </c>
      <c r="F16" s="81">
        <f>E16/B16</f>
        <v>0</v>
      </c>
      <c r="G16" s="81">
        <v>0</v>
      </c>
      <c r="H16" s="68"/>
      <c r="I16" s="68"/>
      <c r="J16" s="68"/>
      <c r="K16" s="68"/>
      <c r="L16" s="68"/>
      <c r="M16" s="68"/>
      <c r="N16" s="68"/>
      <c r="O16" s="68"/>
      <c r="P16" s="68"/>
      <c r="Q16" s="68"/>
      <c r="R16" s="68">
        <f>28000/100</f>
        <v>280</v>
      </c>
      <c r="S16" s="68">
        <v>0</v>
      </c>
      <c r="T16" s="68">
        <f>280000/1000</f>
        <v>280</v>
      </c>
      <c r="U16" s="68"/>
      <c r="V16" s="68">
        <f>280000/1000</f>
        <v>280</v>
      </c>
      <c r="W16" s="68"/>
      <c r="X16" s="68"/>
      <c r="Y16" s="68"/>
      <c r="Z16" s="68"/>
      <c r="AA16" s="68"/>
      <c r="AB16" s="68"/>
      <c r="AC16" s="68"/>
      <c r="AD16" s="68"/>
      <c r="AE16" s="68"/>
      <c r="AF16" s="130"/>
      <c r="AH16" s="36"/>
    </row>
    <row r="17" spans="1:34" s="35" customFormat="1" ht="22.5" customHeight="1">
      <c r="A17" s="76" t="s">
        <v>105</v>
      </c>
      <c r="B17" s="71">
        <f>H17+J17+L17+N17+P17+R17+T17+V17+X17+Z17+AB17+AD17</f>
        <v>7942.103000000001</v>
      </c>
      <c r="C17" s="68">
        <f>H17+J17+L17</f>
        <v>0</v>
      </c>
      <c r="D17" s="68"/>
      <c r="E17" s="68">
        <f>I17+K17+M17</f>
        <v>0</v>
      </c>
      <c r="F17" s="81">
        <f>E17/B17</f>
        <v>0</v>
      </c>
      <c r="G17" s="81">
        <v>0</v>
      </c>
      <c r="H17" s="68"/>
      <c r="I17" s="68"/>
      <c r="J17" s="68"/>
      <c r="K17" s="68"/>
      <c r="L17" s="68"/>
      <c r="M17" s="68"/>
      <c r="N17" s="68"/>
      <c r="O17" s="68"/>
      <c r="P17" s="68"/>
      <c r="Q17" s="68"/>
      <c r="R17" s="68">
        <f>2655522/1000</f>
        <v>2655.5219999999999</v>
      </c>
      <c r="S17" s="68"/>
      <c r="T17" s="68">
        <f>2647159/1000</f>
        <v>2647.1590000000001</v>
      </c>
      <c r="U17" s="68"/>
      <c r="V17" s="68">
        <f>2639422/1000</f>
        <v>2639.422</v>
      </c>
      <c r="W17" s="68"/>
      <c r="X17" s="68"/>
      <c r="Y17" s="68"/>
      <c r="Z17" s="68"/>
      <c r="AA17" s="68"/>
      <c r="AB17" s="68"/>
      <c r="AC17" s="68"/>
      <c r="AD17" s="68"/>
      <c r="AE17" s="68"/>
      <c r="AF17" s="130"/>
      <c r="AH17" s="36"/>
    </row>
    <row r="18" spans="1:34" s="35" customFormat="1" ht="89.25" customHeight="1">
      <c r="A18" s="148" t="s">
        <v>122</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30"/>
      <c r="AH18" s="36"/>
    </row>
    <row r="19" spans="1:34" s="35" customFormat="1" ht="22.5" customHeight="1">
      <c r="A19" s="76" t="s">
        <v>105</v>
      </c>
      <c r="B19" s="71">
        <f>H19+J19+L19+N19+P19+R19+T19+V19+X19+Z19+AB19+AD19</f>
        <v>580.00900000000001</v>
      </c>
      <c r="C19" s="68">
        <f>H19+J19+L19</f>
        <v>0</v>
      </c>
      <c r="D19" s="89"/>
      <c r="E19" s="68">
        <f>I19+K19+M19</f>
        <v>0</v>
      </c>
      <c r="F19" s="81">
        <f>E19/B19</f>
        <v>0</v>
      </c>
      <c r="G19" s="81">
        <v>0</v>
      </c>
      <c r="H19" s="82"/>
      <c r="I19" s="82"/>
      <c r="J19" s="82"/>
      <c r="K19" s="82"/>
      <c r="L19" s="82"/>
      <c r="M19" s="82"/>
      <c r="N19" s="84">
        <f>580009/1000</f>
        <v>580.00900000000001</v>
      </c>
      <c r="O19" s="82"/>
      <c r="P19" s="82"/>
      <c r="Q19" s="82"/>
      <c r="R19" s="82"/>
      <c r="S19" s="82"/>
      <c r="T19" s="82"/>
      <c r="U19" s="82"/>
      <c r="V19" s="82"/>
      <c r="W19" s="84"/>
      <c r="X19" s="82"/>
      <c r="Y19" s="82"/>
      <c r="Z19" s="82"/>
      <c r="AA19" s="82"/>
      <c r="AB19" s="82"/>
      <c r="AC19" s="82"/>
      <c r="AD19" s="82"/>
      <c r="AE19" s="82"/>
      <c r="AF19" s="130"/>
      <c r="AH19" s="36"/>
    </row>
    <row r="20" spans="1:34" s="35" customFormat="1" ht="39.75" customHeight="1">
      <c r="A20" s="148" t="s">
        <v>123</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30"/>
      <c r="AH20" s="36"/>
    </row>
    <row r="21" spans="1:34" s="35" customFormat="1" ht="22.5" customHeight="1">
      <c r="A21" s="76" t="s">
        <v>105</v>
      </c>
      <c r="B21" s="71">
        <f>H21+J21+L21+N21+P21+R21+T21+V21+X21+Z21+AB21+AD21</f>
        <v>52.688000000000002</v>
      </c>
      <c r="C21" s="71">
        <f>H21+J21+L21</f>
        <v>52.688000000000002</v>
      </c>
      <c r="D21" s="90">
        <f>52688/1000</f>
        <v>52.688000000000002</v>
      </c>
      <c r="E21" s="68">
        <f>I21+K21+M21</f>
        <v>0</v>
      </c>
      <c r="F21" s="81">
        <f>E21/B21</f>
        <v>0</v>
      </c>
      <c r="G21" s="81">
        <v>0</v>
      </c>
      <c r="H21" s="82"/>
      <c r="I21" s="82"/>
      <c r="J21" s="82"/>
      <c r="K21" s="82"/>
      <c r="L21" s="84">
        <f>52688/1000</f>
        <v>52.688000000000002</v>
      </c>
      <c r="M21" s="82"/>
      <c r="N21" s="82"/>
      <c r="O21" s="82"/>
      <c r="P21" s="82"/>
      <c r="Q21" s="82"/>
      <c r="R21" s="82"/>
      <c r="S21" s="82"/>
      <c r="T21" s="82"/>
      <c r="U21" s="82"/>
      <c r="V21" s="82"/>
      <c r="W21" s="84"/>
      <c r="X21" s="82"/>
      <c r="Y21" s="82"/>
      <c r="Z21" s="82"/>
      <c r="AA21" s="82"/>
      <c r="AB21" s="82"/>
      <c r="AC21" s="82"/>
      <c r="AD21" s="82"/>
      <c r="AE21" s="82"/>
      <c r="AF21" s="131"/>
      <c r="AH21" s="36"/>
    </row>
    <row r="22" spans="1:34" s="35" customFormat="1">
      <c r="A22" s="150" t="s">
        <v>25</v>
      </c>
      <c r="B22" s="80">
        <f>B23+B24</f>
        <v>9414.8000000000011</v>
      </c>
      <c r="C22" s="80">
        <f>C23+C24</f>
        <v>52.688000000000002</v>
      </c>
      <c r="D22" s="80">
        <f>D23+D24</f>
        <v>52.688000000000002</v>
      </c>
      <c r="E22" s="80">
        <f>E23+E24</f>
        <v>0</v>
      </c>
      <c r="F22" s="79">
        <f>E22/B22</f>
        <v>0</v>
      </c>
      <c r="G22" s="79">
        <v>0</v>
      </c>
      <c r="H22" s="69">
        <f>H23+H24</f>
        <v>0</v>
      </c>
      <c r="I22" s="69">
        <f>I23+I24</f>
        <v>0</v>
      </c>
      <c r="J22" s="69">
        <f t="shared" ref="J22:AE22" si="5">J23+J24</f>
        <v>0</v>
      </c>
      <c r="K22" s="69">
        <f t="shared" si="5"/>
        <v>0</v>
      </c>
      <c r="L22" s="69">
        <f t="shared" si="5"/>
        <v>52.688000000000002</v>
      </c>
      <c r="M22" s="69">
        <f t="shared" si="5"/>
        <v>0</v>
      </c>
      <c r="N22" s="69">
        <f t="shared" si="5"/>
        <v>580.00900000000001</v>
      </c>
      <c r="O22" s="69">
        <f t="shared" si="5"/>
        <v>0</v>
      </c>
      <c r="P22" s="69">
        <f t="shared" si="5"/>
        <v>0</v>
      </c>
      <c r="Q22" s="69">
        <f t="shared" si="5"/>
        <v>0</v>
      </c>
      <c r="R22" s="69">
        <f t="shared" si="5"/>
        <v>2935.5219999999999</v>
      </c>
      <c r="S22" s="69">
        <f t="shared" si="5"/>
        <v>0</v>
      </c>
      <c r="T22" s="69">
        <f t="shared" si="5"/>
        <v>2927.1590000000001</v>
      </c>
      <c r="U22" s="69">
        <f t="shared" si="5"/>
        <v>0</v>
      </c>
      <c r="V22" s="69">
        <f t="shared" si="5"/>
        <v>2919.422</v>
      </c>
      <c r="W22" s="69">
        <f t="shared" si="5"/>
        <v>0</v>
      </c>
      <c r="X22" s="69">
        <f t="shared" si="5"/>
        <v>0</v>
      </c>
      <c r="Y22" s="69">
        <f t="shared" si="5"/>
        <v>0</v>
      </c>
      <c r="Z22" s="69">
        <f t="shared" si="5"/>
        <v>0</v>
      </c>
      <c r="AA22" s="69">
        <f t="shared" si="5"/>
        <v>0</v>
      </c>
      <c r="AB22" s="69">
        <f t="shared" si="5"/>
        <v>0</v>
      </c>
      <c r="AC22" s="69">
        <f t="shared" si="5"/>
        <v>0</v>
      </c>
      <c r="AD22" s="69">
        <f t="shared" si="5"/>
        <v>0</v>
      </c>
      <c r="AE22" s="69">
        <f t="shared" si="5"/>
        <v>0</v>
      </c>
      <c r="AF22" s="69"/>
      <c r="AH22" s="36"/>
    </row>
    <row r="23" spans="1:34" s="35" customFormat="1">
      <c r="A23" s="76" t="s">
        <v>104</v>
      </c>
      <c r="B23" s="71">
        <f>B16</f>
        <v>840</v>
      </c>
      <c r="C23" s="71">
        <f>C16</f>
        <v>0</v>
      </c>
      <c r="D23" s="71">
        <f>D16</f>
        <v>0</v>
      </c>
      <c r="E23" s="71">
        <f>E16</f>
        <v>0</v>
      </c>
      <c r="F23" s="81">
        <f>E23/B23</f>
        <v>0</v>
      </c>
      <c r="G23" s="81">
        <v>0</v>
      </c>
      <c r="H23" s="71">
        <f>H16</f>
        <v>0</v>
      </c>
      <c r="I23" s="71">
        <f>I16</f>
        <v>0</v>
      </c>
      <c r="J23" s="71">
        <f t="shared" ref="J23:AD23" si="6">J16</f>
        <v>0</v>
      </c>
      <c r="K23" s="71">
        <f t="shared" si="6"/>
        <v>0</v>
      </c>
      <c r="L23" s="71">
        <f t="shared" si="6"/>
        <v>0</v>
      </c>
      <c r="M23" s="71">
        <f t="shared" si="6"/>
        <v>0</v>
      </c>
      <c r="N23" s="71">
        <f t="shared" si="6"/>
        <v>0</v>
      </c>
      <c r="O23" s="71">
        <f t="shared" si="6"/>
        <v>0</v>
      </c>
      <c r="P23" s="71">
        <f t="shared" si="6"/>
        <v>0</v>
      </c>
      <c r="Q23" s="71">
        <f t="shared" si="6"/>
        <v>0</v>
      </c>
      <c r="R23" s="71">
        <f t="shared" si="6"/>
        <v>280</v>
      </c>
      <c r="S23" s="71">
        <f t="shared" si="6"/>
        <v>0</v>
      </c>
      <c r="T23" s="71">
        <f t="shared" si="6"/>
        <v>280</v>
      </c>
      <c r="U23" s="71">
        <f t="shared" si="6"/>
        <v>0</v>
      </c>
      <c r="V23" s="71">
        <f t="shared" si="6"/>
        <v>280</v>
      </c>
      <c r="W23" s="71">
        <f t="shared" si="6"/>
        <v>0</v>
      </c>
      <c r="X23" s="71">
        <f t="shared" si="6"/>
        <v>0</v>
      </c>
      <c r="Y23" s="71">
        <f t="shared" si="6"/>
        <v>0</v>
      </c>
      <c r="Z23" s="71">
        <f t="shared" si="6"/>
        <v>0</v>
      </c>
      <c r="AA23" s="71">
        <f t="shared" si="6"/>
        <v>0</v>
      </c>
      <c r="AB23" s="71">
        <f t="shared" si="6"/>
        <v>0</v>
      </c>
      <c r="AC23" s="71">
        <f t="shared" si="6"/>
        <v>0</v>
      </c>
      <c r="AD23" s="71">
        <f t="shared" si="6"/>
        <v>0</v>
      </c>
      <c r="AE23" s="71">
        <f>AE16</f>
        <v>0</v>
      </c>
      <c r="AF23" s="71"/>
      <c r="AH23" s="36"/>
    </row>
    <row r="24" spans="1:34" s="35" customFormat="1">
      <c r="A24" s="76" t="s">
        <v>105</v>
      </c>
      <c r="B24" s="71">
        <f>B17+B19+B21</f>
        <v>8574.8000000000011</v>
      </c>
      <c r="C24" s="71">
        <f>C17+C19+C21</f>
        <v>52.688000000000002</v>
      </c>
      <c r="D24" s="71">
        <f t="shared" ref="D24:E24" si="7">D17+D19+D21</f>
        <v>52.688000000000002</v>
      </c>
      <c r="E24" s="71">
        <f t="shared" si="7"/>
        <v>0</v>
      </c>
      <c r="F24" s="81">
        <f>E24/B24</f>
        <v>0</v>
      </c>
      <c r="G24" s="81">
        <v>0</v>
      </c>
      <c r="H24" s="71">
        <f>H17+H19+H21</f>
        <v>0</v>
      </c>
      <c r="I24" s="71">
        <f t="shared" ref="I24:AE24" si="8">I17+I19+I21</f>
        <v>0</v>
      </c>
      <c r="J24" s="71">
        <f t="shared" si="8"/>
        <v>0</v>
      </c>
      <c r="K24" s="71">
        <f t="shared" si="8"/>
        <v>0</v>
      </c>
      <c r="L24" s="71">
        <f t="shared" si="8"/>
        <v>52.688000000000002</v>
      </c>
      <c r="M24" s="71">
        <f t="shared" si="8"/>
        <v>0</v>
      </c>
      <c r="N24" s="71">
        <f t="shared" si="8"/>
        <v>580.00900000000001</v>
      </c>
      <c r="O24" s="71">
        <f t="shared" si="8"/>
        <v>0</v>
      </c>
      <c r="P24" s="71">
        <f t="shared" si="8"/>
        <v>0</v>
      </c>
      <c r="Q24" s="71">
        <f t="shared" si="8"/>
        <v>0</v>
      </c>
      <c r="R24" s="71">
        <f t="shared" si="8"/>
        <v>2655.5219999999999</v>
      </c>
      <c r="S24" s="71">
        <f t="shared" si="8"/>
        <v>0</v>
      </c>
      <c r="T24" s="71">
        <f t="shared" si="8"/>
        <v>2647.1590000000001</v>
      </c>
      <c r="U24" s="71">
        <f t="shared" si="8"/>
        <v>0</v>
      </c>
      <c r="V24" s="71">
        <f t="shared" si="8"/>
        <v>2639.422</v>
      </c>
      <c r="W24" s="71">
        <f t="shared" si="8"/>
        <v>0</v>
      </c>
      <c r="X24" s="71">
        <f t="shared" si="8"/>
        <v>0</v>
      </c>
      <c r="Y24" s="71">
        <f t="shared" si="8"/>
        <v>0</v>
      </c>
      <c r="Z24" s="71">
        <f t="shared" si="8"/>
        <v>0</v>
      </c>
      <c r="AA24" s="71">
        <f t="shared" si="8"/>
        <v>0</v>
      </c>
      <c r="AB24" s="71">
        <f t="shared" si="8"/>
        <v>0</v>
      </c>
      <c r="AC24" s="71">
        <f t="shared" si="8"/>
        <v>0</v>
      </c>
      <c r="AD24" s="71">
        <f t="shared" si="8"/>
        <v>0</v>
      </c>
      <c r="AE24" s="71">
        <f t="shared" si="8"/>
        <v>0</v>
      </c>
      <c r="AF24" s="71"/>
      <c r="AH24" s="36"/>
    </row>
    <row r="25" spans="1:34" s="35" customFormat="1" ht="198.75" customHeight="1">
      <c r="A25" s="143" t="s">
        <v>113</v>
      </c>
      <c r="B25" s="68"/>
      <c r="C25" s="69"/>
      <c r="D25" s="69"/>
      <c r="E25" s="69"/>
      <c r="F25" s="70"/>
      <c r="G25" s="70"/>
      <c r="H25" s="69"/>
      <c r="I25" s="69"/>
      <c r="J25" s="69"/>
      <c r="K25" s="69"/>
      <c r="L25" s="69"/>
      <c r="M25" s="69"/>
      <c r="N25" s="69"/>
      <c r="O25" s="69"/>
      <c r="P25" s="69"/>
      <c r="Q25" s="69"/>
      <c r="R25" s="69"/>
      <c r="S25" s="69"/>
      <c r="T25" s="69"/>
      <c r="U25" s="69"/>
      <c r="V25" s="69"/>
      <c r="W25" s="69"/>
      <c r="X25" s="69"/>
      <c r="Y25" s="69"/>
      <c r="Z25" s="69"/>
      <c r="AA25" s="69"/>
      <c r="AB25" s="69"/>
      <c r="AC25" s="69"/>
      <c r="AD25" s="69"/>
      <c r="AE25" s="153"/>
      <c r="AF25" s="93" t="s">
        <v>151</v>
      </c>
      <c r="AH25" s="36"/>
    </row>
    <row r="26" spans="1:34" s="35" customFormat="1" ht="18.75" customHeight="1">
      <c r="A26" s="150" t="s">
        <v>25</v>
      </c>
      <c r="B26" s="80">
        <f>B28+B27</f>
        <v>1189</v>
      </c>
      <c r="C26" s="80">
        <f>C28+C27</f>
        <v>308.70299999999997</v>
      </c>
      <c r="D26" s="80">
        <f>D28+D27</f>
        <v>293.30299000000002</v>
      </c>
      <c r="E26" s="80">
        <f>E28+E27</f>
        <v>293.29999999999995</v>
      </c>
      <c r="F26" s="79">
        <f>E26/B26</f>
        <v>0.24667788057190912</v>
      </c>
      <c r="G26" s="79">
        <f>E26/C26</f>
        <v>0.95010414540836974</v>
      </c>
      <c r="H26" s="80">
        <f>H28+H27</f>
        <v>0</v>
      </c>
      <c r="I26" s="80">
        <f t="shared" ref="I26:AE26" si="9">I28+I27</f>
        <v>0</v>
      </c>
      <c r="J26" s="80">
        <f t="shared" si="9"/>
        <v>147.71600000000001</v>
      </c>
      <c r="K26" s="80">
        <f t="shared" si="9"/>
        <v>129.91999999999999</v>
      </c>
      <c r="L26" s="80">
        <f t="shared" si="9"/>
        <v>160.98699999999999</v>
      </c>
      <c r="M26" s="80">
        <f t="shared" si="9"/>
        <v>163.38</v>
      </c>
      <c r="N26" s="80">
        <f t="shared" si="9"/>
        <v>176.125</v>
      </c>
      <c r="O26" s="80">
        <f t="shared" si="9"/>
        <v>0</v>
      </c>
      <c r="P26" s="80">
        <f t="shared" si="9"/>
        <v>176.76700000000002</v>
      </c>
      <c r="Q26" s="80">
        <f t="shared" si="9"/>
        <v>0</v>
      </c>
      <c r="R26" s="80">
        <f t="shared" si="9"/>
        <v>0</v>
      </c>
      <c r="S26" s="80">
        <f t="shared" si="9"/>
        <v>0</v>
      </c>
      <c r="T26" s="80">
        <f t="shared" si="9"/>
        <v>0</v>
      </c>
      <c r="U26" s="80">
        <f t="shared" si="9"/>
        <v>0</v>
      </c>
      <c r="V26" s="80">
        <f t="shared" si="9"/>
        <v>0</v>
      </c>
      <c r="W26" s="80">
        <f t="shared" si="9"/>
        <v>0</v>
      </c>
      <c r="X26" s="80">
        <f t="shared" si="9"/>
        <v>176.12800000000001</v>
      </c>
      <c r="Y26" s="80">
        <f t="shared" si="9"/>
        <v>0</v>
      </c>
      <c r="Z26" s="80">
        <f t="shared" si="9"/>
        <v>175.15800000000002</v>
      </c>
      <c r="AA26" s="80">
        <f t="shared" si="9"/>
        <v>0</v>
      </c>
      <c r="AB26" s="80">
        <f t="shared" si="9"/>
        <v>176.119</v>
      </c>
      <c r="AC26" s="80">
        <f t="shared" si="9"/>
        <v>0</v>
      </c>
      <c r="AD26" s="80">
        <f t="shared" si="9"/>
        <v>0</v>
      </c>
      <c r="AE26" s="80">
        <f t="shared" si="9"/>
        <v>0</v>
      </c>
      <c r="AF26" s="80"/>
      <c r="AG26" s="91">
        <f>C26-E26</f>
        <v>15.40300000000002</v>
      </c>
      <c r="AH26" s="36"/>
    </row>
    <row r="27" spans="1:34" s="35" customFormat="1" ht="18.75" customHeight="1">
      <c r="A27" s="76" t="s">
        <v>104</v>
      </c>
      <c r="B27" s="71">
        <f>H27+J27+L27+N27+P27+R27+T27+V27+X27+Z27+AB27+AD27</f>
        <v>113.39999999999999</v>
      </c>
      <c r="C27" s="68">
        <f>H27+J27+L27</f>
        <v>29.4</v>
      </c>
      <c r="D27" s="68">
        <f>13999.99/1000</f>
        <v>13.99999</v>
      </c>
      <c r="E27" s="68">
        <f>I27+K27+M27</f>
        <v>14</v>
      </c>
      <c r="F27" s="81">
        <f>E27/B27</f>
        <v>0.1234567901234568</v>
      </c>
      <c r="G27" s="81">
        <f>E27/C27</f>
        <v>0.47619047619047622</v>
      </c>
      <c r="H27" s="68">
        <v>0</v>
      </c>
      <c r="I27" s="68">
        <v>0</v>
      </c>
      <c r="J27" s="68">
        <f>14000/1000</f>
        <v>14</v>
      </c>
      <c r="K27" s="68"/>
      <c r="L27" s="68">
        <f>15400/1000</f>
        <v>15.4</v>
      </c>
      <c r="M27" s="68">
        <v>14</v>
      </c>
      <c r="N27" s="68">
        <f>16800/1000</f>
        <v>16.8</v>
      </c>
      <c r="O27" s="68"/>
      <c r="P27" s="68">
        <f>16800/1000</f>
        <v>16.8</v>
      </c>
      <c r="Q27" s="68"/>
      <c r="R27" s="68"/>
      <c r="S27" s="68"/>
      <c r="T27" s="68"/>
      <c r="U27" s="68"/>
      <c r="V27" s="68"/>
      <c r="W27" s="68"/>
      <c r="X27" s="68">
        <f>16800/1000</f>
        <v>16.8</v>
      </c>
      <c r="Y27" s="68"/>
      <c r="Z27" s="68">
        <f>16800/1000</f>
        <v>16.8</v>
      </c>
      <c r="AA27" s="68"/>
      <c r="AB27" s="68">
        <f>16800/1000</f>
        <v>16.8</v>
      </c>
      <c r="AC27" s="68"/>
      <c r="AD27" s="68"/>
      <c r="AE27" s="68"/>
      <c r="AF27" s="68"/>
      <c r="AG27" s="37"/>
      <c r="AH27" s="36"/>
    </row>
    <row r="28" spans="1:34" s="35" customFormat="1" ht="68.25" customHeight="1">
      <c r="A28" s="76" t="s">
        <v>105</v>
      </c>
      <c r="B28" s="71">
        <f>H28+J28+L28+N28+P28+R28+T28+V28+X28+Z28+AB28+AD28</f>
        <v>1075.5999999999999</v>
      </c>
      <c r="C28" s="68">
        <f>H28+J28+L28</f>
        <v>279.303</v>
      </c>
      <c r="D28" s="68">
        <f>279303/1000</f>
        <v>279.303</v>
      </c>
      <c r="E28" s="68">
        <f>I28+K28+M28</f>
        <v>279.29999999999995</v>
      </c>
      <c r="F28" s="81">
        <f>E28/B28</f>
        <v>0.25966902194124208</v>
      </c>
      <c r="G28" s="81">
        <f>E28/C28</f>
        <v>0.99998925897681001</v>
      </c>
      <c r="H28" s="68">
        <v>0</v>
      </c>
      <c r="I28" s="68">
        <v>0</v>
      </c>
      <c r="J28" s="68">
        <f>(26289+107427)/1000</f>
        <v>133.71600000000001</v>
      </c>
      <c r="K28" s="68">
        <v>129.91999999999999</v>
      </c>
      <c r="L28" s="68">
        <f>(28652+116935)/1000</f>
        <v>145.58699999999999</v>
      </c>
      <c r="M28" s="68">
        <v>149.38</v>
      </c>
      <c r="N28" s="68">
        <f>(31347+127978)/1000</f>
        <v>159.32499999999999</v>
      </c>
      <c r="O28" s="68"/>
      <c r="P28" s="68">
        <f>(31445+128522)/1000</f>
        <v>159.96700000000001</v>
      </c>
      <c r="Q28" s="68"/>
      <c r="R28" s="68"/>
      <c r="S28" s="68"/>
      <c r="T28" s="68"/>
      <c r="U28" s="68"/>
      <c r="V28" s="68"/>
      <c r="W28" s="68"/>
      <c r="X28" s="68">
        <f>(31349+127979)/1000</f>
        <v>159.328</v>
      </c>
      <c r="Y28" s="68"/>
      <c r="Z28" s="68">
        <f>(31175+127183)/1000</f>
        <v>158.358</v>
      </c>
      <c r="AA28" s="68"/>
      <c r="AB28" s="68">
        <f>(31343+127976)/1000</f>
        <v>159.31899999999999</v>
      </c>
      <c r="AC28" s="68"/>
      <c r="AD28" s="68"/>
      <c r="AE28" s="68"/>
      <c r="AF28" s="68"/>
      <c r="AG28" s="37"/>
      <c r="AH28" s="36"/>
    </row>
    <row r="29" spans="1:34" s="35" customFormat="1" ht="82.5" customHeight="1">
      <c r="A29" s="143" t="s">
        <v>114</v>
      </c>
      <c r="B29" s="71"/>
      <c r="C29" s="69"/>
      <c r="D29" s="69"/>
      <c r="E29" s="69"/>
      <c r="F29" s="70"/>
      <c r="G29" s="70"/>
      <c r="H29" s="69"/>
      <c r="I29" s="69"/>
      <c r="J29" s="69"/>
      <c r="K29" s="69"/>
      <c r="L29" s="69"/>
      <c r="M29" s="69"/>
      <c r="N29" s="69"/>
      <c r="O29" s="69"/>
      <c r="P29" s="69"/>
      <c r="Q29" s="69"/>
      <c r="R29" s="69"/>
      <c r="S29" s="69"/>
      <c r="T29" s="69"/>
      <c r="U29" s="69"/>
      <c r="V29" s="69"/>
      <c r="W29" s="69"/>
      <c r="X29" s="69"/>
      <c r="Y29" s="69"/>
      <c r="Z29" s="69"/>
      <c r="AA29" s="69"/>
      <c r="AB29" s="69"/>
      <c r="AC29" s="69"/>
      <c r="AD29" s="69"/>
      <c r="AE29" s="153"/>
      <c r="AF29" s="129" t="s">
        <v>156</v>
      </c>
      <c r="AG29" s="91"/>
      <c r="AH29" s="36"/>
    </row>
    <row r="30" spans="1:34" s="35" customFormat="1" ht="33.75" customHeight="1">
      <c r="A30" s="148" t="s">
        <v>120</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30"/>
      <c r="AH30" s="36"/>
    </row>
    <row r="31" spans="1:34" s="35" customFormat="1" ht="15.75" customHeight="1">
      <c r="A31" s="75" t="s">
        <v>121</v>
      </c>
      <c r="B31" s="80">
        <f>B33+B32</f>
        <v>1835.1000000000001</v>
      </c>
      <c r="C31" s="80">
        <f>C33+C32</f>
        <v>434.90500000000003</v>
      </c>
      <c r="D31" s="80">
        <f>D33+D32</f>
        <v>269.95379000000003</v>
      </c>
      <c r="E31" s="80">
        <f>E33+E32</f>
        <v>74.319999999999993</v>
      </c>
      <c r="F31" s="79">
        <f>E31/B31</f>
        <v>4.0499155359380951E-2</v>
      </c>
      <c r="G31" s="79">
        <f>E31/C31</f>
        <v>0.17088789505754126</v>
      </c>
      <c r="H31" s="69">
        <f>H33+H32</f>
        <v>0</v>
      </c>
      <c r="I31" s="69">
        <f>I33+I32</f>
        <v>0</v>
      </c>
      <c r="J31" s="69">
        <f t="shared" ref="J31:AE31" si="10">J33+J32</f>
        <v>232.21299999999999</v>
      </c>
      <c r="K31" s="69">
        <f t="shared" si="10"/>
        <v>14.34</v>
      </c>
      <c r="L31" s="69">
        <f t="shared" si="10"/>
        <v>202.69200000000001</v>
      </c>
      <c r="M31" s="69">
        <f t="shared" si="10"/>
        <v>59.980000000000004</v>
      </c>
      <c r="N31" s="69">
        <f t="shared" si="10"/>
        <v>299.089</v>
      </c>
      <c r="O31" s="69">
        <f t="shared" si="10"/>
        <v>0</v>
      </c>
      <c r="P31" s="69">
        <f t="shared" si="10"/>
        <v>217.452</v>
      </c>
      <c r="Q31" s="69">
        <f t="shared" si="10"/>
        <v>0</v>
      </c>
      <c r="R31" s="69">
        <f t="shared" si="10"/>
        <v>217.453</v>
      </c>
      <c r="S31" s="69">
        <f t="shared" si="10"/>
        <v>0</v>
      </c>
      <c r="T31" s="69">
        <f t="shared" si="10"/>
        <v>299.08799999999997</v>
      </c>
      <c r="U31" s="69">
        <f t="shared" si="10"/>
        <v>0</v>
      </c>
      <c r="V31" s="69">
        <f t="shared" si="10"/>
        <v>108.72499999999999</v>
      </c>
      <c r="W31" s="69">
        <f t="shared" si="10"/>
        <v>0</v>
      </c>
      <c r="X31" s="69">
        <f t="shared" si="10"/>
        <v>108.72800000000001</v>
      </c>
      <c r="Y31" s="69">
        <f t="shared" si="10"/>
        <v>0</v>
      </c>
      <c r="Z31" s="69">
        <f t="shared" si="10"/>
        <v>149.66</v>
      </c>
      <c r="AA31" s="69">
        <f t="shared" si="10"/>
        <v>0</v>
      </c>
      <c r="AB31" s="69">
        <f t="shared" si="10"/>
        <v>0</v>
      </c>
      <c r="AC31" s="69">
        <f t="shared" si="10"/>
        <v>0</v>
      </c>
      <c r="AD31" s="69">
        <f t="shared" si="10"/>
        <v>0</v>
      </c>
      <c r="AE31" s="69">
        <f t="shared" si="10"/>
        <v>0</v>
      </c>
      <c r="AF31" s="130"/>
      <c r="AH31" s="36"/>
    </row>
    <row r="32" spans="1:34" s="35" customFormat="1" ht="21.75" customHeight="1">
      <c r="A32" s="76" t="s">
        <v>104</v>
      </c>
      <c r="B32" s="71">
        <f>H32+J32+L32+N32+P32+R32+T32+V32+X32+Z32+AB32+AD32</f>
        <v>954.50000000000011</v>
      </c>
      <c r="C32" s="68">
        <f>H32+J32+L32</f>
        <v>190.90800000000002</v>
      </c>
      <c r="D32" s="68">
        <f>25956.79/1000</f>
        <v>25.956790000000002</v>
      </c>
      <c r="E32" s="68">
        <f>I32+K32+M32</f>
        <v>25.96</v>
      </c>
      <c r="F32" s="81">
        <f>E32/B32</f>
        <v>2.719748559455212E-2</v>
      </c>
      <c r="G32" s="81">
        <f>E32/C32</f>
        <v>0.1359817294194062</v>
      </c>
      <c r="H32" s="83"/>
      <c r="I32" s="82"/>
      <c r="J32" s="84">
        <f>63636/1000</f>
        <v>63.636000000000003</v>
      </c>
      <c r="K32" s="82"/>
      <c r="L32" s="84">
        <f>127272/1000</f>
        <v>127.27200000000001</v>
      </c>
      <c r="M32" s="82">
        <v>25.96</v>
      </c>
      <c r="N32" s="84">
        <f>190909/1000</f>
        <v>190.90899999999999</v>
      </c>
      <c r="O32" s="82"/>
      <c r="P32" s="84">
        <f>63636/1000</f>
        <v>63.636000000000003</v>
      </c>
      <c r="Q32" s="82"/>
      <c r="R32" s="84">
        <f>127272/1000</f>
        <v>127.27200000000001</v>
      </c>
      <c r="S32" s="82"/>
      <c r="T32" s="84">
        <f>190909/1000</f>
        <v>190.90899999999999</v>
      </c>
      <c r="U32" s="82"/>
      <c r="V32" s="84">
        <f>31815/1000</f>
        <v>31.815000000000001</v>
      </c>
      <c r="W32" s="82"/>
      <c r="X32" s="84">
        <f>63633/1000</f>
        <v>63.633000000000003</v>
      </c>
      <c r="Y32" s="82"/>
      <c r="Z32" s="84">
        <f>95418/1000</f>
        <v>95.418000000000006</v>
      </c>
      <c r="AA32" s="82"/>
      <c r="AB32" s="82"/>
      <c r="AC32" s="82"/>
      <c r="AD32" s="82"/>
      <c r="AE32" s="82"/>
      <c r="AF32" s="130"/>
      <c r="AH32" s="36"/>
    </row>
    <row r="33" spans="1:34" s="35" customFormat="1" ht="22.5" customHeight="1">
      <c r="A33" s="76" t="s">
        <v>105</v>
      </c>
      <c r="B33" s="71">
        <f>H33+J33+L33+N33+P33+R33+T33+V33+X33+Z33+AB33+AD33</f>
        <v>880.6</v>
      </c>
      <c r="C33" s="68">
        <f>H33+J33+L33</f>
        <v>243.99700000000001</v>
      </c>
      <c r="D33" s="68">
        <f>243997/1000</f>
        <v>243.99700000000001</v>
      </c>
      <c r="E33" s="68">
        <f>I33+K33+M33</f>
        <v>48.36</v>
      </c>
      <c r="F33" s="81">
        <f>E33/B33</f>
        <v>5.4917101975925503E-2</v>
      </c>
      <c r="G33" s="81">
        <f>E33/C33</f>
        <v>0.19819915818637113</v>
      </c>
      <c r="H33" s="82"/>
      <c r="I33" s="82"/>
      <c r="J33" s="84">
        <f>(129863+38714)/1000</f>
        <v>168.577</v>
      </c>
      <c r="K33" s="82">
        <v>14.34</v>
      </c>
      <c r="L33" s="84">
        <f>(36706+38714)/1000</f>
        <v>75.42</v>
      </c>
      <c r="M33" s="82">
        <v>34.020000000000003</v>
      </c>
      <c r="N33" s="84">
        <f>(54934+53246)/1000</f>
        <v>108.18</v>
      </c>
      <c r="O33" s="84"/>
      <c r="P33" s="84">
        <f>(115102+38714)/1000</f>
        <v>153.816</v>
      </c>
      <c r="Q33" s="82"/>
      <c r="R33" s="84">
        <f>(51467+38714)/1000</f>
        <v>90.180999999999997</v>
      </c>
      <c r="S33" s="82"/>
      <c r="T33" s="84">
        <f>(54933+53246)/1000</f>
        <v>108.179</v>
      </c>
      <c r="U33" s="84"/>
      <c r="V33" s="82">
        <f>(57550+19360)/1000</f>
        <v>76.91</v>
      </c>
      <c r="W33" s="84"/>
      <c r="X33" s="84">
        <f>(25732+19363)/1000</f>
        <v>45.094999999999999</v>
      </c>
      <c r="Y33" s="82"/>
      <c r="Z33" s="84">
        <f>(27613+26629)/1000</f>
        <v>54.241999999999997</v>
      </c>
      <c r="AA33" s="82"/>
      <c r="AB33" s="82"/>
      <c r="AC33" s="82"/>
      <c r="AD33" s="82"/>
      <c r="AE33" s="82"/>
      <c r="AF33" s="130"/>
      <c r="AG33" s="91">
        <f>C36-E36</f>
        <v>381.58500000000004</v>
      </c>
      <c r="AH33" s="36"/>
    </row>
    <row r="34" spans="1:34" s="35" customFormat="1" ht="89.25" customHeight="1">
      <c r="A34" s="148" t="s">
        <v>122</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30"/>
      <c r="AH34" s="36"/>
    </row>
    <row r="35" spans="1:34" s="35" customFormat="1" ht="22.5" customHeight="1">
      <c r="A35" s="76" t="s">
        <v>105</v>
      </c>
      <c r="B35" s="71">
        <f>H35+J35+L35+N35+P35+R35+T35+V35+X35+Z35+AB35+AD35</f>
        <v>52.5</v>
      </c>
      <c r="C35" s="68">
        <f>H35+J35+L35</f>
        <v>21</v>
      </c>
      <c r="D35" s="68">
        <v>21</v>
      </c>
      <c r="E35" s="68">
        <f>I35+K35+M35</f>
        <v>0</v>
      </c>
      <c r="F35" s="81">
        <f>E35/B35</f>
        <v>0</v>
      </c>
      <c r="G35" s="81">
        <v>0</v>
      </c>
      <c r="H35" s="82"/>
      <c r="I35" s="82"/>
      <c r="J35" s="83">
        <f>21000/1000</f>
        <v>21</v>
      </c>
      <c r="K35" s="82"/>
      <c r="L35" s="82"/>
      <c r="M35" s="82"/>
      <c r="N35" s="82"/>
      <c r="O35" s="82"/>
      <c r="P35" s="83">
        <f>21000/1000</f>
        <v>21</v>
      </c>
      <c r="Q35" s="82"/>
      <c r="R35" s="82"/>
      <c r="S35" s="82"/>
      <c r="T35" s="82"/>
      <c r="U35" s="82"/>
      <c r="V35" s="84">
        <f>10500/1000</f>
        <v>10.5</v>
      </c>
      <c r="W35" s="82"/>
      <c r="X35" s="82"/>
      <c r="Y35" s="82"/>
      <c r="Z35" s="82"/>
      <c r="AA35" s="82"/>
      <c r="AB35" s="82"/>
      <c r="AC35" s="82"/>
      <c r="AD35" s="82"/>
      <c r="AE35" s="82"/>
      <c r="AF35" s="131"/>
      <c r="AH35" s="36"/>
    </row>
    <row r="36" spans="1:34" s="35" customFormat="1" ht="20.25">
      <c r="A36" s="150" t="s">
        <v>25</v>
      </c>
      <c r="B36" s="80">
        <f>B37+B38</f>
        <v>1887.6000000000001</v>
      </c>
      <c r="C36" s="80">
        <f>C37+C38</f>
        <v>455.90500000000003</v>
      </c>
      <c r="D36" s="80">
        <f>D37+D38</f>
        <v>290.95379000000003</v>
      </c>
      <c r="E36" s="80">
        <f>E37+E38</f>
        <v>74.319999999999993</v>
      </c>
      <c r="F36" s="79">
        <f>E36/B36</f>
        <v>3.9372748463657549E-2</v>
      </c>
      <c r="G36" s="79">
        <f>E36/C36</f>
        <v>0.16301641789407878</v>
      </c>
      <c r="H36" s="69">
        <f>H37+H38</f>
        <v>0</v>
      </c>
      <c r="I36" s="69">
        <f t="shared" ref="I36:AE36" si="11">I37+I38</f>
        <v>0</v>
      </c>
      <c r="J36" s="69">
        <f t="shared" si="11"/>
        <v>253.21299999999999</v>
      </c>
      <c r="K36" s="69">
        <f t="shared" si="11"/>
        <v>14.34</v>
      </c>
      <c r="L36" s="69">
        <f t="shared" si="11"/>
        <v>202.69200000000001</v>
      </c>
      <c r="M36" s="69">
        <f t="shared" si="11"/>
        <v>59.980000000000004</v>
      </c>
      <c r="N36" s="69">
        <f t="shared" si="11"/>
        <v>299.089</v>
      </c>
      <c r="O36" s="69">
        <f t="shared" si="11"/>
        <v>0</v>
      </c>
      <c r="P36" s="69">
        <f t="shared" si="11"/>
        <v>238.452</v>
      </c>
      <c r="Q36" s="69">
        <f t="shared" si="11"/>
        <v>0</v>
      </c>
      <c r="R36" s="69">
        <f t="shared" si="11"/>
        <v>217.453</v>
      </c>
      <c r="S36" s="69">
        <f t="shared" si="11"/>
        <v>0</v>
      </c>
      <c r="T36" s="69">
        <f t="shared" si="11"/>
        <v>299.08799999999997</v>
      </c>
      <c r="U36" s="69">
        <f t="shared" si="11"/>
        <v>0</v>
      </c>
      <c r="V36" s="69">
        <f t="shared" si="11"/>
        <v>119.22499999999999</v>
      </c>
      <c r="W36" s="69">
        <f t="shared" si="11"/>
        <v>0</v>
      </c>
      <c r="X36" s="69">
        <f t="shared" si="11"/>
        <v>108.72800000000001</v>
      </c>
      <c r="Y36" s="69">
        <f t="shared" si="11"/>
        <v>0</v>
      </c>
      <c r="Z36" s="69">
        <f t="shared" si="11"/>
        <v>149.66</v>
      </c>
      <c r="AA36" s="69">
        <f t="shared" si="11"/>
        <v>0</v>
      </c>
      <c r="AB36" s="69">
        <f t="shared" si="11"/>
        <v>0</v>
      </c>
      <c r="AC36" s="69">
        <f t="shared" si="11"/>
        <v>0</v>
      </c>
      <c r="AD36" s="69">
        <f t="shared" si="11"/>
        <v>0</v>
      </c>
      <c r="AE36" s="69">
        <f t="shared" si="11"/>
        <v>0</v>
      </c>
      <c r="AF36" s="69"/>
      <c r="AG36" s="38"/>
      <c r="AH36" s="39"/>
    </row>
    <row r="37" spans="1:34" s="35" customFormat="1" ht="20.25" customHeight="1">
      <c r="A37" s="76" t="s">
        <v>104</v>
      </c>
      <c r="B37" s="71">
        <f>B32</f>
        <v>954.50000000000011</v>
      </c>
      <c r="C37" s="68">
        <f>C32</f>
        <v>190.90800000000002</v>
      </c>
      <c r="D37" s="68">
        <f>D32</f>
        <v>25.956790000000002</v>
      </c>
      <c r="E37" s="68">
        <f>I37+K37+M37+O37+Q37+S37+U37+W37+Y37+AA37+AC37+AE37</f>
        <v>25.96</v>
      </c>
      <c r="F37" s="81">
        <f>E37/B37</f>
        <v>2.719748559455212E-2</v>
      </c>
      <c r="G37" s="81">
        <f>E37/C37</f>
        <v>0.1359817294194062</v>
      </c>
      <c r="H37" s="68">
        <f>H32</f>
        <v>0</v>
      </c>
      <c r="I37" s="68">
        <f t="shared" ref="I37:AE37" si="12">I32</f>
        <v>0</v>
      </c>
      <c r="J37" s="68">
        <f t="shared" si="12"/>
        <v>63.636000000000003</v>
      </c>
      <c r="K37" s="68">
        <f t="shared" si="12"/>
        <v>0</v>
      </c>
      <c r="L37" s="68">
        <f t="shared" si="12"/>
        <v>127.27200000000001</v>
      </c>
      <c r="M37" s="68">
        <f t="shared" si="12"/>
        <v>25.96</v>
      </c>
      <c r="N37" s="68">
        <f t="shared" si="12"/>
        <v>190.90899999999999</v>
      </c>
      <c r="O37" s="68">
        <f t="shared" si="12"/>
        <v>0</v>
      </c>
      <c r="P37" s="68">
        <f t="shared" si="12"/>
        <v>63.636000000000003</v>
      </c>
      <c r="Q37" s="68">
        <f t="shared" si="12"/>
        <v>0</v>
      </c>
      <c r="R37" s="68">
        <f t="shared" si="12"/>
        <v>127.27200000000001</v>
      </c>
      <c r="S37" s="68">
        <f t="shared" si="12"/>
        <v>0</v>
      </c>
      <c r="T37" s="68">
        <f t="shared" si="12"/>
        <v>190.90899999999999</v>
      </c>
      <c r="U37" s="68">
        <f t="shared" si="12"/>
        <v>0</v>
      </c>
      <c r="V37" s="68">
        <f t="shared" si="12"/>
        <v>31.815000000000001</v>
      </c>
      <c r="W37" s="68">
        <f t="shared" si="12"/>
        <v>0</v>
      </c>
      <c r="X37" s="68">
        <f t="shared" si="12"/>
        <v>63.633000000000003</v>
      </c>
      <c r="Y37" s="68">
        <f t="shared" si="12"/>
        <v>0</v>
      </c>
      <c r="Z37" s="68">
        <f t="shared" si="12"/>
        <v>95.418000000000006</v>
      </c>
      <c r="AA37" s="68">
        <f t="shared" si="12"/>
        <v>0</v>
      </c>
      <c r="AB37" s="68">
        <f t="shared" si="12"/>
        <v>0</v>
      </c>
      <c r="AC37" s="68">
        <f t="shared" si="12"/>
        <v>0</v>
      </c>
      <c r="AD37" s="68">
        <f t="shared" si="12"/>
        <v>0</v>
      </c>
      <c r="AE37" s="68">
        <f t="shared" si="12"/>
        <v>0</v>
      </c>
      <c r="AF37" s="68"/>
      <c r="AG37" s="38"/>
      <c r="AH37" s="39"/>
    </row>
    <row r="38" spans="1:34" s="35" customFormat="1" ht="20.25">
      <c r="A38" s="76" t="s">
        <v>105</v>
      </c>
      <c r="B38" s="71">
        <f>B33+B35</f>
        <v>933.1</v>
      </c>
      <c r="C38" s="71">
        <f>C33+C35</f>
        <v>264.99700000000001</v>
      </c>
      <c r="D38" s="68">
        <f>D33+D35</f>
        <v>264.99700000000001</v>
      </c>
      <c r="E38" s="68">
        <f>I38+K38+M38+O38+Q38+S38+U38+W38+Y38+AA38+AC38+AE38</f>
        <v>48.36</v>
      </c>
      <c r="F38" s="81">
        <f>E38/B38</f>
        <v>5.1827242524916939E-2</v>
      </c>
      <c r="G38" s="81">
        <f>E38/C38</f>
        <v>0.18249263199206028</v>
      </c>
      <c r="H38" s="68">
        <f>H33+H35</f>
        <v>0</v>
      </c>
      <c r="I38" s="68">
        <f t="shared" ref="I38:AE38" si="13">I33+I35</f>
        <v>0</v>
      </c>
      <c r="J38" s="68">
        <f t="shared" si="13"/>
        <v>189.577</v>
      </c>
      <c r="K38" s="68">
        <f t="shared" si="13"/>
        <v>14.34</v>
      </c>
      <c r="L38" s="68">
        <f t="shared" si="13"/>
        <v>75.42</v>
      </c>
      <c r="M38" s="68">
        <f t="shared" si="13"/>
        <v>34.020000000000003</v>
      </c>
      <c r="N38" s="68">
        <f t="shared" si="13"/>
        <v>108.18</v>
      </c>
      <c r="O38" s="68">
        <f t="shared" si="13"/>
        <v>0</v>
      </c>
      <c r="P38" s="68">
        <f t="shared" si="13"/>
        <v>174.816</v>
      </c>
      <c r="Q38" s="68">
        <f t="shared" si="13"/>
        <v>0</v>
      </c>
      <c r="R38" s="68">
        <f t="shared" si="13"/>
        <v>90.180999999999997</v>
      </c>
      <c r="S38" s="68">
        <f t="shared" si="13"/>
        <v>0</v>
      </c>
      <c r="T38" s="68">
        <f t="shared" si="13"/>
        <v>108.179</v>
      </c>
      <c r="U38" s="68">
        <f t="shared" si="13"/>
        <v>0</v>
      </c>
      <c r="V38" s="68">
        <f t="shared" si="13"/>
        <v>87.41</v>
      </c>
      <c r="W38" s="68">
        <f t="shared" si="13"/>
        <v>0</v>
      </c>
      <c r="X38" s="68">
        <f t="shared" si="13"/>
        <v>45.094999999999999</v>
      </c>
      <c r="Y38" s="68">
        <f t="shared" si="13"/>
        <v>0</v>
      </c>
      <c r="Z38" s="68">
        <f t="shared" si="13"/>
        <v>54.241999999999997</v>
      </c>
      <c r="AA38" s="68">
        <f t="shared" si="13"/>
        <v>0</v>
      </c>
      <c r="AB38" s="68">
        <f t="shared" si="13"/>
        <v>0</v>
      </c>
      <c r="AC38" s="68">
        <f t="shared" si="13"/>
        <v>0</v>
      </c>
      <c r="AD38" s="68">
        <f t="shared" si="13"/>
        <v>0</v>
      </c>
      <c r="AE38" s="68">
        <f t="shared" si="13"/>
        <v>0</v>
      </c>
      <c r="AF38" s="68"/>
      <c r="AG38" s="38"/>
      <c r="AH38" s="39"/>
    </row>
    <row r="39" spans="1:34" s="35" customFormat="1" ht="72.75" customHeight="1">
      <c r="A39" s="143" t="s">
        <v>130</v>
      </c>
      <c r="B39" s="71"/>
      <c r="C39" s="69"/>
      <c r="D39" s="69"/>
      <c r="E39" s="69"/>
      <c r="F39" s="70"/>
      <c r="G39" s="70"/>
      <c r="H39" s="69"/>
      <c r="I39" s="69"/>
      <c r="J39" s="69"/>
      <c r="K39" s="69"/>
      <c r="L39" s="69"/>
      <c r="M39" s="69"/>
      <c r="N39" s="69"/>
      <c r="O39" s="69"/>
      <c r="P39" s="69"/>
      <c r="Q39" s="69"/>
      <c r="R39" s="69"/>
      <c r="S39" s="69"/>
      <c r="T39" s="69"/>
      <c r="U39" s="69"/>
      <c r="V39" s="69"/>
      <c r="W39" s="69"/>
      <c r="X39" s="69"/>
      <c r="Y39" s="69"/>
      <c r="Z39" s="69"/>
      <c r="AA39" s="69"/>
      <c r="AB39" s="69"/>
      <c r="AC39" s="69"/>
      <c r="AD39" s="69"/>
      <c r="AE39" s="153"/>
      <c r="AF39" s="129"/>
      <c r="AG39" s="91"/>
      <c r="AH39" s="36"/>
    </row>
    <row r="40" spans="1:34" s="35" customFormat="1" ht="33.75" hidden="1" customHeight="1">
      <c r="A40" s="148" t="s">
        <v>120</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30"/>
      <c r="AH40" s="36"/>
    </row>
    <row r="41" spans="1:34" s="35" customFormat="1" ht="22.5" hidden="1" customHeight="1">
      <c r="A41" s="76" t="s">
        <v>105</v>
      </c>
      <c r="B41" s="71">
        <f>H41+J41+L41+N41+P41+R41+T41+V41+X41+Z41+AB41+AD41</f>
        <v>0</v>
      </c>
      <c r="C41" s="68">
        <f>H41+J41+L41</f>
        <v>0</v>
      </c>
      <c r="D41" s="68"/>
      <c r="E41" s="68">
        <f>I41+K41+M41+O41+Q41+S41+U41+W41+Y41+AA41+AC41+AE41</f>
        <v>0</v>
      </c>
      <c r="F41" s="81" t="e">
        <f>E41/B41</f>
        <v>#DIV/0!</v>
      </c>
      <c r="G41" s="81" t="e">
        <f>E41/C41</f>
        <v>#DIV/0!</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130"/>
      <c r="AH41" s="36"/>
    </row>
    <row r="42" spans="1:34" s="35" customFormat="1" ht="89.25" hidden="1" customHeight="1">
      <c r="A42" s="148" t="s">
        <v>122</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30"/>
      <c r="AH42" s="36"/>
    </row>
    <row r="43" spans="1:34" s="35" customFormat="1" ht="22.5" hidden="1" customHeight="1">
      <c r="A43" s="76" t="s">
        <v>105</v>
      </c>
      <c r="B43" s="71">
        <f>H43+J43+L43+N43+P43+R43+T43+V43+X43+Z43+AB43+AD43</f>
        <v>0</v>
      </c>
      <c r="C43" s="68">
        <f>H43+J43+L43</f>
        <v>0</v>
      </c>
      <c r="D43" s="68"/>
      <c r="E43" s="68">
        <f>I43+K43+M43+O43+Q43+S43+U43+W43+Y43+AA43+AC43+AE43</f>
        <v>0</v>
      </c>
      <c r="F43" s="81" t="e">
        <f>E43/B43</f>
        <v>#DIV/0!</v>
      </c>
      <c r="G43" s="81" t="e">
        <f>E43/C43</f>
        <v>#DIV/0!</v>
      </c>
      <c r="H43" s="82"/>
      <c r="I43" s="82"/>
      <c r="J43" s="83"/>
      <c r="K43" s="82"/>
      <c r="L43" s="82"/>
      <c r="M43" s="82"/>
      <c r="N43" s="82"/>
      <c r="O43" s="82"/>
      <c r="P43" s="83"/>
      <c r="Q43" s="82"/>
      <c r="R43" s="82"/>
      <c r="S43" s="82"/>
      <c r="T43" s="82"/>
      <c r="U43" s="82"/>
      <c r="V43" s="84"/>
      <c r="W43" s="82"/>
      <c r="X43" s="82"/>
      <c r="Y43" s="82"/>
      <c r="Z43" s="82"/>
      <c r="AA43" s="82"/>
      <c r="AB43" s="82"/>
      <c r="AC43" s="82"/>
      <c r="AD43" s="82"/>
      <c r="AE43" s="82"/>
      <c r="AF43" s="130"/>
      <c r="AH43" s="36"/>
    </row>
    <row r="44" spans="1:34" s="35" customFormat="1" ht="33.75" customHeight="1">
      <c r="A44" s="148" t="s">
        <v>120</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30"/>
      <c r="AH44" s="36"/>
    </row>
    <row r="45" spans="1:34" s="35" customFormat="1" ht="22.5" customHeight="1">
      <c r="A45" s="76" t="s">
        <v>105</v>
      </c>
      <c r="B45" s="71">
        <f>H45+J45+L45+N45+P45+R45+T45+V45+X45+Z45+AB45+AD45</f>
        <v>1526.5562500000001</v>
      </c>
      <c r="C45" s="68">
        <f>H45+J45+L45</f>
        <v>0</v>
      </c>
      <c r="D45" s="68"/>
      <c r="E45" s="68">
        <f>I45+K45+M45</f>
        <v>0</v>
      </c>
      <c r="F45" s="81">
        <f>E45/B45</f>
        <v>0</v>
      </c>
      <c r="G45" s="81">
        <v>0</v>
      </c>
      <c r="H45" s="82"/>
      <c r="I45" s="82"/>
      <c r="J45" s="82"/>
      <c r="K45" s="82"/>
      <c r="L45" s="82"/>
      <c r="M45" s="82"/>
      <c r="N45" s="82"/>
      <c r="O45" s="82"/>
      <c r="P45" s="82"/>
      <c r="Q45" s="82"/>
      <c r="R45" s="84">
        <f>508824.75/1000</f>
        <v>508.82474999999999</v>
      </c>
      <c r="S45" s="82"/>
      <c r="T45" s="84">
        <f>508824.75/1000</f>
        <v>508.82474999999999</v>
      </c>
      <c r="U45" s="82"/>
      <c r="V45" s="84">
        <f>508906.75/1000</f>
        <v>508.90674999999999</v>
      </c>
      <c r="W45" s="82"/>
      <c r="X45" s="82"/>
      <c r="Y45" s="82"/>
      <c r="Z45" s="82"/>
      <c r="AA45" s="82"/>
      <c r="AB45" s="82"/>
      <c r="AC45" s="82"/>
      <c r="AD45" s="82"/>
      <c r="AE45" s="82"/>
      <c r="AF45" s="130"/>
      <c r="AH45" s="36"/>
    </row>
    <row r="46" spans="1:34" s="35" customFormat="1" ht="89.25" customHeight="1">
      <c r="A46" s="148" t="s">
        <v>122</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30"/>
      <c r="AH46" s="36"/>
    </row>
    <row r="47" spans="1:34" s="35" customFormat="1" ht="22.5" customHeight="1">
      <c r="A47" s="76" t="s">
        <v>105</v>
      </c>
      <c r="B47" s="71">
        <f>H47+J47+L47+N47+P47+R47+T47+V47+X47+Z47+AB47+AD47</f>
        <v>272.34375</v>
      </c>
      <c r="C47" s="68">
        <f>H47+J47+L47</f>
        <v>0</v>
      </c>
      <c r="D47" s="68"/>
      <c r="E47" s="68">
        <f>I47+K47+M47</f>
        <v>0</v>
      </c>
      <c r="F47" s="81">
        <f>E47/B47</f>
        <v>0</v>
      </c>
      <c r="G47" s="81">
        <v>0</v>
      </c>
      <c r="H47" s="82"/>
      <c r="I47" s="82"/>
      <c r="J47" s="83"/>
      <c r="K47" s="82"/>
      <c r="L47" s="82"/>
      <c r="M47" s="82"/>
      <c r="N47" s="82">
        <f>45780/1000</f>
        <v>45.78</v>
      </c>
      <c r="O47" s="82"/>
      <c r="P47" s="83"/>
      <c r="Q47" s="82"/>
      <c r="R47" s="84">
        <f>75521.25/1000</f>
        <v>75.521249999999995</v>
      </c>
      <c r="S47" s="82"/>
      <c r="T47" s="84">
        <f>75521.25/1000</f>
        <v>75.521249999999995</v>
      </c>
      <c r="U47" s="82"/>
      <c r="V47" s="84">
        <f>75521.25/1000</f>
        <v>75.521249999999995</v>
      </c>
      <c r="W47" s="82"/>
      <c r="X47" s="82"/>
      <c r="Y47" s="82"/>
      <c r="Z47" s="82"/>
      <c r="AA47" s="82"/>
      <c r="AB47" s="82"/>
      <c r="AC47" s="82"/>
      <c r="AD47" s="82"/>
      <c r="AE47" s="82"/>
      <c r="AF47" s="131"/>
      <c r="AG47" s="91">
        <f>C48-E48</f>
        <v>0</v>
      </c>
      <c r="AH47" s="36"/>
    </row>
    <row r="48" spans="1:34" s="35" customFormat="1" ht="20.25">
      <c r="A48" s="150" t="s">
        <v>25</v>
      </c>
      <c r="B48" s="80">
        <f>B49</f>
        <v>1798.9</v>
      </c>
      <c r="C48" s="80">
        <f t="shared" ref="C48:AE48" si="14">C49</f>
        <v>0</v>
      </c>
      <c r="D48" s="80">
        <f t="shared" si="14"/>
        <v>0</v>
      </c>
      <c r="E48" s="80">
        <f>E49</f>
        <v>0</v>
      </c>
      <c r="F48" s="79">
        <f>E48/B48</f>
        <v>0</v>
      </c>
      <c r="G48" s="79">
        <v>0</v>
      </c>
      <c r="H48" s="80">
        <f>H49</f>
        <v>0</v>
      </c>
      <c r="I48" s="80">
        <f>I49</f>
        <v>0</v>
      </c>
      <c r="J48" s="80">
        <f>J49</f>
        <v>0</v>
      </c>
      <c r="K48" s="80">
        <f t="shared" si="14"/>
        <v>0</v>
      </c>
      <c r="L48" s="80">
        <f t="shared" si="14"/>
        <v>0</v>
      </c>
      <c r="M48" s="80">
        <f t="shared" si="14"/>
        <v>0</v>
      </c>
      <c r="N48" s="80">
        <f t="shared" si="14"/>
        <v>45.78</v>
      </c>
      <c r="O48" s="80">
        <f t="shared" si="14"/>
        <v>0</v>
      </c>
      <c r="P48" s="80">
        <f>P49</f>
        <v>0</v>
      </c>
      <c r="Q48" s="80">
        <f t="shared" si="14"/>
        <v>0</v>
      </c>
      <c r="R48" s="80">
        <f t="shared" si="14"/>
        <v>584.346</v>
      </c>
      <c r="S48" s="80">
        <f t="shared" si="14"/>
        <v>0</v>
      </c>
      <c r="T48" s="80">
        <f t="shared" si="14"/>
        <v>584.346</v>
      </c>
      <c r="U48" s="80">
        <f t="shared" si="14"/>
        <v>0</v>
      </c>
      <c r="V48" s="80">
        <f t="shared" si="14"/>
        <v>584.428</v>
      </c>
      <c r="W48" s="80">
        <f t="shared" si="14"/>
        <v>0</v>
      </c>
      <c r="X48" s="80">
        <f t="shared" si="14"/>
        <v>0</v>
      </c>
      <c r="Y48" s="80">
        <f t="shared" si="14"/>
        <v>0</v>
      </c>
      <c r="Z48" s="80">
        <f t="shared" si="14"/>
        <v>0</v>
      </c>
      <c r="AA48" s="80">
        <f t="shared" si="14"/>
        <v>0</v>
      </c>
      <c r="AB48" s="80">
        <f t="shared" si="14"/>
        <v>0</v>
      </c>
      <c r="AC48" s="80">
        <f t="shared" si="14"/>
        <v>0</v>
      </c>
      <c r="AD48" s="80">
        <f t="shared" si="14"/>
        <v>0</v>
      </c>
      <c r="AE48" s="80">
        <f t="shared" si="14"/>
        <v>0</v>
      </c>
      <c r="AF48" s="154"/>
      <c r="AG48" s="38"/>
      <c r="AH48" s="36"/>
    </row>
    <row r="49" spans="1:34" s="35" customFormat="1" ht="19.5" customHeight="1">
      <c r="A49" s="77" t="s">
        <v>105</v>
      </c>
      <c r="B49" s="71">
        <f>B45+B47</f>
        <v>1798.9</v>
      </c>
      <c r="C49" s="68">
        <f>C47+C45</f>
        <v>0</v>
      </c>
      <c r="D49" s="68">
        <f>D47+D45</f>
        <v>0</v>
      </c>
      <c r="E49" s="68">
        <f>E47+E45</f>
        <v>0</v>
      </c>
      <c r="F49" s="81">
        <f>E49/B49</f>
        <v>0</v>
      </c>
      <c r="G49" s="81">
        <v>0</v>
      </c>
      <c r="H49" s="68">
        <f>H47+H45</f>
        <v>0</v>
      </c>
      <c r="I49" s="68">
        <f>I47+I45</f>
        <v>0</v>
      </c>
      <c r="J49" s="68">
        <f>J47+J45</f>
        <v>0</v>
      </c>
      <c r="K49" s="68">
        <f t="shared" ref="K49:AE49" si="15">K47+K45</f>
        <v>0</v>
      </c>
      <c r="L49" s="68">
        <f t="shared" si="15"/>
        <v>0</v>
      </c>
      <c r="M49" s="68">
        <f t="shared" si="15"/>
        <v>0</v>
      </c>
      <c r="N49" s="68">
        <f t="shared" si="15"/>
        <v>45.78</v>
      </c>
      <c r="O49" s="68">
        <f t="shared" si="15"/>
        <v>0</v>
      </c>
      <c r="P49" s="68">
        <f t="shared" si="15"/>
        <v>0</v>
      </c>
      <c r="Q49" s="68">
        <f t="shared" si="15"/>
        <v>0</v>
      </c>
      <c r="R49" s="68">
        <f t="shared" si="15"/>
        <v>584.346</v>
      </c>
      <c r="S49" s="68">
        <f t="shared" si="15"/>
        <v>0</v>
      </c>
      <c r="T49" s="68">
        <f t="shared" si="15"/>
        <v>584.346</v>
      </c>
      <c r="U49" s="68">
        <f t="shared" si="15"/>
        <v>0</v>
      </c>
      <c r="V49" s="68">
        <f t="shared" si="15"/>
        <v>584.428</v>
      </c>
      <c r="W49" s="68">
        <f t="shared" si="15"/>
        <v>0</v>
      </c>
      <c r="X49" s="68">
        <f t="shared" si="15"/>
        <v>0</v>
      </c>
      <c r="Y49" s="68">
        <f t="shared" si="15"/>
        <v>0</v>
      </c>
      <c r="Z49" s="68">
        <f t="shared" si="15"/>
        <v>0</v>
      </c>
      <c r="AA49" s="68">
        <f t="shared" si="15"/>
        <v>0</v>
      </c>
      <c r="AB49" s="68">
        <f t="shared" si="15"/>
        <v>0</v>
      </c>
      <c r="AC49" s="68">
        <f t="shared" si="15"/>
        <v>0</v>
      </c>
      <c r="AD49" s="68">
        <f t="shared" si="15"/>
        <v>0</v>
      </c>
      <c r="AE49" s="68">
        <f t="shared" si="15"/>
        <v>0</v>
      </c>
      <c r="AF49" s="68"/>
      <c r="AG49" s="38"/>
      <c r="AH49" s="39"/>
    </row>
    <row r="50" spans="1:34" s="35" customFormat="1" ht="61.5" customHeight="1">
      <c r="A50" s="143" t="s">
        <v>118</v>
      </c>
      <c r="B50" s="71"/>
      <c r="C50" s="69"/>
      <c r="D50" s="69"/>
      <c r="E50" s="69"/>
      <c r="F50" s="70"/>
      <c r="G50" s="70"/>
      <c r="H50" s="69"/>
      <c r="I50" s="69"/>
      <c r="J50" s="69"/>
      <c r="K50" s="69"/>
      <c r="L50" s="69"/>
      <c r="M50" s="69"/>
      <c r="N50" s="69"/>
      <c r="O50" s="69"/>
      <c r="P50" s="69"/>
      <c r="Q50" s="69"/>
      <c r="R50" s="69"/>
      <c r="S50" s="69"/>
      <c r="T50" s="69"/>
      <c r="U50" s="69"/>
      <c r="V50" s="69"/>
      <c r="W50" s="69"/>
      <c r="X50" s="69"/>
      <c r="Y50" s="69"/>
      <c r="Z50" s="69"/>
      <c r="AA50" s="69"/>
      <c r="AB50" s="69"/>
      <c r="AC50" s="69"/>
      <c r="AD50" s="69"/>
      <c r="AE50" s="153"/>
      <c r="AF50" s="94" t="s">
        <v>153</v>
      </c>
      <c r="AH50" s="36"/>
    </row>
    <row r="51" spans="1:34" s="35" customFormat="1">
      <c r="A51" s="150" t="s">
        <v>25</v>
      </c>
      <c r="B51" s="80">
        <f>B52</f>
        <v>0</v>
      </c>
      <c r="C51" s="80">
        <f t="shared" ref="C51:AE51" si="16">C52</f>
        <v>0</v>
      </c>
      <c r="D51" s="80">
        <f t="shared" si="16"/>
        <v>0</v>
      </c>
      <c r="E51" s="80">
        <f t="shared" si="16"/>
        <v>0</v>
      </c>
      <c r="F51" s="79">
        <f t="shared" si="16"/>
        <v>0</v>
      </c>
      <c r="G51" s="79">
        <f t="shared" si="16"/>
        <v>0</v>
      </c>
      <c r="H51" s="69">
        <f t="shared" si="16"/>
        <v>0</v>
      </c>
      <c r="I51" s="69">
        <f t="shared" si="16"/>
        <v>0</v>
      </c>
      <c r="J51" s="69">
        <f t="shared" si="16"/>
        <v>0</v>
      </c>
      <c r="K51" s="69">
        <f t="shared" si="16"/>
        <v>0</v>
      </c>
      <c r="L51" s="69">
        <f t="shared" si="16"/>
        <v>0</v>
      </c>
      <c r="M51" s="69">
        <f t="shared" si="16"/>
        <v>0</v>
      </c>
      <c r="N51" s="69">
        <f t="shared" si="16"/>
        <v>0</v>
      </c>
      <c r="O51" s="69">
        <f t="shared" si="16"/>
        <v>0</v>
      </c>
      <c r="P51" s="69">
        <f t="shared" si="16"/>
        <v>0</v>
      </c>
      <c r="Q51" s="69">
        <f t="shared" si="16"/>
        <v>0</v>
      </c>
      <c r="R51" s="69">
        <f t="shared" si="16"/>
        <v>0</v>
      </c>
      <c r="S51" s="69">
        <f t="shared" si="16"/>
        <v>0</v>
      </c>
      <c r="T51" s="69">
        <f t="shared" si="16"/>
        <v>0</v>
      </c>
      <c r="U51" s="69">
        <f t="shared" si="16"/>
        <v>0</v>
      </c>
      <c r="V51" s="69">
        <f t="shared" si="16"/>
        <v>0</v>
      </c>
      <c r="W51" s="69">
        <f t="shared" si="16"/>
        <v>0</v>
      </c>
      <c r="X51" s="69">
        <f t="shared" si="16"/>
        <v>0</v>
      </c>
      <c r="Y51" s="69">
        <f t="shared" si="16"/>
        <v>0</v>
      </c>
      <c r="Z51" s="69">
        <f t="shared" si="16"/>
        <v>0</v>
      </c>
      <c r="AA51" s="69">
        <f t="shared" si="16"/>
        <v>0</v>
      </c>
      <c r="AB51" s="69">
        <f t="shared" si="16"/>
        <v>0</v>
      </c>
      <c r="AC51" s="69">
        <f t="shared" si="16"/>
        <v>0</v>
      </c>
      <c r="AD51" s="69">
        <f t="shared" si="16"/>
        <v>0</v>
      </c>
      <c r="AE51" s="153">
        <f t="shared" si="16"/>
        <v>0</v>
      </c>
      <c r="AF51" s="154"/>
      <c r="AH51" s="36"/>
    </row>
    <row r="52" spans="1:34" s="33" customFormat="1" ht="23.25" customHeight="1" thickBot="1">
      <c r="A52" s="155" t="s">
        <v>105</v>
      </c>
      <c r="B52" s="156">
        <f>H52+J52+L52+N52+P52+R52+T52+V52+X52+Z52+AB52+AD52</f>
        <v>0</v>
      </c>
      <c r="C52" s="157">
        <f>H52+J52+L52+N52+P52+R52+T52+V52</f>
        <v>0</v>
      </c>
      <c r="D52" s="157">
        <f>H52+J52+L52+N52+P52+R52+T52+V52</f>
        <v>0</v>
      </c>
      <c r="E52" s="157">
        <f>I52+K52+M52+O52+Q52+S52+U52+W52+Y52+AA52+AC52+AE52</f>
        <v>0</v>
      </c>
      <c r="F52" s="158"/>
      <c r="G52" s="158"/>
      <c r="H52" s="157">
        <v>0</v>
      </c>
      <c r="I52" s="157">
        <v>0</v>
      </c>
      <c r="J52" s="157">
        <v>0</v>
      </c>
      <c r="K52" s="157">
        <v>0</v>
      </c>
      <c r="L52" s="157">
        <v>0</v>
      </c>
      <c r="M52" s="157">
        <v>0</v>
      </c>
      <c r="N52" s="157">
        <v>0</v>
      </c>
      <c r="O52" s="157">
        <v>0</v>
      </c>
      <c r="P52" s="157">
        <v>0</v>
      </c>
      <c r="Q52" s="157">
        <v>0</v>
      </c>
      <c r="R52" s="157">
        <v>0</v>
      </c>
      <c r="S52" s="157">
        <v>0</v>
      </c>
      <c r="T52" s="157">
        <v>0</v>
      </c>
      <c r="U52" s="157">
        <v>0</v>
      </c>
      <c r="V52" s="157">
        <v>0</v>
      </c>
      <c r="W52" s="157">
        <v>0</v>
      </c>
      <c r="X52" s="157">
        <v>0</v>
      </c>
      <c r="Y52" s="157">
        <v>0</v>
      </c>
      <c r="Z52" s="157">
        <v>0</v>
      </c>
      <c r="AA52" s="157">
        <v>0</v>
      </c>
      <c r="AB52" s="157">
        <v>0</v>
      </c>
      <c r="AC52" s="157">
        <v>0</v>
      </c>
      <c r="AD52" s="157">
        <v>0</v>
      </c>
      <c r="AE52" s="157">
        <v>0</v>
      </c>
      <c r="AF52" s="157"/>
      <c r="AH52" s="34"/>
    </row>
    <row r="53" spans="1:34" s="35" customFormat="1" ht="21.75" customHeight="1">
      <c r="A53" s="159" t="s">
        <v>106</v>
      </c>
      <c r="B53" s="160">
        <f>B54+B55</f>
        <v>14290.300000000001</v>
      </c>
      <c r="C53" s="160">
        <f>C54+C55</f>
        <v>817.29600000000005</v>
      </c>
      <c r="D53" s="160">
        <f>D54+D55</f>
        <v>636.94478000000004</v>
      </c>
      <c r="E53" s="160">
        <f t="shared" ref="E53:AC53" si="17">E54+E55</f>
        <v>367.61999999999995</v>
      </c>
      <c r="F53" s="161">
        <f>E53/B53</f>
        <v>2.5725142229344376E-2</v>
      </c>
      <c r="G53" s="161">
        <f>E53/C53</f>
        <v>0.44980031714336044</v>
      </c>
      <c r="H53" s="160">
        <f>H54+H55</f>
        <v>0</v>
      </c>
      <c r="I53" s="160">
        <f t="shared" si="17"/>
        <v>0</v>
      </c>
      <c r="J53" s="160">
        <f>J54+J55</f>
        <v>400.92899999999997</v>
      </c>
      <c r="K53" s="160">
        <f t="shared" si="17"/>
        <v>144.26</v>
      </c>
      <c r="L53" s="160">
        <f>L54+L55</f>
        <v>416.36699999999996</v>
      </c>
      <c r="M53" s="160">
        <f t="shared" si="17"/>
        <v>223.36</v>
      </c>
      <c r="N53" s="160">
        <f>N54+N55</f>
        <v>1101.0030000000002</v>
      </c>
      <c r="O53" s="160">
        <f t="shared" si="17"/>
        <v>0</v>
      </c>
      <c r="P53" s="160">
        <f>P54+P55</f>
        <v>415.21900000000005</v>
      </c>
      <c r="Q53" s="160">
        <f t="shared" si="17"/>
        <v>0</v>
      </c>
      <c r="R53" s="160">
        <f>R54+R55</f>
        <v>3737.3209999999999</v>
      </c>
      <c r="S53" s="160">
        <f t="shared" si="17"/>
        <v>0</v>
      </c>
      <c r="T53" s="160">
        <f>T54+T55</f>
        <v>3810.5930000000003</v>
      </c>
      <c r="U53" s="160">
        <f t="shared" si="17"/>
        <v>0</v>
      </c>
      <c r="V53" s="160">
        <f>V54+V55</f>
        <v>3623.0749999999998</v>
      </c>
      <c r="W53" s="160">
        <f t="shared" si="17"/>
        <v>0</v>
      </c>
      <c r="X53" s="160">
        <f>X54+X55</f>
        <v>284.85599999999999</v>
      </c>
      <c r="Y53" s="160">
        <f t="shared" si="17"/>
        <v>0</v>
      </c>
      <c r="Z53" s="160">
        <f>Z54+Z55</f>
        <v>324.81799999999998</v>
      </c>
      <c r="AA53" s="160">
        <f t="shared" si="17"/>
        <v>0</v>
      </c>
      <c r="AB53" s="160">
        <f>AB54+AB55</f>
        <v>176.119</v>
      </c>
      <c r="AC53" s="160">
        <f t="shared" si="17"/>
        <v>0</v>
      </c>
      <c r="AD53" s="160">
        <f>AD54+AD55</f>
        <v>0</v>
      </c>
      <c r="AE53" s="160">
        <f>AE54+AE55</f>
        <v>0</v>
      </c>
      <c r="AF53" s="162"/>
      <c r="AG53" s="91"/>
      <c r="AH53" s="36"/>
    </row>
    <row r="54" spans="1:34" s="35" customFormat="1" ht="24" customHeight="1">
      <c r="A54" s="163" t="s">
        <v>104</v>
      </c>
      <c r="B54" s="71">
        <f>B23+B27+B37</f>
        <v>1907.9</v>
      </c>
      <c r="C54" s="68">
        <f>C23+C27+C37</f>
        <v>220.30800000000002</v>
      </c>
      <c r="D54" s="68">
        <f>D23+D27+D37</f>
        <v>39.956780000000002</v>
      </c>
      <c r="E54" s="68">
        <f>E23+E27+E37</f>
        <v>39.96</v>
      </c>
      <c r="F54" s="81">
        <f>E54/B54</f>
        <v>2.0944493946223598E-2</v>
      </c>
      <c r="G54" s="81">
        <f>E54/C54</f>
        <v>0.18138242823683207</v>
      </c>
      <c r="H54" s="68">
        <f t="shared" ref="H54:AE54" si="18">H23+H27+H37</f>
        <v>0</v>
      </c>
      <c r="I54" s="68">
        <f t="shared" si="18"/>
        <v>0</v>
      </c>
      <c r="J54" s="68">
        <f t="shared" si="18"/>
        <v>77.635999999999996</v>
      </c>
      <c r="K54" s="68">
        <f t="shared" si="18"/>
        <v>0</v>
      </c>
      <c r="L54" s="68">
        <f t="shared" si="18"/>
        <v>142.672</v>
      </c>
      <c r="M54" s="68">
        <f t="shared" si="18"/>
        <v>39.96</v>
      </c>
      <c r="N54" s="68">
        <f t="shared" si="18"/>
        <v>207.709</v>
      </c>
      <c r="O54" s="68">
        <f t="shared" si="18"/>
        <v>0</v>
      </c>
      <c r="P54" s="68">
        <f t="shared" si="18"/>
        <v>80.436000000000007</v>
      </c>
      <c r="Q54" s="68">
        <f t="shared" si="18"/>
        <v>0</v>
      </c>
      <c r="R54" s="68">
        <f t="shared" si="18"/>
        <v>407.27199999999999</v>
      </c>
      <c r="S54" s="68">
        <f t="shared" si="18"/>
        <v>0</v>
      </c>
      <c r="T54" s="68">
        <f t="shared" si="18"/>
        <v>470.90899999999999</v>
      </c>
      <c r="U54" s="68">
        <f t="shared" si="18"/>
        <v>0</v>
      </c>
      <c r="V54" s="68">
        <f t="shared" si="18"/>
        <v>311.815</v>
      </c>
      <c r="W54" s="68">
        <f t="shared" si="18"/>
        <v>0</v>
      </c>
      <c r="X54" s="68">
        <f t="shared" si="18"/>
        <v>80.433000000000007</v>
      </c>
      <c r="Y54" s="68">
        <f t="shared" si="18"/>
        <v>0</v>
      </c>
      <c r="Z54" s="68">
        <f t="shared" si="18"/>
        <v>112.218</v>
      </c>
      <c r="AA54" s="68">
        <f t="shared" si="18"/>
        <v>0</v>
      </c>
      <c r="AB54" s="68">
        <f t="shared" si="18"/>
        <v>16.8</v>
      </c>
      <c r="AC54" s="68">
        <f t="shared" si="18"/>
        <v>0</v>
      </c>
      <c r="AD54" s="68">
        <f t="shared" si="18"/>
        <v>0</v>
      </c>
      <c r="AE54" s="68">
        <f t="shared" si="18"/>
        <v>0</v>
      </c>
      <c r="AF54" s="164"/>
      <c r="AH54" s="36"/>
    </row>
    <row r="55" spans="1:34" s="35" customFormat="1" ht="24" customHeight="1" thickBot="1">
      <c r="A55" s="165" t="s">
        <v>105</v>
      </c>
      <c r="B55" s="166">
        <f>B24+B28+B38+B49+B52</f>
        <v>12382.400000000001</v>
      </c>
      <c r="C55" s="166">
        <f>C24+C28+C38+C49+C52</f>
        <v>596.98800000000006</v>
      </c>
      <c r="D55" s="166">
        <f>D24+D28+D38+D49+D52</f>
        <v>596.98800000000006</v>
      </c>
      <c r="E55" s="166">
        <f>E24+E28+E38+E49+E52</f>
        <v>327.65999999999997</v>
      </c>
      <c r="F55" s="167">
        <f>E55/B55</f>
        <v>2.6461752164362314E-2</v>
      </c>
      <c r="G55" s="167">
        <f>E55/C55</f>
        <v>0.54885525337192698</v>
      </c>
      <c r="H55" s="168">
        <f t="shared" ref="H55:AE55" si="19">H24+H28+H38+H49+H52</f>
        <v>0</v>
      </c>
      <c r="I55" s="168">
        <f t="shared" si="19"/>
        <v>0</v>
      </c>
      <c r="J55" s="168">
        <f t="shared" si="19"/>
        <v>323.29300000000001</v>
      </c>
      <c r="K55" s="168">
        <f t="shared" si="19"/>
        <v>144.26</v>
      </c>
      <c r="L55" s="168">
        <f t="shared" si="19"/>
        <v>273.69499999999999</v>
      </c>
      <c r="M55" s="168">
        <f t="shared" si="19"/>
        <v>183.4</v>
      </c>
      <c r="N55" s="168">
        <f t="shared" si="19"/>
        <v>893.2940000000001</v>
      </c>
      <c r="O55" s="168">
        <f t="shared" si="19"/>
        <v>0</v>
      </c>
      <c r="P55" s="168">
        <f t="shared" si="19"/>
        <v>334.78300000000002</v>
      </c>
      <c r="Q55" s="168">
        <f t="shared" si="19"/>
        <v>0</v>
      </c>
      <c r="R55" s="168">
        <f t="shared" si="19"/>
        <v>3330.049</v>
      </c>
      <c r="S55" s="168">
        <f t="shared" si="19"/>
        <v>0</v>
      </c>
      <c r="T55" s="168">
        <f t="shared" si="19"/>
        <v>3339.6840000000002</v>
      </c>
      <c r="U55" s="168">
        <f t="shared" si="19"/>
        <v>0</v>
      </c>
      <c r="V55" s="168">
        <f t="shared" si="19"/>
        <v>3311.2599999999998</v>
      </c>
      <c r="W55" s="168">
        <f t="shared" si="19"/>
        <v>0</v>
      </c>
      <c r="X55" s="168">
        <f t="shared" si="19"/>
        <v>204.423</v>
      </c>
      <c r="Y55" s="168">
        <f t="shared" si="19"/>
        <v>0</v>
      </c>
      <c r="Z55" s="168">
        <f t="shared" si="19"/>
        <v>212.6</v>
      </c>
      <c r="AA55" s="168">
        <f t="shared" si="19"/>
        <v>0</v>
      </c>
      <c r="AB55" s="168">
        <f t="shared" si="19"/>
        <v>159.31899999999999</v>
      </c>
      <c r="AC55" s="168">
        <f t="shared" si="19"/>
        <v>0</v>
      </c>
      <c r="AD55" s="168">
        <f t="shared" si="19"/>
        <v>0</v>
      </c>
      <c r="AE55" s="168">
        <f t="shared" si="19"/>
        <v>0</v>
      </c>
      <c r="AF55" s="169"/>
      <c r="AH55" s="36"/>
    </row>
    <row r="56" spans="1:34" s="35" customFormat="1" ht="89.25" customHeight="1">
      <c r="A56" s="170" t="s">
        <v>119</v>
      </c>
      <c r="B56" s="171"/>
      <c r="C56" s="172"/>
      <c r="D56" s="172"/>
      <c r="E56" s="172"/>
      <c r="F56" s="173"/>
      <c r="G56" s="173"/>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4"/>
      <c r="AF56" s="172"/>
      <c r="AH56" s="36"/>
    </row>
    <row r="57" spans="1:34" s="35" customFormat="1" ht="34.5" customHeight="1">
      <c r="A57" s="78" t="s">
        <v>124</v>
      </c>
      <c r="B57" s="71"/>
      <c r="C57" s="69"/>
      <c r="D57" s="69"/>
      <c r="E57" s="69"/>
      <c r="F57" s="70"/>
      <c r="G57" s="70"/>
      <c r="H57" s="69"/>
      <c r="I57" s="69"/>
      <c r="J57" s="69"/>
      <c r="K57" s="69"/>
      <c r="L57" s="69"/>
      <c r="M57" s="69"/>
      <c r="N57" s="69"/>
      <c r="O57" s="69"/>
      <c r="P57" s="69"/>
      <c r="Q57" s="69"/>
      <c r="R57" s="69"/>
      <c r="S57" s="69"/>
      <c r="T57" s="69"/>
      <c r="U57" s="69"/>
      <c r="V57" s="69"/>
      <c r="W57" s="69"/>
      <c r="X57" s="69"/>
      <c r="Y57" s="69"/>
      <c r="Z57" s="69"/>
      <c r="AA57" s="69"/>
      <c r="AB57" s="69"/>
      <c r="AC57" s="69"/>
      <c r="AD57" s="69"/>
      <c r="AE57" s="85"/>
      <c r="AF57" s="132" t="s">
        <v>154</v>
      </c>
      <c r="AH57" s="36"/>
    </row>
    <row r="58" spans="1:34" s="35" customFormat="1" ht="33.75" customHeight="1">
      <c r="A58" s="148" t="s">
        <v>120</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32"/>
      <c r="AH58" s="36"/>
    </row>
    <row r="59" spans="1:34" s="35" customFormat="1" ht="15.75" customHeight="1">
      <c r="A59" s="75" t="s">
        <v>121</v>
      </c>
      <c r="B59" s="80">
        <f>B61+B60</f>
        <v>3595.3580999999995</v>
      </c>
      <c r="C59" s="80">
        <f>C61+C60</f>
        <v>0</v>
      </c>
      <c r="D59" s="80">
        <f>D61+D60</f>
        <v>0</v>
      </c>
      <c r="E59" s="80">
        <f>E61+E60</f>
        <v>0</v>
      </c>
      <c r="F59" s="79">
        <f>E59/B59</f>
        <v>0</v>
      </c>
      <c r="G59" s="79">
        <v>0</v>
      </c>
      <c r="H59" s="69">
        <f>H61+H60</f>
        <v>0</v>
      </c>
      <c r="I59" s="69">
        <f>I61+I60</f>
        <v>0</v>
      </c>
      <c r="J59" s="69">
        <f t="shared" ref="J59:AE59" si="20">J61+J60</f>
        <v>0</v>
      </c>
      <c r="K59" s="69">
        <f t="shared" si="20"/>
        <v>0</v>
      </c>
      <c r="L59" s="69">
        <f t="shared" si="20"/>
        <v>0</v>
      </c>
      <c r="M59" s="69">
        <f t="shared" si="20"/>
        <v>0</v>
      </c>
      <c r="N59" s="69">
        <f t="shared" si="20"/>
        <v>200.79249999999999</v>
      </c>
      <c r="O59" s="69">
        <f t="shared" si="20"/>
        <v>0</v>
      </c>
      <c r="P59" s="69">
        <f>P61+P60</f>
        <v>346.18560000000002</v>
      </c>
      <c r="Q59" s="69">
        <f t="shared" si="20"/>
        <v>0</v>
      </c>
      <c r="R59" s="69">
        <f t="shared" si="20"/>
        <v>533.67750000000001</v>
      </c>
      <c r="S59" s="69">
        <f t="shared" si="20"/>
        <v>0</v>
      </c>
      <c r="T59" s="69">
        <f t="shared" si="20"/>
        <v>927.36349999999993</v>
      </c>
      <c r="U59" s="69">
        <f t="shared" si="20"/>
        <v>0</v>
      </c>
      <c r="V59" s="69">
        <f t="shared" si="20"/>
        <v>843.34999999999991</v>
      </c>
      <c r="W59" s="69">
        <f t="shared" si="20"/>
        <v>0</v>
      </c>
      <c r="X59" s="69">
        <f t="shared" si="20"/>
        <v>396.40499999999997</v>
      </c>
      <c r="Y59" s="69">
        <f t="shared" si="20"/>
        <v>0</v>
      </c>
      <c r="Z59" s="69">
        <f t="shared" si="20"/>
        <v>281.32499999999999</v>
      </c>
      <c r="AA59" s="69">
        <f t="shared" si="20"/>
        <v>0</v>
      </c>
      <c r="AB59" s="69">
        <f t="shared" si="20"/>
        <v>66.259</v>
      </c>
      <c r="AC59" s="69">
        <f t="shared" si="20"/>
        <v>0</v>
      </c>
      <c r="AD59" s="69">
        <f t="shared" si="20"/>
        <v>0</v>
      </c>
      <c r="AE59" s="69">
        <f t="shared" si="20"/>
        <v>0</v>
      </c>
      <c r="AF59" s="132"/>
      <c r="AH59" s="36"/>
    </row>
    <row r="60" spans="1:34" s="35" customFormat="1" ht="21.75" customHeight="1">
      <c r="A60" s="76" t="s">
        <v>104</v>
      </c>
      <c r="B60" s="71">
        <f>H60+J60+L60+N60+P60+R60+T60+V60+X60+Z60+AB60+AD60</f>
        <v>1466.8</v>
      </c>
      <c r="C60" s="68">
        <f>H60+J60+L60</f>
        <v>0</v>
      </c>
      <c r="D60" s="68"/>
      <c r="E60" s="68">
        <f>I60+K60+M60</f>
        <v>0</v>
      </c>
      <c r="F60" s="81">
        <f>E60/B60</f>
        <v>0</v>
      </c>
      <c r="G60" s="81">
        <v>0</v>
      </c>
      <c r="H60" s="82"/>
      <c r="I60" s="82"/>
      <c r="J60" s="82"/>
      <c r="K60" s="82"/>
      <c r="L60" s="82"/>
      <c r="M60" s="82"/>
      <c r="N60" s="82">
        <f>138670/1000</f>
        <v>138.66999999999999</v>
      </c>
      <c r="O60" s="82"/>
      <c r="P60" s="84">
        <f>138669/1000</f>
        <v>138.66900000000001</v>
      </c>
      <c r="Q60" s="82"/>
      <c r="R60" s="84">
        <f>277340/1000</f>
        <v>277.33999999999997</v>
      </c>
      <c r="S60" s="84"/>
      <c r="T60" s="84">
        <f>480724/1000</f>
        <v>480.72399999999999</v>
      </c>
      <c r="U60" s="82"/>
      <c r="V60" s="84">
        <f>431397/1000</f>
        <v>431.39699999999999</v>
      </c>
      <c r="W60" s="82"/>
      <c r="X60" s="84"/>
      <c r="Y60" s="82"/>
      <c r="Z60" s="84"/>
      <c r="AA60" s="82"/>
      <c r="AB60" s="82"/>
      <c r="AC60" s="82"/>
      <c r="AD60" s="82"/>
      <c r="AE60" s="82"/>
      <c r="AF60" s="132"/>
      <c r="AH60" s="36"/>
    </row>
    <row r="61" spans="1:34" s="35" customFormat="1" ht="22.5" customHeight="1">
      <c r="A61" s="76" t="s">
        <v>105</v>
      </c>
      <c r="B61" s="71">
        <f>H61+J61+L61+N61+P61+R61+T61+V61+X61+Z61+AB61+AD61</f>
        <v>2128.5580999999997</v>
      </c>
      <c r="C61" s="68">
        <f>H61+J61+L61</f>
        <v>0</v>
      </c>
      <c r="D61" s="68"/>
      <c r="E61" s="68">
        <f>I61+K61+M61</f>
        <v>0</v>
      </c>
      <c r="F61" s="81">
        <f>E61/B61</f>
        <v>0</v>
      </c>
      <c r="G61" s="81">
        <v>0</v>
      </c>
      <c r="H61" s="82"/>
      <c r="I61" s="82"/>
      <c r="J61" s="82"/>
      <c r="K61" s="82"/>
      <c r="L61" s="82"/>
      <c r="M61" s="82"/>
      <c r="N61" s="84">
        <f>(40685+21437.5)/1000</f>
        <v>62.122500000000002</v>
      </c>
      <c r="O61" s="82"/>
      <c r="P61" s="84">
        <f>(186079+21437.6)/1000</f>
        <v>207.51660000000001</v>
      </c>
      <c r="Q61" s="82"/>
      <c r="R61" s="84">
        <f>(234900+21437.5)/1000</f>
        <v>256.33749999999998</v>
      </c>
      <c r="S61" s="82"/>
      <c r="T61" s="84">
        <f>(399477+47162.5)/1000</f>
        <v>446.6395</v>
      </c>
      <c r="U61" s="82"/>
      <c r="V61" s="84">
        <f>(369078+42875)/1000</f>
        <v>411.95299999999997</v>
      </c>
      <c r="W61" s="82"/>
      <c r="X61" s="84">
        <f>(353530+42875)/1000</f>
        <v>396.40499999999997</v>
      </c>
      <c r="Y61" s="82"/>
      <c r="Z61" s="84">
        <f>(247025+34300)/1000</f>
        <v>281.32499999999999</v>
      </c>
      <c r="AA61" s="82"/>
      <c r="AB61" s="84">
        <f>(57684+8575)/1000</f>
        <v>66.259</v>
      </c>
      <c r="AC61" s="82"/>
      <c r="AD61" s="82"/>
      <c r="AE61" s="82"/>
      <c r="AF61" s="132"/>
      <c r="AH61" s="36"/>
    </row>
    <row r="62" spans="1:34" s="35" customFormat="1" ht="89.25" customHeight="1">
      <c r="A62" s="148" t="s">
        <v>122</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32"/>
      <c r="AH62" s="36"/>
    </row>
    <row r="63" spans="1:34" s="35" customFormat="1" ht="22.5" customHeight="1">
      <c r="A63" s="76" t="s">
        <v>105</v>
      </c>
      <c r="B63" s="71">
        <f>H63+J63+L63+N63+P63+R63+T63+V63+X63+Z63+AB63+AD63</f>
        <v>236.642</v>
      </c>
      <c r="C63" s="68">
        <f>H63+J63+L63</f>
        <v>58.142000000000003</v>
      </c>
      <c r="D63" s="90">
        <f>58142/1000</f>
        <v>58.142000000000003</v>
      </c>
      <c r="E63" s="68">
        <f>I63+K63+M63</f>
        <v>0</v>
      </c>
      <c r="F63" s="81">
        <f>E63/B63</f>
        <v>0</v>
      </c>
      <c r="G63" s="81">
        <v>0</v>
      </c>
      <c r="H63" s="82"/>
      <c r="I63" s="82"/>
      <c r="J63" s="82"/>
      <c r="K63" s="82"/>
      <c r="L63" s="84">
        <f>58142/1000</f>
        <v>58.142000000000003</v>
      </c>
      <c r="M63" s="82"/>
      <c r="N63" s="84">
        <f>17500/1000</f>
        <v>17.5</v>
      </c>
      <c r="O63" s="82"/>
      <c r="P63" s="84">
        <f>17500/1000</f>
        <v>17.5</v>
      </c>
      <c r="Q63" s="84"/>
      <c r="R63" s="84">
        <f>38500/1000</f>
        <v>38.5</v>
      </c>
      <c r="S63" s="82"/>
      <c r="T63" s="84">
        <f>35000/1000</f>
        <v>35</v>
      </c>
      <c r="U63" s="82"/>
      <c r="V63" s="84">
        <f>35000/1000</f>
        <v>35</v>
      </c>
      <c r="W63" s="82"/>
      <c r="X63" s="84">
        <f>28000/1000</f>
        <v>28</v>
      </c>
      <c r="Y63" s="82"/>
      <c r="Z63" s="84">
        <f>7000/1000</f>
        <v>7</v>
      </c>
      <c r="AA63" s="82"/>
      <c r="AB63" s="82"/>
      <c r="AC63" s="82"/>
      <c r="AD63" s="82"/>
      <c r="AE63" s="82"/>
      <c r="AF63" s="132"/>
      <c r="AH63" s="36"/>
    </row>
    <row r="64" spans="1:34" s="35" customFormat="1" ht="22.5" customHeight="1">
      <c r="A64" s="76" t="s">
        <v>126</v>
      </c>
      <c r="B64" s="80">
        <f>B66+B65</f>
        <v>3832.0000999999993</v>
      </c>
      <c r="C64" s="80">
        <f>C66+C65</f>
        <v>58.142000000000003</v>
      </c>
      <c r="D64" s="80">
        <f>D66+D65</f>
        <v>58.142000000000003</v>
      </c>
      <c r="E64" s="80">
        <f>E66+E65</f>
        <v>0</v>
      </c>
      <c r="F64" s="79">
        <f>E64/B64</f>
        <v>0</v>
      </c>
      <c r="G64" s="79">
        <v>0</v>
      </c>
      <c r="H64" s="69">
        <f>H66+H65</f>
        <v>0</v>
      </c>
      <c r="I64" s="69">
        <f>I66+I65</f>
        <v>0</v>
      </c>
      <c r="J64" s="69">
        <f t="shared" ref="J64:AE64" si="21">J66+J65</f>
        <v>0</v>
      </c>
      <c r="K64" s="69">
        <f t="shared" si="21"/>
        <v>0</v>
      </c>
      <c r="L64" s="69">
        <f t="shared" si="21"/>
        <v>58.142000000000003</v>
      </c>
      <c r="M64" s="69">
        <f t="shared" si="21"/>
        <v>0</v>
      </c>
      <c r="N64" s="69">
        <f t="shared" si="21"/>
        <v>218.29249999999999</v>
      </c>
      <c r="O64" s="69">
        <f t="shared" si="21"/>
        <v>0</v>
      </c>
      <c r="P64" s="69">
        <f>P66+P65</f>
        <v>363.68560000000002</v>
      </c>
      <c r="Q64" s="69">
        <f t="shared" si="21"/>
        <v>0</v>
      </c>
      <c r="R64" s="69">
        <f t="shared" si="21"/>
        <v>572.17750000000001</v>
      </c>
      <c r="S64" s="69">
        <f t="shared" si="21"/>
        <v>0</v>
      </c>
      <c r="T64" s="69">
        <f t="shared" si="21"/>
        <v>962.36349999999993</v>
      </c>
      <c r="U64" s="69">
        <f t="shared" si="21"/>
        <v>0</v>
      </c>
      <c r="V64" s="69">
        <f t="shared" si="21"/>
        <v>878.34999999999991</v>
      </c>
      <c r="W64" s="69">
        <f t="shared" si="21"/>
        <v>0</v>
      </c>
      <c r="X64" s="69">
        <f t="shared" si="21"/>
        <v>424.40499999999997</v>
      </c>
      <c r="Y64" s="69">
        <f t="shared" si="21"/>
        <v>0</v>
      </c>
      <c r="Z64" s="69">
        <f t="shared" si="21"/>
        <v>288.32499999999999</v>
      </c>
      <c r="AA64" s="69">
        <f>AA66+AA65</f>
        <v>0</v>
      </c>
      <c r="AB64" s="69">
        <f t="shared" si="21"/>
        <v>66.259</v>
      </c>
      <c r="AC64" s="69">
        <f t="shared" si="21"/>
        <v>0</v>
      </c>
      <c r="AD64" s="69">
        <f t="shared" si="21"/>
        <v>0</v>
      </c>
      <c r="AE64" s="69">
        <f t="shared" si="21"/>
        <v>0</v>
      </c>
      <c r="AF64" s="132"/>
      <c r="AG64" s="91">
        <f>C64-E64</f>
        <v>58.142000000000003</v>
      </c>
      <c r="AH64" s="36"/>
    </row>
    <row r="65" spans="1:34" s="35" customFormat="1" ht="22.5" customHeight="1">
      <c r="A65" s="76" t="s">
        <v>104</v>
      </c>
      <c r="B65" s="71">
        <f>H65+J65+L65+N65+P65+R65+T65+V65+X65+Z65+AB65+AD65</f>
        <v>1466.8</v>
      </c>
      <c r="C65" s="68">
        <f>C60</f>
        <v>0</v>
      </c>
      <c r="D65" s="68">
        <f>D60</f>
        <v>0</v>
      </c>
      <c r="E65" s="68">
        <f>E60</f>
        <v>0</v>
      </c>
      <c r="F65" s="81">
        <f>E65/B65</f>
        <v>0</v>
      </c>
      <c r="G65" s="81">
        <v>0</v>
      </c>
      <c r="H65" s="83">
        <f>H60</f>
        <v>0</v>
      </c>
      <c r="I65" s="83">
        <f t="shared" ref="I65:AE65" si="22">I60</f>
        <v>0</v>
      </c>
      <c r="J65" s="83">
        <f t="shared" si="22"/>
        <v>0</v>
      </c>
      <c r="K65" s="83">
        <f t="shared" si="22"/>
        <v>0</v>
      </c>
      <c r="L65" s="83">
        <f t="shared" si="22"/>
        <v>0</v>
      </c>
      <c r="M65" s="83">
        <f t="shared" si="22"/>
        <v>0</v>
      </c>
      <c r="N65" s="83">
        <f t="shared" si="22"/>
        <v>138.66999999999999</v>
      </c>
      <c r="O65" s="83">
        <f t="shared" si="22"/>
        <v>0</v>
      </c>
      <c r="P65" s="83">
        <f t="shared" si="22"/>
        <v>138.66900000000001</v>
      </c>
      <c r="Q65" s="83">
        <f t="shared" si="22"/>
        <v>0</v>
      </c>
      <c r="R65" s="83">
        <f t="shared" si="22"/>
        <v>277.33999999999997</v>
      </c>
      <c r="S65" s="83">
        <f t="shared" si="22"/>
        <v>0</v>
      </c>
      <c r="T65" s="83">
        <f t="shared" si="22"/>
        <v>480.72399999999999</v>
      </c>
      <c r="U65" s="83">
        <f t="shared" si="22"/>
        <v>0</v>
      </c>
      <c r="V65" s="83">
        <f t="shared" si="22"/>
        <v>431.39699999999999</v>
      </c>
      <c r="W65" s="83">
        <f t="shared" si="22"/>
        <v>0</v>
      </c>
      <c r="X65" s="83">
        <f t="shared" si="22"/>
        <v>0</v>
      </c>
      <c r="Y65" s="83">
        <f t="shared" si="22"/>
        <v>0</v>
      </c>
      <c r="Z65" s="83">
        <f t="shared" si="22"/>
        <v>0</v>
      </c>
      <c r="AA65" s="83">
        <f t="shared" si="22"/>
        <v>0</v>
      </c>
      <c r="AB65" s="83">
        <f t="shared" si="22"/>
        <v>0</v>
      </c>
      <c r="AC65" s="83">
        <f t="shared" si="22"/>
        <v>0</v>
      </c>
      <c r="AD65" s="83">
        <f t="shared" si="22"/>
        <v>0</v>
      </c>
      <c r="AE65" s="83">
        <f t="shared" si="22"/>
        <v>0</v>
      </c>
      <c r="AF65" s="132"/>
      <c r="AH65" s="36"/>
    </row>
    <row r="66" spans="1:34" s="35" customFormat="1" ht="22.5" customHeight="1">
      <c r="A66" s="76" t="s">
        <v>105</v>
      </c>
      <c r="B66" s="71">
        <f>B61+B63</f>
        <v>2365.2000999999996</v>
      </c>
      <c r="C66" s="68">
        <f>C61+C63</f>
        <v>58.142000000000003</v>
      </c>
      <c r="D66" s="68">
        <f>D61+D63</f>
        <v>58.142000000000003</v>
      </c>
      <c r="E66" s="68">
        <f>E61+E63</f>
        <v>0</v>
      </c>
      <c r="F66" s="81">
        <f>E66/B66</f>
        <v>0</v>
      </c>
      <c r="G66" s="81">
        <v>0</v>
      </c>
      <c r="H66" s="83">
        <f>H61+H63</f>
        <v>0</v>
      </c>
      <c r="I66" s="83">
        <f t="shared" ref="I66:AE66" si="23">I61+I63</f>
        <v>0</v>
      </c>
      <c r="J66" s="83">
        <f t="shared" si="23"/>
        <v>0</v>
      </c>
      <c r="K66" s="83">
        <f t="shared" si="23"/>
        <v>0</v>
      </c>
      <c r="L66" s="83">
        <f t="shared" si="23"/>
        <v>58.142000000000003</v>
      </c>
      <c r="M66" s="83">
        <f t="shared" si="23"/>
        <v>0</v>
      </c>
      <c r="N66" s="83">
        <f t="shared" si="23"/>
        <v>79.622500000000002</v>
      </c>
      <c r="O66" s="83">
        <f t="shared" si="23"/>
        <v>0</v>
      </c>
      <c r="P66" s="83">
        <f t="shared" si="23"/>
        <v>225.01660000000001</v>
      </c>
      <c r="Q66" s="83">
        <f t="shared" si="23"/>
        <v>0</v>
      </c>
      <c r="R66" s="83">
        <f t="shared" si="23"/>
        <v>294.83749999999998</v>
      </c>
      <c r="S66" s="83">
        <f t="shared" si="23"/>
        <v>0</v>
      </c>
      <c r="T66" s="83">
        <f t="shared" si="23"/>
        <v>481.6395</v>
      </c>
      <c r="U66" s="83">
        <f t="shared" si="23"/>
        <v>0</v>
      </c>
      <c r="V66" s="83">
        <f t="shared" si="23"/>
        <v>446.95299999999997</v>
      </c>
      <c r="W66" s="83">
        <f t="shared" si="23"/>
        <v>0</v>
      </c>
      <c r="X66" s="83">
        <f t="shared" si="23"/>
        <v>424.40499999999997</v>
      </c>
      <c r="Y66" s="83">
        <f t="shared" si="23"/>
        <v>0</v>
      </c>
      <c r="Z66" s="83">
        <f t="shared" si="23"/>
        <v>288.32499999999999</v>
      </c>
      <c r="AA66" s="83">
        <f t="shared" si="23"/>
        <v>0</v>
      </c>
      <c r="AB66" s="83">
        <f t="shared" si="23"/>
        <v>66.259</v>
      </c>
      <c r="AC66" s="83">
        <f t="shared" si="23"/>
        <v>0</v>
      </c>
      <c r="AD66" s="83">
        <f t="shared" si="23"/>
        <v>0</v>
      </c>
      <c r="AE66" s="83">
        <f t="shared" si="23"/>
        <v>0</v>
      </c>
      <c r="AF66" s="132"/>
      <c r="AH66" s="36"/>
    </row>
    <row r="67" spans="1:34" s="35" customFormat="1" ht="22.5" customHeight="1">
      <c r="A67" s="78" t="s">
        <v>125</v>
      </c>
      <c r="B67" s="76"/>
      <c r="C67" s="76"/>
      <c r="D67" s="76"/>
      <c r="E67" s="76"/>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132" t="s">
        <v>152</v>
      </c>
      <c r="AH67" s="36"/>
    </row>
    <row r="68" spans="1:34" s="35" customFormat="1" ht="33" customHeight="1">
      <c r="A68" s="148" t="s">
        <v>120</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32"/>
      <c r="AH68" s="36"/>
    </row>
    <row r="69" spans="1:34" s="35" customFormat="1" ht="227.25" customHeight="1">
      <c r="A69" s="77" t="s">
        <v>105</v>
      </c>
      <c r="B69" s="71">
        <f>H69+J69+L69+N69+P69+R69+T69+V69+X69+Z69+AB69+AD69</f>
        <v>4705.5</v>
      </c>
      <c r="C69" s="68">
        <f>H69+J69+L69</f>
        <v>940</v>
      </c>
      <c r="D69" s="68">
        <f>C69</f>
        <v>940</v>
      </c>
      <c r="E69" s="68">
        <f>I69+K69+M69</f>
        <v>610.76</v>
      </c>
      <c r="F69" s="81">
        <f>E69/B69</f>
        <v>0.12979704600998831</v>
      </c>
      <c r="G69" s="81">
        <f>E69/C69</f>
        <v>0.64974468085106385</v>
      </c>
      <c r="H69" s="71"/>
      <c r="I69" s="71"/>
      <c r="J69" s="71">
        <f>470000/1000</f>
        <v>470</v>
      </c>
      <c r="K69" s="71">
        <v>141.06</v>
      </c>
      <c r="L69" s="71">
        <f>470000/1000</f>
        <v>470</v>
      </c>
      <c r="M69" s="71">
        <v>469.7</v>
      </c>
      <c r="N69" s="71">
        <f>470000/1000</f>
        <v>470</v>
      </c>
      <c r="O69" s="71"/>
      <c r="P69" s="71">
        <f>450000/1000</f>
        <v>450</v>
      </c>
      <c r="Q69" s="71"/>
      <c r="R69" s="71">
        <f>450000/1000</f>
        <v>450</v>
      </c>
      <c r="S69" s="71"/>
      <c r="T69" s="71">
        <f>170000/1000</f>
        <v>170</v>
      </c>
      <c r="U69" s="71"/>
      <c r="V69" s="71">
        <f>200000/1000</f>
        <v>200</v>
      </c>
      <c r="W69" s="71"/>
      <c r="X69" s="71">
        <f>200000/1000</f>
        <v>200</v>
      </c>
      <c r="Y69" s="71"/>
      <c r="Z69" s="71">
        <f>470000/1000</f>
        <v>470</v>
      </c>
      <c r="AA69" s="71"/>
      <c r="AB69" s="71">
        <f>450000/1000</f>
        <v>450</v>
      </c>
      <c r="AC69" s="71"/>
      <c r="AD69" s="71">
        <f>905500/1000</f>
        <v>905.5</v>
      </c>
      <c r="AE69" s="71"/>
      <c r="AF69" s="132"/>
      <c r="AG69" s="91">
        <f>C69-E69</f>
        <v>329.24</v>
      </c>
      <c r="AH69" s="36"/>
    </row>
    <row r="70" spans="1:34" s="35" customFormat="1">
      <c r="A70" s="150" t="s">
        <v>141</v>
      </c>
      <c r="B70" s="80">
        <f>B72+B71</f>
        <v>8537.5000999999993</v>
      </c>
      <c r="C70" s="80">
        <f>C72+C71</f>
        <v>998.14200000000005</v>
      </c>
      <c r="D70" s="80">
        <f>D72+D71</f>
        <v>998.14200000000005</v>
      </c>
      <c r="E70" s="80">
        <f>E72+E71</f>
        <v>610.76</v>
      </c>
      <c r="F70" s="79">
        <f>E70/B70</f>
        <v>7.1538505750647088E-2</v>
      </c>
      <c r="G70" s="79">
        <f>E70/C70</f>
        <v>0.61189690444846523</v>
      </c>
      <c r="H70" s="69">
        <f t="shared" ref="H70:AE70" si="24">H72+H71</f>
        <v>0</v>
      </c>
      <c r="I70" s="69">
        <f t="shared" si="24"/>
        <v>0</v>
      </c>
      <c r="J70" s="69">
        <f t="shared" si="24"/>
        <v>470</v>
      </c>
      <c r="K70" s="69">
        <f>K72+K71</f>
        <v>141.06</v>
      </c>
      <c r="L70" s="69">
        <f t="shared" si="24"/>
        <v>528.14200000000005</v>
      </c>
      <c r="M70" s="69">
        <f t="shared" si="24"/>
        <v>469.7</v>
      </c>
      <c r="N70" s="69">
        <f t="shared" si="24"/>
        <v>688.2924999999999</v>
      </c>
      <c r="O70" s="69">
        <f t="shared" si="24"/>
        <v>0</v>
      </c>
      <c r="P70" s="69">
        <f t="shared" si="24"/>
        <v>813.68560000000002</v>
      </c>
      <c r="Q70" s="69">
        <f t="shared" si="24"/>
        <v>0</v>
      </c>
      <c r="R70" s="69">
        <f t="shared" si="24"/>
        <v>1022.1775</v>
      </c>
      <c r="S70" s="69">
        <f t="shared" si="24"/>
        <v>0</v>
      </c>
      <c r="T70" s="69">
        <f>T72+T71</f>
        <v>1132.3634999999999</v>
      </c>
      <c r="U70" s="69">
        <f>U72+U71</f>
        <v>0</v>
      </c>
      <c r="V70" s="69">
        <f t="shared" si="24"/>
        <v>1078.3499999999999</v>
      </c>
      <c r="W70" s="69">
        <f t="shared" si="24"/>
        <v>0</v>
      </c>
      <c r="X70" s="69">
        <f t="shared" si="24"/>
        <v>624.40499999999997</v>
      </c>
      <c r="Y70" s="69">
        <f t="shared" si="24"/>
        <v>0</v>
      </c>
      <c r="Z70" s="69">
        <f t="shared" si="24"/>
        <v>758.32500000000005</v>
      </c>
      <c r="AA70" s="69">
        <f t="shared" si="24"/>
        <v>0</v>
      </c>
      <c r="AB70" s="69">
        <f t="shared" si="24"/>
        <v>516.25900000000001</v>
      </c>
      <c r="AC70" s="69">
        <f t="shared" si="24"/>
        <v>0</v>
      </c>
      <c r="AD70" s="69">
        <f t="shared" si="24"/>
        <v>905.5</v>
      </c>
      <c r="AE70" s="69">
        <f t="shared" si="24"/>
        <v>0</v>
      </c>
      <c r="AF70" s="69"/>
      <c r="AH70" s="36"/>
    </row>
    <row r="71" spans="1:34" s="35" customFormat="1">
      <c r="A71" s="77" t="s">
        <v>104</v>
      </c>
      <c r="B71" s="175">
        <f>B65</f>
        <v>1466.8</v>
      </c>
      <c r="C71" s="176">
        <f>C65</f>
        <v>0</v>
      </c>
      <c r="D71" s="176">
        <f>D65</f>
        <v>0</v>
      </c>
      <c r="E71" s="176">
        <f>E65</f>
        <v>0</v>
      </c>
      <c r="F71" s="81">
        <f>E71/B71</f>
        <v>0</v>
      </c>
      <c r="G71" s="81">
        <v>0</v>
      </c>
      <c r="H71" s="175">
        <f>H65</f>
        <v>0</v>
      </c>
      <c r="I71" s="175">
        <f t="shared" ref="I71:AE71" si="25">I65</f>
        <v>0</v>
      </c>
      <c r="J71" s="175">
        <f>J65</f>
        <v>0</v>
      </c>
      <c r="K71" s="175">
        <f t="shared" si="25"/>
        <v>0</v>
      </c>
      <c r="L71" s="175">
        <f t="shared" ref="L71:AA71" si="26">L65</f>
        <v>0</v>
      </c>
      <c r="M71" s="175">
        <f t="shared" si="26"/>
        <v>0</v>
      </c>
      <c r="N71" s="175">
        <f t="shared" si="26"/>
        <v>138.66999999999999</v>
      </c>
      <c r="O71" s="175">
        <f t="shared" si="26"/>
        <v>0</v>
      </c>
      <c r="P71" s="175">
        <f t="shared" si="26"/>
        <v>138.66900000000001</v>
      </c>
      <c r="Q71" s="175">
        <f t="shared" si="26"/>
        <v>0</v>
      </c>
      <c r="R71" s="175">
        <f t="shared" si="26"/>
        <v>277.33999999999997</v>
      </c>
      <c r="S71" s="175">
        <f t="shared" si="26"/>
        <v>0</v>
      </c>
      <c r="T71" s="175">
        <f t="shared" si="26"/>
        <v>480.72399999999999</v>
      </c>
      <c r="U71" s="175">
        <f t="shared" si="26"/>
        <v>0</v>
      </c>
      <c r="V71" s="175">
        <f t="shared" si="26"/>
        <v>431.39699999999999</v>
      </c>
      <c r="W71" s="175">
        <f t="shared" si="26"/>
        <v>0</v>
      </c>
      <c r="X71" s="175">
        <f t="shared" si="26"/>
        <v>0</v>
      </c>
      <c r="Y71" s="175">
        <f t="shared" si="26"/>
        <v>0</v>
      </c>
      <c r="Z71" s="175">
        <f t="shared" si="26"/>
        <v>0</v>
      </c>
      <c r="AA71" s="175">
        <f t="shared" si="26"/>
        <v>0</v>
      </c>
      <c r="AB71" s="175">
        <f t="shared" si="25"/>
        <v>0</v>
      </c>
      <c r="AC71" s="175">
        <f t="shared" si="25"/>
        <v>0</v>
      </c>
      <c r="AD71" s="175">
        <f t="shared" si="25"/>
        <v>0</v>
      </c>
      <c r="AE71" s="175">
        <f t="shared" si="25"/>
        <v>0</v>
      </c>
      <c r="AF71" s="176"/>
      <c r="AH71" s="36"/>
    </row>
    <row r="72" spans="1:34" s="33" customFormat="1" ht="26.25" customHeight="1">
      <c r="A72" s="77" t="s">
        <v>105</v>
      </c>
      <c r="B72" s="71">
        <f>B66+B69</f>
        <v>7070.7001</v>
      </c>
      <c r="C72" s="71">
        <f>C66+C69</f>
        <v>998.14200000000005</v>
      </c>
      <c r="D72" s="71">
        <f>D66+D69</f>
        <v>998.14200000000005</v>
      </c>
      <c r="E72" s="71">
        <f>E66+E69</f>
        <v>610.76</v>
      </c>
      <c r="F72" s="81">
        <f>E72/B72</f>
        <v>8.6378999443067872E-2</v>
      </c>
      <c r="G72" s="81">
        <f>E72/C72</f>
        <v>0.61189690444846523</v>
      </c>
      <c r="H72" s="71">
        <f t="shared" ref="H72:AE72" si="27">H66+H69</f>
        <v>0</v>
      </c>
      <c r="I72" s="71">
        <f t="shared" si="27"/>
        <v>0</v>
      </c>
      <c r="J72" s="71">
        <f t="shared" si="27"/>
        <v>470</v>
      </c>
      <c r="K72" s="71">
        <f t="shared" si="27"/>
        <v>141.06</v>
      </c>
      <c r="L72" s="71">
        <f t="shared" si="27"/>
        <v>528.14200000000005</v>
      </c>
      <c r="M72" s="71">
        <f t="shared" si="27"/>
        <v>469.7</v>
      </c>
      <c r="N72" s="71">
        <f t="shared" si="27"/>
        <v>549.62249999999995</v>
      </c>
      <c r="O72" s="71">
        <f t="shared" si="27"/>
        <v>0</v>
      </c>
      <c r="P72" s="71">
        <f t="shared" si="27"/>
        <v>675.01660000000004</v>
      </c>
      <c r="Q72" s="71">
        <f t="shared" si="27"/>
        <v>0</v>
      </c>
      <c r="R72" s="71">
        <f t="shared" si="27"/>
        <v>744.83749999999998</v>
      </c>
      <c r="S72" s="71">
        <f t="shared" si="27"/>
        <v>0</v>
      </c>
      <c r="T72" s="71">
        <f t="shared" si="27"/>
        <v>651.6395</v>
      </c>
      <c r="U72" s="71">
        <f t="shared" si="27"/>
        <v>0</v>
      </c>
      <c r="V72" s="71">
        <f t="shared" si="27"/>
        <v>646.95299999999997</v>
      </c>
      <c r="W72" s="71">
        <f t="shared" si="27"/>
        <v>0</v>
      </c>
      <c r="X72" s="71">
        <f t="shared" si="27"/>
        <v>624.40499999999997</v>
      </c>
      <c r="Y72" s="71">
        <f t="shared" si="27"/>
        <v>0</v>
      </c>
      <c r="Z72" s="71">
        <f t="shared" si="27"/>
        <v>758.32500000000005</v>
      </c>
      <c r="AA72" s="71">
        <f t="shared" si="27"/>
        <v>0</v>
      </c>
      <c r="AB72" s="71">
        <f t="shared" si="27"/>
        <v>516.25900000000001</v>
      </c>
      <c r="AC72" s="71">
        <f t="shared" si="27"/>
        <v>0</v>
      </c>
      <c r="AD72" s="71">
        <f t="shared" si="27"/>
        <v>905.5</v>
      </c>
      <c r="AE72" s="71">
        <f t="shared" si="27"/>
        <v>0</v>
      </c>
      <c r="AF72" s="71"/>
      <c r="AH72" s="34"/>
    </row>
    <row r="73" spans="1:34" s="35" customFormat="1" ht="122.25" customHeight="1">
      <c r="A73" s="143" t="s">
        <v>134</v>
      </c>
      <c r="B73" s="71"/>
      <c r="C73" s="69"/>
      <c r="D73" s="69"/>
      <c r="E73" s="69"/>
      <c r="F73" s="70"/>
      <c r="G73" s="70"/>
      <c r="H73" s="69"/>
      <c r="I73" s="69"/>
      <c r="J73" s="69"/>
      <c r="K73" s="69"/>
      <c r="L73" s="69"/>
      <c r="M73" s="69"/>
      <c r="N73" s="69"/>
      <c r="O73" s="69"/>
      <c r="P73" s="69"/>
      <c r="Q73" s="69"/>
      <c r="R73" s="69"/>
      <c r="S73" s="69"/>
      <c r="T73" s="69"/>
      <c r="U73" s="69"/>
      <c r="V73" s="69"/>
      <c r="W73" s="69"/>
      <c r="X73" s="69"/>
      <c r="Y73" s="69"/>
      <c r="Z73" s="69"/>
      <c r="AA73" s="69"/>
      <c r="AB73" s="69"/>
      <c r="AC73" s="69"/>
      <c r="AD73" s="69"/>
      <c r="AE73" s="153"/>
      <c r="AF73" s="93" t="s">
        <v>142</v>
      </c>
      <c r="AH73" s="36"/>
    </row>
    <row r="74" spans="1:34" s="35" customFormat="1">
      <c r="A74" s="150" t="s">
        <v>25</v>
      </c>
      <c r="B74" s="80">
        <f>B75</f>
        <v>0</v>
      </c>
      <c r="C74" s="80">
        <f>C75</f>
        <v>0</v>
      </c>
      <c r="D74" s="80">
        <f>D75</f>
        <v>0</v>
      </c>
      <c r="E74" s="80">
        <f t="shared" ref="E74:AE74" si="28">E75</f>
        <v>0</v>
      </c>
      <c r="F74" s="79">
        <f t="shared" si="28"/>
        <v>0</v>
      </c>
      <c r="G74" s="79">
        <v>0</v>
      </c>
      <c r="H74" s="80">
        <f t="shared" si="28"/>
        <v>0</v>
      </c>
      <c r="I74" s="80">
        <f t="shared" si="28"/>
        <v>0</v>
      </c>
      <c r="J74" s="80">
        <f t="shared" si="28"/>
        <v>0</v>
      </c>
      <c r="K74" s="80">
        <f t="shared" si="28"/>
        <v>0</v>
      </c>
      <c r="L74" s="80">
        <f t="shared" si="28"/>
        <v>0</v>
      </c>
      <c r="M74" s="80">
        <f t="shared" si="28"/>
        <v>0</v>
      </c>
      <c r="N74" s="80">
        <f t="shared" si="28"/>
        <v>0</v>
      </c>
      <c r="O74" s="80">
        <f t="shared" si="28"/>
        <v>0</v>
      </c>
      <c r="P74" s="80">
        <f t="shared" si="28"/>
        <v>0</v>
      </c>
      <c r="Q74" s="80">
        <f t="shared" si="28"/>
        <v>0</v>
      </c>
      <c r="R74" s="80">
        <f t="shared" si="28"/>
        <v>0</v>
      </c>
      <c r="S74" s="80">
        <f t="shared" si="28"/>
        <v>0</v>
      </c>
      <c r="T74" s="80">
        <f t="shared" si="28"/>
        <v>0</v>
      </c>
      <c r="U74" s="80">
        <f t="shared" si="28"/>
        <v>0</v>
      </c>
      <c r="V74" s="80">
        <f t="shared" si="28"/>
        <v>0</v>
      </c>
      <c r="W74" s="80">
        <f t="shared" si="28"/>
        <v>0</v>
      </c>
      <c r="X74" s="80">
        <f t="shared" si="28"/>
        <v>0</v>
      </c>
      <c r="Y74" s="80">
        <f t="shared" si="28"/>
        <v>0</v>
      </c>
      <c r="Z74" s="80">
        <f t="shared" si="28"/>
        <v>0</v>
      </c>
      <c r="AA74" s="80">
        <f t="shared" si="28"/>
        <v>0</v>
      </c>
      <c r="AB74" s="80">
        <f t="shared" si="28"/>
        <v>0</v>
      </c>
      <c r="AC74" s="80">
        <f t="shared" si="28"/>
        <v>0</v>
      </c>
      <c r="AD74" s="80">
        <f t="shared" si="28"/>
        <v>0</v>
      </c>
      <c r="AE74" s="80">
        <f t="shared" si="28"/>
        <v>0</v>
      </c>
      <c r="AF74" s="80"/>
      <c r="AH74" s="36"/>
    </row>
    <row r="75" spans="1:34" s="35" customFormat="1" ht="21" customHeight="1">
      <c r="A75" s="76" t="s">
        <v>104</v>
      </c>
      <c r="B75" s="71">
        <f>H75+J75+L75+N75+P75+R75+T75+V75+X75+Z75+AB75+AD75</f>
        <v>0</v>
      </c>
      <c r="C75" s="68">
        <f>H75+J75+L75+N75+P75+R75+T75+V75+X75</f>
        <v>0</v>
      </c>
      <c r="D75" s="68">
        <f>H75+J75+L75+N75+P75+R75+T75+V75</f>
        <v>0</v>
      </c>
      <c r="E75" s="68">
        <f>I75+K75+M75+O75+Q75+S75+U75+W75+Y75+AA75+AC75+AE75</f>
        <v>0</v>
      </c>
      <c r="F75" s="81">
        <v>0</v>
      </c>
      <c r="G75" s="81">
        <v>0</v>
      </c>
      <c r="H75" s="68">
        <v>0</v>
      </c>
      <c r="I75" s="68">
        <v>0</v>
      </c>
      <c r="J75" s="68">
        <v>0</v>
      </c>
      <c r="K75" s="68">
        <v>0</v>
      </c>
      <c r="L75" s="68">
        <v>0</v>
      </c>
      <c r="M75" s="68">
        <v>0</v>
      </c>
      <c r="N75" s="68">
        <v>0</v>
      </c>
      <c r="O75" s="68">
        <v>0</v>
      </c>
      <c r="P75" s="68">
        <v>0</v>
      </c>
      <c r="Q75" s="68">
        <v>0</v>
      </c>
      <c r="R75" s="68">
        <v>0</v>
      </c>
      <c r="S75" s="68">
        <v>0</v>
      </c>
      <c r="T75" s="68">
        <v>0</v>
      </c>
      <c r="U75" s="68">
        <v>0</v>
      </c>
      <c r="V75" s="68">
        <v>0</v>
      </c>
      <c r="W75" s="68">
        <v>0</v>
      </c>
      <c r="X75" s="68">
        <v>0</v>
      </c>
      <c r="Y75" s="68">
        <v>0</v>
      </c>
      <c r="Z75" s="68">
        <v>0</v>
      </c>
      <c r="AA75" s="68">
        <v>0</v>
      </c>
      <c r="AB75" s="68">
        <v>0</v>
      </c>
      <c r="AC75" s="68">
        <v>0</v>
      </c>
      <c r="AD75" s="68">
        <v>0</v>
      </c>
      <c r="AE75" s="68">
        <v>0</v>
      </c>
      <c r="AF75" s="68"/>
      <c r="AH75" s="36"/>
    </row>
    <row r="76" spans="1:34" s="35" customFormat="1" ht="51" customHeight="1">
      <c r="A76" s="74" t="s">
        <v>115</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40"/>
      <c r="AH76" s="36"/>
    </row>
    <row r="77" spans="1:34" s="35" customFormat="1">
      <c r="A77" s="150" t="s">
        <v>25</v>
      </c>
      <c r="B77" s="80">
        <f>B78+B79</f>
        <v>3144.1000000000004</v>
      </c>
      <c r="C77" s="80">
        <f>C78+C79</f>
        <v>876.60906</v>
      </c>
      <c r="D77" s="80">
        <f>D78+D79</f>
        <v>946.3</v>
      </c>
      <c r="E77" s="80">
        <f>E78+E79</f>
        <v>860.17750999999998</v>
      </c>
      <c r="F77" s="79">
        <f>E77/B77</f>
        <v>0.27358465379599883</v>
      </c>
      <c r="G77" s="79">
        <f>E77/C77</f>
        <v>0.98125555535554243</v>
      </c>
      <c r="H77" s="80">
        <f t="shared" ref="H77" si="29">H78+H79</f>
        <v>524.64462000000003</v>
      </c>
      <c r="I77" s="80">
        <f t="shared" ref="I77" si="30">I78+I79</f>
        <v>484.70751000000001</v>
      </c>
      <c r="J77" s="80">
        <f t="shared" ref="J77" si="31">J78+J79</f>
        <v>249.03572</v>
      </c>
      <c r="K77" s="80">
        <f t="shared" ref="K77" si="32">K78+K79</f>
        <v>285.25</v>
      </c>
      <c r="L77" s="80">
        <f t="shared" ref="L77" si="33">L78+L79</f>
        <v>102.92872</v>
      </c>
      <c r="M77" s="80">
        <f t="shared" ref="M77" si="34">M78+M79</f>
        <v>90.22</v>
      </c>
      <c r="N77" s="80">
        <f t="shared" ref="N77" si="35">N78+N79</f>
        <v>233.56572</v>
      </c>
      <c r="O77" s="80">
        <f t="shared" ref="O77" si="36">O78+O79</f>
        <v>0</v>
      </c>
      <c r="P77" s="80">
        <f t="shared" ref="P77" si="37">P78+P79</f>
        <v>308.98971999999998</v>
      </c>
      <c r="Q77" s="80">
        <f t="shared" ref="Q77" si="38">Q78+Q79</f>
        <v>0</v>
      </c>
      <c r="R77" s="80">
        <f t="shared" ref="R77" si="39">R78+R79</f>
        <v>147.68472</v>
      </c>
      <c r="S77" s="80">
        <f t="shared" ref="S77" si="40">S78+S79</f>
        <v>0</v>
      </c>
      <c r="T77" s="80">
        <f t="shared" ref="T77" si="41">T78+T79</f>
        <v>480.25071999999994</v>
      </c>
      <c r="U77" s="80">
        <f t="shared" ref="U77" si="42">U78+U79</f>
        <v>0</v>
      </c>
      <c r="V77" s="80">
        <f t="shared" ref="V77" si="43">V78+V79</f>
        <v>190.57772</v>
      </c>
      <c r="W77" s="80">
        <f t="shared" ref="W77" si="44">W78+W79</f>
        <v>0</v>
      </c>
      <c r="X77" s="80">
        <f t="shared" ref="X77" si="45">X78+X79</f>
        <v>234.16872000000001</v>
      </c>
      <c r="Y77" s="80">
        <f t="shared" ref="Y77" si="46">Y78+Y79</f>
        <v>0</v>
      </c>
      <c r="Z77" s="80">
        <f t="shared" ref="Z77" si="47">Z78+Z79</f>
        <v>251.24572000000001</v>
      </c>
      <c r="AA77" s="80">
        <f t="shared" ref="AA77" si="48">AA78+AA79</f>
        <v>0</v>
      </c>
      <c r="AB77" s="80">
        <f t="shared" ref="AB77" si="49">AB78+AB79</f>
        <v>139.53971999999999</v>
      </c>
      <c r="AC77" s="80">
        <f t="shared" ref="AC77" si="50">AC78+AC79</f>
        <v>0</v>
      </c>
      <c r="AD77" s="80">
        <f t="shared" ref="AD77" si="51">AD78+AD79</f>
        <v>281.46818000000002</v>
      </c>
      <c r="AE77" s="80">
        <f>AE78+AE79</f>
        <v>0</v>
      </c>
      <c r="AF77" s="80"/>
      <c r="AH77" s="36"/>
    </row>
    <row r="78" spans="1:34" s="35" customFormat="1">
      <c r="A78" s="76" t="s">
        <v>104</v>
      </c>
      <c r="B78" s="71">
        <f>B82</f>
        <v>3144.1000000000004</v>
      </c>
      <c r="C78" s="71">
        <f t="shared" ref="C78:AE78" si="52">C82</f>
        <v>876.60906</v>
      </c>
      <c r="D78" s="71">
        <f t="shared" si="52"/>
        <v>946.3</v>
      </c>
      <c r="E78" s="71">
        <f t="shared" si="52"/>
        <v>860.17750999999998</v>
      </c>
      <c r="F78" s="142">
        <f>E78/B78</f>
        <v>0.27358465379599883</v>
      </c>
      <c r="G78" s="142">
        <f>E78/C78</f>
        <v>0.98125555535554243</v>
      </c>
      <c r="H78" s="71">
        <f t="shared" si="52"/>
        <v>524.64462000000003</v>
      </c>
      <c r="I78" s="71">
        <f t="shared" si="52"/>
        <v>484.70751000000001</v>
      </c>
      <c r="J78" s="71">
        <f t="shared" si="52"/>
        <v>249.03572</v>
      </c>
      <c r="K78" s="71">
        <f t="shared" si="52"/>
        <v>285.25</v>
      </c>
      <c r="L78" s="71">
        <f t="shared" si="52"/>
        <v>102.92872</v>
      </c>
      <c r="M78" s="71">
        <f t="shared" si="52"/>
        <v>90.22</v>
      </c>
      <c r="N78" s="71">
        <f t="shared" si="52"/>
        <v>233.56572</v>
      </c>
      <c r="O78" s="71">
        <f t="shared" si="52"/>
        <v>0</v>
      </c>
      <c r="P78" s="71">
        <f t="shared" si="52"/>
        <v>308.98971999999998</v>
      </c>
      <c r="Q78" s="71">
        <f t="shared" si="52"/>
        <v>0</v>
      </c>
      <c r="R78" s="71">
        <f t="shared" si="52"/>
        <v>147.68472</v>
      </c>
      <c r="S78" s="71">
        <f t="shared" si="52"/>
        <v>0</v>
      </c>
      <c r="T78" s="71">
        <f t="shared" si="52"/>
        <v>480.25071999999994</v>
      </c>
      <c r="U78" s="71">
        <f t="shared" si="52"/>
        <v>0</v>
      </c>
      <c r="V78" s="71">
        <f t="shared" si="52"/>
        <v>190.57772</v>
      </c>
      <c r="W78" s="71">
        <f t="shared" si="52"/>
        <v>0</v>
      </c>
      <c r="X78" s="71">
        <f t="shared" si="52"/>
        <v>234.16872000000001</v>
      </c>
      <c r="Y78" s="71">
        <f t="shared" si="52"/>
        <v>0</v>
      </c>
      <c r="Z78" s="71">
        <f t="shared" si="52"/>
        <v>251.24572000000001</v>
      </c>
      <c r="AA78" s="71">
        <f t="shared" si="52"/>
        <v>0</v>
      </c>
      <c r="AB78" s="71">
        <f t="shared" si="52"/>
        <v>139.53971999999999</v>
      </c>
      <c r="AC78" s="71">
        <f t="shared" si="52"/>
        <v>0</v>
      </c>
      <c r="AD78" s="71">
        <f t="shared" si="52"/>
        <v>281.46818000000002</v>
      </c>
      <c r="AE78" s="71">
        <f t="shared" si="52"/>
        <v>0</v>
      </c>
      <c r="AF78" s="71"/>
      <c r="AH78" s="36"/>
    </row>
    <row r="79" spans="1:34" s="35" customFormat="1">
      <c r="A79" s="76" t="s">
        <v>105</v>
      </c>
      <c r="B79" s="71">
        <f>B85</f>
        <v>0</v>
      </c>
      <c r="C79" s="71">
        <f t="shared" ref="C79:AE79" si="53">C85</f>
        <v>0</v>
      </c>
      <c r="D79" s="71">
        <f t="shared" si="53"/>
        <v>0</v>
      </c>
      <c r="E79" s="71">
        <f t="shared" si="53"/>
        <v>0</v>
      </c>
      <c r="F79" s="142">
        <v>0</v>
      </c>
      <c r="G79" s="142">
        <v>0</v>
      </c>
      <c r="H79" s="71">
        <f t="shared" si="53"/>
        <v>0</v>
      </c>
      <c r="I79" s="71">
        <f t="shared" si="53"/>
        <v>0</v>
      </c>
      <c r="J79" s="71">
        <f t="shared" si="53"/>
        <v>0</v>
      </c>
      <c r="K79" s="71">
        <f t="shared" si="53"/>
        <v>0</v>
      </c>
      <c r="L79" s="71">
        <f t="shared" si="53"/>
        <v>0</v>
      </c>
      <c r="M79" s="71">
        <f t="shared" si="53"/>
        <v>0</v>
      </c>
      <c r="N79" s="71">
        <f t="shared" si="53"/>
        <v>0</v>
      </c>
      <c r="O79" s="71">
        <f t="shared" si="53"/>
        <v>0</v>
      </c>
      <c r="P79" s="71">
        <f t="shared" si="53"/>
        <v>0</v>
      </c>
      <c r="Q79" s="71">
        <f t="shared" si="53"/>
        <v>0</v>
      </c>
      <c r="R79" s="71">
        <f t="shared" si="53"/>
        <v>0</v>
      </c>
      <c r="S79" s="71">
        <f t="shared" si="53"/>
        <v>0</v>
      </c>
      <c r="T79" s="71">
        <f t="shared" si="53"/>
        <v>0</v>
      </c>
      <c r="U79" s="71">
        <f t="shared" si="53"/>
        <v>0</v>
      </c>
      <c r="V79" s="71">
        <f t="shared" si="53"/>
        <v>0</v>
      </c>
      <c r="W79" s="71">
        <f t="shared" si="53"/>
        <v>0</v>
      </c>
      <c r="X79" s="71">
        <f t="shared" si="53"/>
        <v>0</v>
      </c>
      <c r="Y79" s="71">
        <f t="shared" si="53"/>
        <v>0</v>
      </c>
      <c r="Z79" s="71">
        <f t="shared" si="53"/>
        <v>0</v>
      </c>
      <c r="AA79" s="71">
        <f t="shared" si="53"/>
        <v>0</v>
      </c>
      <c r="AB79" s="71">
        <f t="shared" si="53"/>
        <v>0</v>
      </c>
      <c r="AC79" s="71">
        <f t="shared" si="53"/>
        <v>0</v>
      </c>
      <c r="AD79" s="71">
        <f t="shared" si="53"/>
        <v>0</v>
      </c>
      <c r="AE79" s="71">
        <f t="shared" si="53"/>
        <v>0</v>
      </c>
      <c r="AF79" s="71"/>
      <c r="AH79" s="36"/>
    </row>
    <row r="80" spans="1:34" s="35" customFormat="1" ht="100.5" customHeight="1">
      <c r="A80" s="143" t="s">
        <v>135</v>
      </c>
      <c r="B80" s="71"/>
      <c r="C80" s="69"/>
      <c r="D80" s="69"/>
      <c r="E80" s="69"/>
      <c r="F80" s="70"/>
      <c r="G80" s="70"/>
      <c r="H80" s="69"/>
      <c r="I80" s="69"/>
      <c r="J80" s="69"/>
      <c r="K80" s="69"/>
      <c r="L80" s="69"/>
      <c r="M80" s="69"/>
      <c r="N80" s="69"/>
      <c r="O80" s="69"/>
      <c r="P80" s="69"/>
      <c r="Q80" s="69"/>
      <c r="R80" s="69"/>
      <c r="S80" s="69"/>
      <c r="T80" s="69"/>
      <c r="U80" s="69"/>
      <c r="V80" s="69"/>
      <c r="W80" s="69"/>
      <c r="X80" s="69"/>
      <c r="Y80" s="69"/>
      <c r="Z80" s="69"/>
      <c r="AA80" s="69"/>
      <c r="AB80" s="69"/>
      <c r="AC80" s="69"/>
      <c r="AD80" s="69"/>
      <c r="AE80" s="153"/>
      <c r="AF80" s="132" t="s">
        <v>155</v>
      </c>
      <c r="AG80" s="91">
        <f>C81-E81</f>
        <v>16.431550000000016</v>
      </c>
      <c r="AH80" s="36"/>
    </row>
    <row r="81" spans="1:34" s="35" customFormat="1">
      <c r="A81" s="150" t="s">
        <v>25</v>
      </c>
      <c r="B81" s="80">
        <f>B82</f>
        <v>3144.1000000000004</v>
      </c>
      <c r="C81" s="80">
        <f>C82</f>
        <v>876.60906</v>
      </c>
      <c r="D81" s="80">
        <f>D82</f>
        <v>946.3</v>
      </c>
      <c r="E81" s="80">
        <f>E82</f>
        <v>860.17750999999998</v>
      </c>
      <c r="F81" s="79">
        <f>E81/B81</f>
        <v>0.27358465379599883</v>
      </c>
      <c r="G81" s="79">
        <f>E81/C81</f>
        <v>0.98125555535554243</v>
      </c>
      <c r="H81" s="80">
        <f t="shared" ref="H81:AE81" si="54">H82</f>
        <v>524.64462000000003</v>
      </c>
      <c r="I81" s="80">
        <f t="shared" si="54"/>
        <v>484.70751000000001</v>
      </c>
      <c r="J81" s="80">
        <f t="shared" si="54"/>
        <v>249.03572</v>
      </c>
      <c r="K81" s="80">
        <f t="shared" si="54"/>
        <v>285.25</v>
      </c>
      <c r="L81" s="80">
        <f t="shared" si="54"/>
        <v>102.92872</v>
      </c>
      <c r="M81" s="80">
        <f t="shared" si="54"/>
        <v>90.22</v>
      </c>
      <c r="N81" s="80">
        <f t="shared" si="54"/>
        <v>233.56572</v>
      </c>
      <c r="O81" s="80">
        <f t="shared" si="54"/>
        <v>0</v>
      </c>
      <c r="P81" s="80">
        <f t="shared" si="54"/>
        <v>308.98971999999998</v>
      </c>
      <c r="Q81" s="80">
        <f t="shared" si="54"/>
        <v>0</v>
      </c>
      <c r="R81" s="80">
        <f t="shared" si="54"/>
        <v>147.68472</v>
      </c>
      <c r="S81" s="80">
        <f t="shared" si="54"/>
        <v>0</v>
      </c>
      <c r="T81" s="80">
        <f t="shared" si="54"/>
        <v>480.25071999999994</v>
      </c>
      <c r="U81" s="80">
        <f t="shared" si="54"/>
        <v>0</v>
      </c>
      <c r="V81" s="80">
        <f t="shared" si="54"/>
        <v>190.57772</v>
      </c>
      <c r="W81" s="80">
        <f t="shared" si="54"/>
        <v>0</v>
      </c>
      <c r="X81" s="80">
        <f t="shared" si="54"/>
        <v>234.16872000000001</v>
      </c>
      <c r="Y81" s="80">
        <f t="shared" si="54"/>
        <v>0</v>
      </c>
      <c r="Z81" s="80">
        <f t="shared" si="54"/>
        <v>251.24572000000001</v>
      </c>
      <c r="AA81" s="80">
        <f t="shared" si="54"/>
        <v>0</v>
      </c>
      <c r="AB81" s="80">
        <f t="shared" si="54"/>
        <v>139.53971999999999</v>
      </c>
      <c r="AC81" s="80">
        <f t="shared" si="54"/>
        <v>0</v>
      </c>
      <c r="AD81" s="80">
        <f t="shared" si="54"/>
        <v>281.46818000000002</v>
      </c>
      <c r="AE81" s="80">
        <f t="shared" si="54"/>
        <v>0</v>
      </c>
      <c r="AF81" s="132"/>
      <c r="AH81" s="36"/>
    </row>
    <row r="82" spans="1:34" s="35" customFormat="1" ht="38.25" customHeight="1">
      <c r="A82" s="77" t="s">
        <v>104</v>
      </c>
      <c r="B82" s="71">
        <f>H82+J82+L82+N82+P82+R82+T82+V82+X82+Z82+AB82+AD82</f>
        <v>3144.1000000000004</v>
      </c>
      <c r="C82" s="68">
        <f>H82+J82+L82</f>
        <v>876.60906</v>
      </c>
      <c r="D82" s="68">
        <v>946.3</v>
      </c>
      <c r="E82" s="68">
        <f>I82+K82+M82</f>
        <v>860.17750999999998</v>
      </c>
      <c r="F82" s="81">
        <f>E82/B82</f>
        <v>0.27358465379599883</v>
      </c>
      <c r="G82" s="81">
        <f>E82/C82</f>
        <v>0.98125555535554243</v>
      </c>
      <c r="H82" s="68">
        <f>524644.62/1000</f>
        <v>524.64462000000003</v>
      </c>
      <c r="I82" s="68">
        <f>484707.51/1000</f>
        <v>484.70751000000001</v>
      </c>
      <c r="J82" s="68">
        <f>249035.72/1000</f>
        <v>249.03572</v>
      </c>
      <c r="K82" s="68">
        <v>285.25</v>
      </c>
      <c r="L82" s="68">
        <f>102928.72/1000</f>
        <v>102.92872</v>
      </c>
      <c r="M82" s="68">
        <v>90.22</v>
      </c>
      <c r="N82" s="68">
        <f>233565.72/1000</f>
        <v>233.56572</v>
      </c>
      <c r="O82" s="68"/>
      <c r="P82" s="68">
        <f>308989.72/1000</f>
        <v>308.98971999999998</v>
      </c>
      <c r="Q82" s="68"/>
      <c r="R82" s="68">
        <f>147684.72/1000</f>
        <v>147.68472</v>
      </c>
      <c r="S82" s="68"/>
      <c r="T82" s="68">
        <f>480250.72/1000</f>
        <v>480.25071999999994</v>
      </c>
      <c r="U82" s="68"/>
      <c r="V82" s="68">
        <f>190577.72/1000</f>
        <v>190.57772</v>
      </c>
      <c r="W82" s="68"/>
      <c r="X82" s="68">
        <f>234168.72/1000</f>
        <v>234.16872000000001</v>
      </c>
      <c r="Y82" s="68"/>
      <c r="Z82" s="68">
        <f>251245.72/1000</f>
        <v>251.24572000000001</v>
      </c>
      <c r="AA82" s="68"/>
      <c r="AB82" s="68">
        <f>139539.72/1000</f>
        <v>139.53971999999999</v>
      </c>
      <c r="AC82" s="68"/>
      <c r="AD82" s="68">
        <f>281468.18/1000</f>
        <v>281.46818000000002</v>
      </c>
      <c r="AE82" s="68"/>
      <c r="AF82" s="132"/>
      <c r="AG82" s="91"/>
      <c r="AH82" s="36"/>
    </row>
    <row r="83" spans="1:34" s="35" customFormat="1" ht="92.25" customHeight="1">
      <c r="A83" s="143" t="s">
        <v>136</v>
      </c>
      <c r="B83" s="71">
        <v>0</v>
      </c>
      <c r="C83" s="68">
        <v>0</v>
      </c>
      <c r="D83" s="69"/>
      <c r="E83" s="69">
        <v>0</v>
      </c>
      <c r="F83" s="70">
        <v>0</v>
      </c>
      <c r="G83" s="70">
        <v>0</v>
      </c>
      <c r="H83" s="69">
        <v>0</v>
      </c>
      <c r="I83" s="69">
        <v>0</v>
      </c>
      <c r="J83" s="69">
        <v>0</v>
      </c>
      <c r="K83" s="69">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69">
        <v>0</v>
      </c>
      <c r="AC83" s="69">
        <v>0</v>
      </c>
      <c r="AD83" s="69">
        <v>0</v>
      </c>
      <c r="AE83" s="153"/>
      <c r="AF83" s="95"/>
      <c r="AH83" s="36"/>
    </row>
    <row r="84" spans="1:34" s="35" customFormat="1">
      <c r="A84" s="150" t="s">
        <v>25</v>
      </c>
      <c r="B84" s="80">
        <f>B85</f>
        <v>0</v>
      </c>
      <c r="C84" s="80">
        <f t="shared" ref="C84:E84" si="55">C85</f>
        <v>0</v>
      </c>
      <c r="D84" s="80">
        <f t="shared" si="55"/>
        <v>0</v>
      </c>
      <c r="E84" s="80">
        <f t="shared" si="55"/>
        <v>0</v>
      </c>
      <c r="F84" s="79">
        <v>0</v>
      </c>
      <c r="G84" s="79">
        <v>0</v>
      </c>
      <c r="H84" s="80">
        <f>H85</f>
        <v>0</v>
      </c>
      <c r="I84" s="80">
        <f t="shared" ref="I84:AD84" si="56">I85</f>
        <v>0</v>
      </c>
      <c r="J84" s="80">
        <f t="shared" si="56"/>
        <v>0</v>
      </c>
      <c r="K84" s="80">
        <f t="shared" si="56"/>
        <v>0</v>
      </c>
      <c r="L84" s="80">
        <f t="shared" si="56"/>
        <v>0</v>
      </c>
      <c r="M84" s="80">
        <f t="shared" si="56"/>
        <v>0</v>
      </c>
      <c r="N84" s="80">
        <f>N85</f>
        <v>0</v>
      </c>
      <c r="O84" s="80">
        <f t="shared" si="56"/>
        <v>0</v>
      </c>
      <c r="P84" s="80">
        <f t="shared" si="56"/>
        <v>0</v>
      </c>
      <c r="Q84" s="80">
        <f t="shared" si="56"/>
        <v>0</v>
      </c>
      <c r="R84" s="80">
        <f t="shared" si="56"/>
        <v>0</v>
      </c>
      <c r="S84" s="80">
        <f t="shared" si="56"/>
        <v>0</v>
      </c>
      <c r="T84" s="80">
        <f t="shared" si="56"/>
        <v>0</v>
      </c>
      <c r="U84" s="80">
        <f t="shared" si="56"/>
        <v>0</v>
      </c>
      <c r="V84" s="80">
        <f t="shared" si="56"/>
        <v>0</v>
      </c>
      <c r="W84" s="80">
        <f t="shared" si="56"/>
        <v>0</v>
      </c>
      <c r="X84" s="80">
        <f t="shared" si="56"/>
        <v>0</v>
      </c>
      <c r="Y84" s="80">
        <f t="shared" si="56"/>
        <v>0</v>
      </c>
      <c r="Z84" s="80">
        <f t="shared" si="56"/>
        <v>0</v>
      </c>
      <c r="AA84" s="80">
        <f t="shared" si="56"/>
        <v>0</v>
      </c>
      <c r="AB84" s="80">
        <f t="shared" si="56"/>
        <v>0</v>
      </c>
      <c r="AC84" s="80">
        <f t="shared" si="56"/>
        <v>0</v>
      </c>
      <c r="AD84" s="80">
        <f t="shared" si="56"/>
        <v>0</v>
      </c>
      <c r="AE84" s="177">
        <f t="shared" ref="AE84" si="57">AE85</f>
        <v>0</v>
      </c>
      <c r="AF84" s="178"/>
      <c r="AH84" s="36"/>
    </row>
    <row r="85" spans="1:34" s="35" customFormat="1" ht="18.75" customHeight="1">
      <c r="A85" s="76" t="s">
        <v>105</v>
      </c>
      <c r="B85" s="71">
        <f>H85+J85+L85+N85+P85+R85+T85+V85+X85+Z85+AB85+AD85</f>
        <v>0</v>
      </c>
      <c r="C85" s="68">
        <f>H85+J85+L85+N85+P85+R85+T85+V85</f>
        <v>0</v>
      </c>
      <c r="D85" s="68"/>
      <c r="E85" s="68">
        <f>I85+K85+M85+O85+Q85+S85+U85+W85+Y85+AA85+AC85+AE85</f>
        <v>0</v>
      </c>
      <c r="F85" s="81">
        <v>0</v>
      </c>
      <c r="G85" s="81">
        <v>0</v>
      </c>
      <c r="H85" s="68">
        <v>0</v>
      </c>
      <c r="I85" s="68">
        <v>0</v>
      </c>
      <c r="J85" s="68">
        <v>0</v>
      </c>
      <c r="K85" s="68">
        <v>0</v>
      </c>
      <c r="L85" s="68">
        <v>0</v>
      </c>
      <c r="M85" s="68">
        <v>0</v>
      </c>
      <c r="N85" s="68">
        <v>0</v>
      </c>
      <c r="O85" s="68">
        <v>0</v>
      </c>
      <c r="P85" s="68">
        <v>0</v>
      </c>
      <c r="Q85" s="68">
        <v>0</v>
      </c>
      <c r="R85" s="68">
        <v>0</v>
      </c>
      <c r="S85" s="68">
        <v>0</v>
      </c>
      <c r="T85" s="68">
        <v>0</v>
      </c>
      <c r="U85" s="68">
        <v>0</v>
      </c>
      <c r="V85" s="68">
        <v>0</v>
      </c>
      <c r="W85" s="68">
        <v>0</v>
      </c>
      <c r="X85" s="68">
        <v>0</v>
      </c>
      <c r="Y85" s="68">
        <v>0</v>
      </c>
      <c r="Z85" s="68">
        <v>0</v>
      </c>
      <c r="AA85" s="68">
        <v>0</v>
      </c>
      <c r="AB85" s="68">
        <v>0</v>
      </c>
      <c r="AC85" s="68">
        <v>0</v>
      </c>
      <c r="AD85" s="68">
        <v>0</v>
      </c>
      <c r="AE85" s="68">
        <v>0</v>
      </c>
      <c r="AF85" s="68"/>
      <c r="AH85" s="36"/>
    </row>
    <row r="86" spans="1:34" s="35" customFormat="1" ht="75" customHeight="1">
      <c r="A86" s="143" t="s">
        <v>137</v>
      </c>
      <c r="B86" s="71"/>
      <c r="C86" s="69"/>
      <c r="D86" s="69"/>
      <c r="E86" s="69"/>
      <c r="F86" s="70"/>
      <c r="G86" s="70"/>
      <c r="H86" s="69"/>
      <c r="I86" s="69"/>
      <c r="J86" s="69"/>
      <c r="K86" s="69"/>
      <c r="L86" s="69"/>
      <c r="M86" s="69"/>
      <c r="N86" s="69"/>
      <c r="O86" s="69"/>
      <c r="P86" s="69"/>
      <c r="Q86" s="69"/>
      <c r="R86" s="69"/>
      <c r="S86" s="69"/>
      <c r="T86" s="69"/>
      <c r="U86" s="69"/>
      <c r="V86" s="69"/>
      <c r="W86" s="69"/>
      <c r="X86" s="69"/>
      <c r="Y86" s="69"/>
      <c r="Z86" s="69"/>
      <c r="AA86" s="69"/>
      <c r="AB86" s="69"/>
      <c r="AC86" s="69"/>
      <c r="AD86" s="69"/>
      <c r="AE86" s="153"/>
      <c r="AF86" s="95" t="s">
        <v>143</v>
      </c>
      <c r="AH86" s="36"/>
    </row>
    <row r="87" spans="1:34" s="35" customFormat="1">
      <c r="A87" s="150" t="s">
        <v>25</v>
      </c>
      <c r="B87" s="80">
        <f>B88</f>
        <v>0</v>
      </c>
      <c r="C87" s="80">
        <f>C88</f>
        <v>0</v>
      </c>
      <c r="D87" s="80">
        <f>D88</f>
        <v>0</v>
      </c>
      <c r="E87" s="80">
        <f>E88</f>
        <v>0</v>
      </c>
      <c r="F87" s="79">
        <f t="shared" ref="F87:AE87" si="58">F88</f>
        <v>0</v>
      </c>
      <c r="G87" s="79">
        <v>0</v>
      </c>
      <c r="H87" s="80">
        <f t="shared" si="58"/>
        <v>0</v>
      </c>
      <c r="I87" s="80">
        <f t="shared" si="58"/>
        <v>0</v>
      </c>
      <c r="J87" s="80">
        <f t="shared" si="58"/>
        <v>0</v>
      </c>
      <c r="K87" s="80">
        <f t="shared" si="58"/>
        <v>0</v>
      </c>
      <c r="L87" s="80">
        <f t="shared" si="58"/>
        <v>0</v>
      </c>
      <c r="M87" s="80">
        <f t="shared" si="58"/>
        <v>0</v>
      </c>
      <c r="N87" s="80">
        <f t="shared" si="58"/>
        <v>0</v>
      </c>
      <c r="O87" s="80">
        <f t="shared" si="58"/>
        <v>0</v>
      </c>
      <c r="P87" s="80">
        <f t="shared" si="58"/>
        <v>0</v>
      </c>
      <c r="Q87" s="80">
        <f t="shared" si="58"/>
        <v>0</v>
      </c>
      <c r="R87" s="80">
        <f t="shared" si="58"/>
        <v>0</v>
      </c>
      <c r="S87" s="80">
        <f t="shared" si="58"/>
        <v>0</v>
      </c>
      <c r="T87" s="80">
        <f t="shared" si="58"/>
        <v>0</v>
      </c>
      <c r="U87" s="80">
        <f t="shared" si="58"/>
        <v>0</v>
      </c>
      <c r="V87" s="80">
        <f t="shared" si="58"/>
        <v>0</v>
      </c>
      <c r="W87" s="80">
        <f t="shared" si="58"/>
        <v>0</v>
      </c>
      <c r="X87" s="80">
        <f t="shared" si="58"/>
        <v>0</v>
      </c>
      <c r="Y87" s="80">
        <f t="shared" si="58"/>
        <v>0</v>
      </c>
      <c r="Z87" s="80">
        <f t="shared" si="58"/>
        <v>0</v>
      </c>
      <c r="AA87" s="80">
        <f t="shared" si="58"/>
        <v>0</v>
      </c>
      <c r="AB87" s="80">
        <f t="shared" si="58"/>
        <v>0</v>
      </c>
      <c r="AC87" s="80">
        <f t="shared" si="58"/>
        <v>0</v>
      </c>
      <c r="AD87" s="80">
        <f t="shared" si="58"/>
        <v>0</v>
      </c>
      <c r="AE87" s="177">
        <f t="shared" si="58"/>
        <v>0</v>
      </c>
      <c r="AF87" s="178"/>
      <c r="AH87" s="36"/>
    </row>
    <row r="88" spans="1:34" s="35" customFormat="1" ht="27.75" customHeight="1">
      <c r="A88" s="76" t="s">
        <v>105</v>
      </c>
      <c r="B88" s="71">
        <f>H88+J88+L88+N88+P88+R88+T88+V88+X88+Z88+AB88+AD88</f>
        <v>0</v>
      </c>
      <c r="C88" s="68">
        <f>H88+J88+L88+N88+P88+R88+T88+V88+X88</f>
        <v>0</v>
      </c>
      <c r="D88" s="68"/>
      <c r="E88" s="68">
        <f>I88+K88+M88+O88+Q88+S88+U88+W88+Y88+AA88+AC88+AE88</f>
        <v>0</v>
      </c>
      <c r="F88" s="81">
        <v>0</v>
      </c>
      <c r="G88" s="81">
        <v>0</v>
      </c>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H88" s="36"/>
    </row>
    <row r="89" spans="1:34" s="35" customFormat="1" ht="186.75" customHeight="1">
      <c r="A89" s="143" t="s">
        <v>138</v>
      </c>
      <c r="B89" s="71"/>
      <c r="C89" s="69"/>
      <c r="D89" s="69"/>
      <c r="E89" s="69"/>
      <c r="F89" s="70"/>
      <c r="G89" s="70"/>
      <c r="H89" s="69"/>
      <c r="I89" s="69"/>
      <c r="J89" s="69"/>
      <c r="K89" s="69"/>
      <c r="L89" s="69"/>
      <c r="M89" s="69"/>
      <c r="N89" s="69"/>
      <c r="O89" s="69"/>
      <c r="P89" s="69"/>
      <c r="Q89" s="69"/>
      <c r="R89" s="69"/>
      <c r="S89" s="69"/>
      <c r="T89" s="69"/>
      <c r="U89" s="69"/>
      <c r="V89" s="69"/>
      <c r="W89" s="69"/>
      <c r="X89" s="69"/>
      <c r="Y89" s="69"/>
      <c r="Z89" s="69"/>
      <c r="AA89" s="69"/>
      <c r="AB89" s="69"/>
      <c r="AC89" s="69"/>
      <c r="AD89" s="69"/>
      <c r="AE89" s="153"/>
      <c r="AF89" s="95" t="s">
        <v>144</v>
      </c>
      <c r="AH89" s="36"/>
    </row>
    <row r="90" spans="1:34" s="35" customFormat="1">
      <c r="A90" s="150" t="s">
        <v>25</v>
      </c>
      <c r="B90" s="80">
        <f>B91</f>
        <v>0</v>
      </c>
      <c r="C90" s="80">
        <f>C91</f>
        <v>0</v>
      </c>
      <c r="D90" s="80">
        <f>D91</f>
        <v>0</v>
      </c>
      <c r="E90" s="80">
        <f>E91</f>
        <v>0</v>
      </c>
      <c r="F90" s="79">
        <f t="shared" ref="F90:AE90" si="59">F91</f>
        <v>0</v>
      </c>
      <c r="G90" s="79">
        <v>0</v>
      </c>
      <c r="H90" s="80">
        <f t="shared" si="59"/>
        <v>0</v>
      </c>
      <c r="I90" s="80">
        <f t="shared" si="59"/>
        <v>0</v>
      </c>
      <c r="J90" s="80">
        <f t="shared" si="59"/>
        <v>0</v>
      </c>
      <c r="K90" s="80">
        <f t="shared" si="59"/>
        <v>0</v>
      </c>
      <c r="L90" s="80">
        <f t="shared" si="59"/>
        <v>0</v>
      </c>
      <c r="M90" s="80">
        <f t="shared" si="59"/>
        <v>0</v>
      </c>
      <c r="N90" s="80">
        <f t="shared" si="59"/>
        <v>0</v>
      </c>
      <c r="O90" s="80">
        <f t="shared" si="59"/>
        <v>0</v>
      </c>
      <c r="P90" s="80">
        <f t="shared" si="59"/>
        <v>0</v>
      </c>
      <c r="Q90" s="80">
        <f t="shared" si="59"/>
        <v>0</v>
      </c>
      <c r="R90" s="80">
        <f t="shared" si="59"/>
        <v>0</v>
      </c>
      <c r="S90" s="80">
        <f t="shared" si="59"/>
        <v>0</v>
      </c>
      <c r="T90" s="80">
        <f t="shared" si="59"/>
        <v>0</v>
      </c>
      <c r="U90" s="80">
        <f t="shared" si="59"/>
        <v>0</v>
      </c>
      <c r="V90" s="80">
        <f t="shared" si="59"/>
        <v>0</v>
      </c>
      <c r="W90" s="80">
        <f t="shared" si="59"/>
        <v>0</v>
      </c>
      <c r="X90" s="80">
        <f t="shared" si="59"/>
        <v>0</v>
      </c>
      <c r="Y90" s="80">
        <f t="shared" si="59"/>
        <v>0</v>
      </c>
      <c r="Z90" s="80">
        <f t="shared" si="59"/>
        <v>0</v>
      </c>
      <c r="AA90" s="80">
        <f t="shared" si="59"/>
        <v>0</v>
      </c>
      <c r="AB90" s="80">
        <f t="shared" si="59"/>
        <v>0</v>
      </c>
      <c r="AC90" s="80">
        <f t="shared" si="59"/>
        <v>0</v>
      </c>
      <c r="AD90" s="80">
        <f t="shared" si="59"/>
        <v>0</v>
      </c>
      <c r="AE90" s="80">
        <f t="shared" si="59"/>
        <v>0</v>
      </c>
      <c r="AF90" s="178"/>
      <c r="AH90" s="36"/>
    </row>
    <row r="91" spans="1:34" s="35" customFormat="1" ht="22.5" customHeight="1">
      <c r="A91" s="76" t="s">
        <v>105</v>
      </c>
      <c r="B91" s="71">
        <f>H91+J91+L91+N91+P91+R91+T91+V91+X91+Z91+AB91+AD91</f>
        <v>0</v>
      </c>
      <c r="C91" s="68">
        <f>H91+J91+L91+N91+P91+R91+T91+V91+X91</f>
        <v>0</v>
      </c>
      <c r="D91" s="68"/>
      <c r="E91" s="68">
        <f>I91+K91+M91+O91+Q91+S91+U91+W91+Y91+AA91+AC91+AE91</f>
        <v>0</v>
      </c>
      <c r="F91" s="81">
        <v>0</v>
      </c>
      <c r="G91" s="81">
        <v>0</v>
      </c>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H91" s="36"/>
    </row>
    <row r="92" spans="1:34" s="35" customFormat="1" ht="67.5" customHeight="1">
      <c r="A92" s="74" t="s">
        <v>139</v>
      </c>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H92" s="36"/>
    </row>
    <row r="93" spans="1:34" s="35" customFormat="1" ht="90.75" customHeight="1">
      <c r="A93" s="143" t="s">
        <v>140</v>
      </c>
      <c r="B93" s="71"/>
      <c r="C93" s="69"/>
      <c r="D93" s="69"/>
      <c r="E93" s="69"/>
      <c r="F93" s="70"/>
      <c r="G93" s="70"/>
      <c r="H93" s="69"/>
      <c r="I93" s="69"/>
      <c r="J93" s="69"/>
      <c r="K93" s="69"/>
      <c r="L93" s="69"/>
      <c r="M93" s="69"/>
      <c r="N93" s="69"/>
      <c r="O93" s="69"/>
      <c r="P93" s="69"/>
      <c r="Q93" s="69"/>
      <c r="R93" s="69"/>
      <c r="S93" s="69"/>
      <c r="T93" s="69"/>
      <c r="U93" s="69"/>
      <c r="V93" s="69"/>
      <c r="W93" s="69"/>
      <c r="X93" s="69"/>
      <c r="Y93" s="69"/>
      <c r="Z93" s="69"/>
      <c r="AA93" s="69"/>
      <c r="AB93" s="69"/>
      <c r="AC93" s="69"/>
      <c r="AD93" s="69"/>
      <c r="AE93" s="153"/>
      <c r="AF93" s="93" t="s">
        <v>142</v>
      </c>
      <c r="AH93" s="36"/>
    </row>
    <row r="94" spans="1:34" s="35" customFormat="1">
      <c r="A94" s="150" t="s">
        <v>25</v>
      </c>
      <c r="B94" s="80">
        <f>B95</f>
        <v>0</v>
      </c>
      <c r="C94" s="80">
        <f>C95</f>
        <v>0</v>
      </c>
      <c r="D94" s="80">
        <f>D95</f>
        <v>0</v>
      </c>
      <c r="E94" s="80">
        <f>E95</f>
        <v>0</v>
      </c>
      <c r="F94" s="79">
        <v>0</v>
      </c>
      <c r="G94" s="79">
        <v>0</v>
      </c>
      <c r="H94" s="80">
        <f t="shared" ref="H94:AE94" si="60">H95</f>
        <v>0</v>
      </c>
      <c r="I94" s="80">
        <f t="shared" si="60"/>
        <v>0</v>
      </c>
      <c r="J94" s="80">
        <f t="shared" si="60"/>
        <v>0</v>
      </c>
      <c r="K94" s="80">
        <f t="shared" si="60"/>
        <v>0</v>
      </c>
      <c r="L94" s="80">
        <f t="shared" si="60"/>
        <v>0</v>
      </c>
      <c r="M94" s="80">
        <f t="shared" si="60"/>
        <v>0</v>
      </c>
      <c r="N94" s="80">
        <f t="shared" si="60"/>
        <v>0</v>
      </c>
      <c r="O94" s="80">
        <f t="shared" si="60"/>
        <v>0</v>
      </c>
      <c r="P94" s="80">
        <f t="shared" si="60"/>
        <v>0</v>
      </c>
      <c r="Q94" s="80">
        <f t="shared" si="60"/>
        <v>0</v>
      </c>
      <c r="R94" s="80">
        <f t="shared" si="60"/>
        <v>0</v>
      </c>
      <c r="S94" s="80">
        <f t="shared" si="60"/>
        <v>0</v>
      </c>
      <c r="T94" s="80">
        <f t="shared" si="60"/>
        <v>0</v>
      </c>
      <c r="U94" s="80">
        <f t="shared" si="60"/>
        <v>0</v>
      </c>
      <c r="V94" s="80">
        <f t="shared" si="60"/>
        <v>0</v>
      </c>
      <c r="W94" s="80">
        <f t="shared" si="60"/>
        <v>0</v>
      </c>
      <c r="X94" s="80">
        <f t="shared" si="60"/>
        <v>0</v>
      </c>
      <c r="Y94" s="80">
        <f t="shared" si="60"/>
        <v>0</v>
      </c>
      <c r="Z94" s="80">
        <f t="shared" si="60"/>
        <v>0</v>
      </c>
      <c r="AA94" s="80">
        <f t="shared" si="60"/>
        <v>0</v>
      </c>
      <c r="AB94" s="80">
        <f t="shared" si="60"/>
        <v>0</v>
      </c>
      <c r="AC94" s="80">
        <f t="shared" si="60"/>
        <v>0</v>
      </c>
      <c r="AD94" s="80">
        <f t="shared" si="60"/>
        <v>0</v>
      </c>
      <c r="AE94" s="80">
        <f t="shared" si="60"/>
        <v>0</v>
      </c>
      <c r="AF94" s="80"/>
      <c r="AH94" s="36"/>
    </row>
    <row r="95" spans="1:34" s="35" customFormat="1" ht="20.25" customHeight="1">
      <c r="A95" s="76" t="s">
        <v>104</v>
      </c>
      <c r="B95" s="71">
        <f>H95+J95+L95+N95+P95+R95+T95+V95+X95+Z95+AB95+AD95</f>
        <v>0</v>
      </c>
      <c r="C95" s="68">
        <f>H95+J95+L95+N95+P95+R95+T95+V95+X95+Z95+AB95</f>
        <v>0</v>
      </c>
      <c r="D95" s="68">
        <v>0</v>
      </c>
      <c r="E95" s="68">
        <f>I95+K95+M95+O95+Q95+S95+U95+W95+Y95+AA95+AC95+AE95</f>
        <v>0</v>
      </c>
      <c r="F95" s="81">
        <v>0</v>
      </c>
      <c r="G95" s="81">
        <v>0</v>
      </c>
      <c r="H95" s="68">
        <v>0</v>
      </c>
      <c r="I95" s="68">
        <v>0</v>
      </c>
      <c r="J95" s="68">
        <v>0</v>
      </c>
      <c r="K95" s="68">
        <v>0</v>
      </c>
      <c r="L95" s="68">
        <v>0</v>
      </c>
      <c r="M95" s="68">
        <v>0</v>
      </c>
      <c r="N95" s="68">
        <v>0</v>
      </c>
      <c r="O95" s="68">
        <v>0</v>
      </c>
      <c r="P95" s="68">
        <v>0</v>
      </c>
      <c r="Q95" s="68">
        <v>0</v>
      </c>
      <c r="R95" s="68">
        <v>0</v>
      </c>
      <c r="S95" s="68">
        <v>0</v>
      </c>
      <c r="T95" s="68"/>
      <c r="U95" s="68"/>
      <c r="V95" s="68">
        <v>0</v>
      </c>
      <c r="W95" s="68">
        <v>0</v>
      </c>
      <c r="X95" s="68">
        <v>0</v>
      </c>
      <c r="Y95" s="68">
        <v>0</v>
      </c>
      <c r="Z95" s="68"/>
      <c r="AA95" s="68"/>
      <c r="AB95" s="68"/>
      <c r="AC95" s="68">
        <v>0</v>
      </c>
      <c r="AD95" s="68">
        <v>0</v>
      </c>
      <c r="AE95" s="68">
        <v>0</v>
      </c>
      <c r="AF95" s="68"/>
      <c r="AH95" s="36"/>
    </row>
    <row r="96" spans="1:34" s="42" customFormat="1" ht="25.5" customHeight="1">
      <c r="A96" s="65" t="s">
        <v>107</v>
      </c>
      <c r="B96" s="66">
        <f>B97+B98</f>
        <v>25971.900100000003</v>
      </c>
      <c r="C96" s="66">
        <f>C97+C98</f>
        <v>2692.0470599999999</v>
      </c>
      <c r="D96" s="66">
        <f t="shared" ref="D96:AE96" si="61">D97+D98</f>
        <v>2581.3867799999998</v>
      </c>
      <c r="E96" s="66">
        <f t="shared" si="61"/>
        <v>1838.5575100000001</v>
      </c>
      <c r="F96" s="67">
        <f>E96/B96</f>
        <v>7.0790258045078491E-2</v>
      </c>
      <c r="G96" s="67">
        <f>E96/C96</f>
        <v>0.68295890414337712</v>
      </c>
      <c r="H96" s="66">
        <f t="shared" si="61"/>
        <v>524.64462000000003</v>
      </c>
      <c r="I96" s="66">
        <f t="shared" si="61"/>
        <v>484.70751000000001</v>
      </c>
      <c r="J96" s="66">
        <f t="shared" si="61"/>
        <v>1119.9647199999999</v>
      </c>
      <c r="K96" s="66">
        <f t="shared" si="61"/>
        <v>570.56999999999994</v>
      </c>
      <c r="L96" s="66">
        <f t="shared" si="61"/>
        <v>1047.4377199999999</v>
      </c>
      <c r="M96" s="66">
        <f t="shared" si="61"/>
        <v>783.28</v>
      </c>
      <c r="N96" s="66">
        <f t="shared" si="61"/>
        <v>2022.86122</v>
      </c>
      <c r="O96" s="66">
        <f t="shared" si="61"/>
        <v>0</v>
      </c>
      <c r="P96" s="66">
        <f t="shared" si="61"/>
        <v>1537.8943200000001</v>
      </c>
      <c r="Q96" s="66">
        <f t="shared" si="61"/>
        <v>0</v>
      </c>
      <c r="R96" s="66">
        <f t="shared" si="61"/>
        <v>4907.1832199999999</v>
      </c>
      <c r="S96" s="66">
        <f t="shared" si="61"/>
        <v>0</v>
      </c>
      <c r="T96" s="66">
        <f t="shared" si="61"/>
        <v>5423.2072200000002</v>
      </c>
      <c r="U96" s="66">
        <f t="shared" si="61"/>
        <v>0</v>
      </c>
      <c r="V96" s="66">
        <f t="shared" si="61"/>
        <v>4892.0027199999995</v>
      </c>
      <c r="W96" s="66">
        <f t="shared" si="61"/>
        <v>0</v>
      </c>
      <c r="X96" s="66">
        <f t="shared" si="61"/>
        <v>1143.4297200000001</v>
      </c>
      <c r="Y96" s="66">
        <f t="shared" si="61"/>
        <v>0</v>
      </c>
      <c r="Z96" s="66">
        <f t="shared" si="61"/>
        <v>1334.3887200000001</v>
      </c>
      <c r="AA96" s="66">
        <f t="shared" si="61"/>
        <v>0</v>
      </c>
      <c r="AB96" s="66">
        <f t="shared" si="61"/>
        <v>831.91771999999992</v>
      </c>
      <c r="AC96" s="66">
        <f t="shared" si="61"/>
        <v>0</v>
      </c>
      <c r="AD96" s="66">
        <f t="shared" si="61"/>
        <v>1186.9681800000001</v>
      </c>
      <c r="AE96" s="66">
        <f t="shared" si="61"/>
        <v>0</v>
      </c>
      <c r="AF96" s="41"/>
      <c r="AG96" s="63"/>
      <c r="AH96" s="43"/>
    </row>
    <row r="97" spans="1:43" s="35" customFormat="1" ht="24" customHeight="1">
      <c r="A97" s="76" t="s">
        <v>104</v>
      </c>
      <c r="B97" s="71">
        <f>B11+B78+B95</f>
        <v>6518.8</v>
      </c>
      <c r="C97" s="71">
        <f t="shared" ref="C97:AE97" si="62">C11+C78+C95</f>
        <v>1096.91706</v>
      </c>
      <c r="D97" s="71">
        <f t="shared" si="62"/>
        <v>986.25677999999994</v>
      </c>
      <c r="E97" s="71">
        <f t="shared" si="62"/>
        <v>900.13751000000002</v>
      </c>
      <c r="F97" s="142">
        <f>E97/B97</f>
        <v>0.13808331441369578</v>
      </c>
      <c r="G97" s="142">
        <f>E97/C97</f>
        <v>0.82060671934485185</v>
      </c>
      <c r="H97" s="71">
        <f t="shared" si="62"/>
        <v>524.64462000000003</v>
      </c>
      <c r="I97" s="71">
        <f t="shared" si="62"/>
        <v>484.70751000000001</v>
      </c>
      <c r="J97" s="71">
        <f t="shared" si="62"/>
        <v>326.67171999999999</v>
      </c>
      <c r="K97" s="71">
        <f t="shared" si="62"/>
        <v>285.25</v>
      </c>
      <c r="L97" s="71">
        <f t="shared" si="62"/>
        <v>245.60072</v>
      </c>
      <c r="M97" s="71">
        <f t="shared" si="62"/>
        <v>130.18</v>
      </c>
      <c r="N97" s="71">
        <f t="shared" si="62"/>
        <v>579.94471999999996</v>
      </c>
      <c r="O97" s="71">
        <f t="shared" si="62"/>
        <v>0</v>
      </c>
      <c r="P97" s="71">
        <f t="shared" si="62"/>
        <v>528.09472000000005</v>
      </c>
      <c r="Q97" s="71">
        <f t="shared" si="62"/>
        <v>0</v>
      </c>
      <c r="R97" s="71">
        <f t="shared" si="62"/>
        <v>832.29671999999994</v>
      </c>
      <c r="S97" s="71">
        <f t="shared" si="62"/>
        <v>0</v>
      </c>
      <c r="T97" s="71">
        <f t="shared" si="62"/>
        <v>1431.88372</v>
      </c>
      <c r="U97" s="71">
        <f t="shared" si="62"/>
        <v>0</v>
      </c>
      <c r="V97" s="71">
        <f t="shared" si="62"/>
        <v>933.78971999999999</v>
      </c>
      <c r="W97" s="71">
        <f t="shared" si="62"/>
        <v>0</v>
      </c>
      <c r="X97" s="71">
        <f t="shared" si="62"/>
        <v>314.60172</v>
      </c>
      <c r="Y97" s="71">
        <f t="shared" si="62"/>
        <v>0</v>
      </c>
      <c r="Z97" s="71">
        <f t="shared" si="62"/>
        <v>363.46372000000002</v>
      </c>
      <c r="AA97" s="71">
        <f t="shared" si="62"/>
        <v>0</v>
      </c>
      <c r="AB97" s="71">
        <f t="shared" si="62"/>
        <v>156.33972</v>
      </c>
      <c r="AC97" s="71">
        <f t="shared" si="62"/>
        <v>0</v>
      </c>
      <c r="AD97" s="71">
        <f t="shared" si="62"/>
        <v>281.46818000000002</v>
      </c>
      <c r="AE97" s="71">
        <f t="shared" si="62"/>
        <v>0</v>
      </c>
      <c r="AF97" s="71"/>
      <c r="AG97" s="63"/>
      <c r="AH97" s="36"/>
    </row>
    <row r="98" spans="1:43" s="35" customFormat="1" ht="24" customHeight="1">
      <c r="A98" s="76" t="s">
        <v>105</v>
      </c>
      <c r="B98" s="71">
        <f>B12+B79</f>
        <v>19453.100100000003</v>
      </c>
      <c r="C98" s="71">
        <f t="shared" ref="C98:AE98" si="63">C12+C79</f>
        <v>1595.13</v>
      </c>
      <c r="D98" s="71">
        <f t="shared" si="63"/>
        <v>1595.13</v>
      </c>
      <c r="E98" s="71">
        <f t="shared" si="63"/>
        <v>938.42</v>
      </c>
      <c r="F98" s="142">
        <f>E98/B98</f>
        <v>4.8240126004389386E-2</v>
      </c>
      <c r="G98" s="142">
        <f>E98/C98</f>
        <v>0.58830314770582959</v>
      </c>
      <c r="H98" s="71">
        <f t="shared" si="63"/>
        <v>0</v>
      </c>
      <c r="I98" s="71">
        <f t="shared" si="63"/>
        <v>0</v>
      </c>
      <c r="J98" s="71">
        <f t="shared" si="63"/>
        <v>793.29300000000001</v>
      </c>
      <c r="K98" s="71">
        <f t="shared" si="63"/>
        <v>285.32</v>
      </c>
      <c r="L98" s="71">
        <f t="shared" si="63"/>
        <v>801.83699999999999</v>
      </c>
      <c r="M98" s="71">
        <f t="shared" si="63"/>
        <v>653.1</v>
      </c>
      <c r="N98" s="71">
        <f t="shared" si="63"/>
        <v>1442.9165</v>
      </c>
      <c r="O98" s="71">
        <f t="shared" si="63"/>
        <v>0</v>
      </c>
      <c r="P98" s="71">
        <f t="shared" si="63"/>
        <v>1009.7996000000001</v>
      </c>
      <c r="Q98" s="71">
        <f t="shared" si="63"/>
        <v>0</v>
      </c>
      <c r="R98" s="71">
        <f t="shared" si="63"/>
        <v>4074.8865000000001</v>
      </c>
      <c r="S98" s="71">
        <f t="shared" si="63"/>
        <v>0</v>
      </c>
      <c r="T98" s="71">
        <f t="shared" si="63"/>
        <v>3991.3235000000004</v>
      </c>
      <c r="U98" s="71">
        <f t="shared" si="63"/>
        <v>0</v>
      </c>
      <c r="V98" s="71">
        <f t="shared" si="63"/>
        <v>3958.2129999999997</v>
      </c>
      <c r="W98" s="71">
        <f t="shared" si="63"/>
        <v>0</v>
      </c>
      <c r="X98" s="71">
        <f t="shared" si="63"/>
        <v>828.82799999999997</v>
      </c>
      <c r="Y98" s="71">
        <f t="shared" si="63"/>
        <v>0</v>
      </c>
      <c r="Z98" s="71">
        <f t="shared" si="63"/>
        <v>970.92500000000007</v>
      </c>
      <c r="AA98" s="71">
        <f t="shared" si="63"/>
        <v>0</v>
      </c>
      <c r="AB98" s="71">
        <f t="shared" si="63"/>
        <v>675.57799999999997</v>
      </c>
      <c r="AC98" s="71">
        <f t="shared" si="63"/>
        <v>0</v>
      </c>
      <c r="AD98" s="71">
        <f t="shared" si="63"/>
        <v>905.5</v>
      </c>
      <c r="AE98" s="71">
        <f t="shared" si="63"/>
        <v>0</v>
      </c>
      <c r="AF98" s="71"/>
      <c r="AG98" s="63"/>
      <c r="AH98" s="36"/>
    </row>
    <row r="99" spans="1:43" s="35" customFormat="1">
      <c r="A99" s="44"/>
      <c r="B99" s="44"/>
      <c r="C99" s="45"/>
      <c r="D99" s="45"/>
      <c r="E99" s="46"/>
      <c r="F99" s="46"/>
      <c r="G99" s="46"/>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8"/>
      <c r="AH99" s="36"/>
    </row>
    <row r="100" spans="1:43" s="35" customFormat="1" ht="42" customHeight="1">
      <c r="A100" s="88" t="s">
        <v>131</v>
      </c>
      <c r="B100" s="134"/>
      <c r="C100" s="134"/>
      <c r="D100" s="135" t="s">
        <v>132</v>
      </c>
      <c r="E100" s="136"/>
      <c r="F100" s="136"/>
      <c r="G100" s="136"/>
      <c r="H100" s="137"/>
      <c r="I100" s="137"/>
      <c r="J100" s="137"/>
      <c r="K100" s="47"/>
      <c r="L100" s="47"/>
      <c r="M100" s="47"/>
      <c r="N100" s="47"/>
      <c r="O100" s="47"/>
      <c r="P100" s="47"/>
      <c r="Q100" s="47"/>
      <c r="R100" s="47"/>
      <c r="S100" s="47"/>
      <c r="T100" s="45"/>
      <c r="U100" s="47"/>
      <c r="V100" s="47"/>
      <c r="W100" s="47"/>
      <c r="X100" s="47"/>
      <c r="Y100" s="47"/>
      <c r="Z100" s="47"/>
      <c r="AA100" s="47"/>
      <c r="AB100" s="47"/>
      <c r="AC100" s="47"/>
      <c r="AD100" s="47"/>
      <c r="AE100" s="47"/>
      <c r="AF100" s="48"/>
      <c r="AH100" s="36"/>
    </row>
    <row r="101" spans="1:43" ht="15.75" customHeight="1">
      <c r="B101" s="57" t="s">
        <v>108</v>
      </c>
      <c r="D101" s="138" t="s">
        <v>109</v>
      </c>
      <c r="E101" s="138"/>
      <c r="F101" s="138"/>
      <c r="G101" s="60"/>
      <c r="H101" s="139"/>
      <c r="I101" s="139"/>
      <c r="J101" s="139"/>
      <c r="M101" s="33"/>
      <c r="N101" s="33"/>
      <c r="U101" s="50"/>
      <c r="AA101" s="59"/>
      <c r="AB101" s="59"/>
      <c r="AC101" s="59"/>
      <c r="AD101" s="51"/>
    </row>
    <row r="102" spans="1:43" ht="15.75" customHeight="1">
      <c r="A102" s="50"/>
      <c r="B102" s="49"/>
      <c r="E102" s="50"/>
      <c r="F102" s="51"/>
      <c r="G102" s="51"/>
      <c r="H102" s="52"/>
      <c r="I102" s="53"/>
      <c r="M102" s="33"/>
      <c r="N102" s="33"/>
      <c r="R102" s="54"/>
      <c r="S102" s="19"/>
      <c r="U102" s="50"/>
      <c r="V102" s="20"/>
      <c r="W102" s="20"/>
      <c r="X102" s="20"/>
      <c r="Y102" s="20"/>
      <c r="AA102" s="20"/>
      <c r="AB102" s="33"/>
      <c r="AC102" s="59"/>
      <c r="AD102" s="51"/>
      <c r="AE102" s="20"/>
      <c r="AF102" s="19"/>
      <c r="AG102" s="19"/>
      <c r="AH102" s="55"/>
      <c r="AI102" s="19"/>
      <c r="AJ102" s="19"/>
      <c r="AK102" s="19"/>
      <c r="AL102" s="19"/>
      <c r="AM102" s="19"/>
      <c r="AN102" s="19"/>
      <c r="AO102" s="19"/>
      <c r="AP102" s="19"/>
      <c r="AQ102" s="18"/>
    </row>
    <row r="103" spans="1:43" ht="18.75" customHeight="1">
      <c r="A103" s="133" t="s">
        <v>110</v>
      </c>
      <c r="B103" s="133"/>
      <c r="C103" s="133"/>
      <c r="D103" s="133"/>
      <c r="E103" s="133"/>
      <c r="F103" s="133"/>
      <c r="G103" s="133"/>
      <c r="H103" s="133"/>
      <c r="U103" s="56"/>
      <c r="Y103" s="56"/>
    </row>
    <row r="104" spans="1:43" ht="15.75" customHeight="1">
      <c r="A104" s="18" t="s">
        <v>128</v>
      </c>
    </row>
    <row r="105" spans="1:43" ht="15.75" customHeight="1">
      <c r="A105" s="61"/>
    </row>
    <row r="106" spans="1:43" ht="15.75" customHeight="1"/>
    <row r="107" spans="1:43" ht="15.75" customHeight="1"/>
    <row r="108" spans="1:43" ht="15.75" customHeight="1">
      <c r="F108" s="20"/>
      <c r="G108" s="20"/>
    </row>
    <row r="109" spans="1:43" ht="15.75" customHeight="1"/>
  </sheetData>
  <mergeCells count="33">
    <mergeCell ref="A103:H103"/>
    <mergeCell ref="AF80:AF82"/>
    <mergeCell ref="B100:C100"/>
    <mergeCell ref="D100:G100"/>
    <mergeCell ref="H100:J100"/>
    <mergeCell ref="D101:F101"/>
    <mergeCell ref="H101:J101"/>
    <mergeCell ref="X5:Y5"/>
    <mergeCell ref="Z5:AA5"/>
    <mergeCell ref="AB5:AC5"/>
    <mergeCell ref="AD5:AE5"/>
    <mergeCell ref="AF5:AF6"/>
    <mergeCell ref="AF39:AF47"/>
    <mergeCell ref="AF57:AF66"/>
    <mergeCell ref="AF67:AF69"/>
    <mergeCell ref="AF13:AF21"/>
    <mergeCell ref="AF29:AF35"/>
    <mergeCell ref="V5:W5"/>
    <mergeCell ref="A2:AC2"/>
    <mergeCell ref="A3:AC3"/>
    <mergeCell ref="A5:A6"/>
    <mergeCell ref="B5:B6"/>
    <mergeCell ref="C5:C6"/>
    <mergeCell ref="D5:D6"/>
    <mergeCell ref="E5:E6"/>
    <mergeCell ref="F5:G5"/>
    <mergeCell ref="H5:I5"/>
    <mergeCell ref="J5:K5"/>
    <mergeCell ref="L5:M5"/>
    <mergeCell ref="N5:O5"/>
    <mergeCell ref="P5:Q5"/>
    <mergeCell ref="R5:S5"/>
    <mergeCell ref="T5:U5"/>
  </mergeCells>
  <printOptions horizontalCentered="1"/>
  <pageMargins left="0.39370078740157483" right="0.19685039370078741" top="0.98425196850393704" bottom="0.15748031496062992" header="0" footer="0"/>
  <pageSetup paperSize="9" scale="50" fitToHeight="0" orientation="landscape" r:id="rId1"/>
  <rowBreaks count="1" manualBreakCount="1">
    <brk id="75"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Лист1</vt:lpstr>
      <vt:lpstr>Лист2</vt:lpstr>
      <vt:lpstr>титульный лист</vt:lpstr>
      <vt:lpstr>сетевой 2018 </vt:lpstr>
      <vt:lpstr>'сетевой 2018 '!Заголовки_для_печати</vt:lpstr>
      <vt:lpstr>'сетевой 2018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2018-04-27T04:35:52Z</dcterms:modified>
</cp:coreProperties>
</file>