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665" windowWidth="28830" windowHeight="1104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  <sheet name="Лист3" sheetId="16" r:id="rId5"/>
  </sheets>
  <definedNames>
    <definedName name="_xlnm.Print_Titles" localSheetId="3">'сетевой 2018 '!$A:$A,'сетевой 2018 '!$5:$6</definedName>
    <definedName name="_xlnm.Print_Area" localSheetId="3">'сетевой 2018 '!$A$1:$AE$105</definedName>
  </definedNames>
  <calcPr calcId="125725"/>
</workbook>
</file>

<file path=xl/calcChain.xml><?xml version="1.0" encoding="utf-8"?>
<calcChain xmlns="http://schemas.openxmlformats.org/spreadsheetml/2006/main">
  <c r="AG9" i="15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20"/>
  <c r="AH20"/>
  <c r="AI20"/>
  <c r="AG21"/>
  <c r="AH21"/>
  <c r="AI21"/>
  <c r="AG22"/>
  <c r="AH22"/>
  <c r="AI22"/>
  <c r="AG23"/>
  <c r="AH23"/>
  <c r="AI23"/>
  <c r="AG24"/>
  <c r="AH24"/>
  <c r="AI24"/>
  <c r="AG25"/>
  <c r="AH25"/>
  <c r="AI25"/>
  <c r="AG26"/>
  <c r="AH26"/>
  <c r="AI26"/>
  <c r="AG27"/>
  <c r="AH27"/>
  <c r="AI27"/>
  <c r="AG28"/>
  <c r="AH28"/>
  <c r="AI28"/>
  <c r="AG29"/>
  <c r="AH29"/>
  <c r="AI29"/>
  <c r="AG30"/>
  <c r="AH30"/>
  <c r="AI30"/>
  <c r="AG31"/>
  <c r="AH31"/>
  <c r="AI31"/>
  <c r="AG32"/>
  <c r="AH32"/>
  <c r="AI32"/>
  <c r="AG33"/>
  <c r="AH33"/>
  <c r="AI33"/>
  <c r="AG34"/>
  <c r="AH34"/>
  <c r="AI34"/>
  <c r="AG35"/>
  <c r="AH35"/>
  <c r="AI35"/>
  <c r="AG36"/>
  <c r="AH36"/>
  <c r="AI36"/>
  <c r="AG37"/>
  <c r="AH37"/>
  <c r="AI37"/>
  <c r="AG38"/>
  <c r="AH38"/>
  <c r="AI38"/>
  <c r="AG39"/>
  <c r="AH39"/>
  <c r="AI39"/>
  <c r="AG40"/>
  <c r="AH40"/>
  <c r="AI40"/>
  <c r="AG41"/>
  <c r="AH41"/>
  <c r="AI41"/>
  <c r="AG42"/>
  <c r="AH42"/>
  <c r="AI42"/>
  <c r="AG43"/>
  <c r="AH43"/>
  <c r="AI43"/>
  <c r="AG44"/>
  <c r="AH44"/>
  <c r="AI44"/>
  <c r="AG45"/>
  <c r="AH45"/>
  <c r="AI45"/>
  <c r="AG46"/>
  <c r="AH46"/>
  <c r="AI46"/>
  <c r="AG47"/>
  <c r="AH47"/>
  <c r="AI47"/>
  <c r="AG48"/>
  <c r="AH48"/>
  <c r="AI48"/>
  <c r="AG49"/>
  <c r="AH49"/>
  <c r="AI49"/>
  <c r="AG50"/>
  <c r="AH50"/>
  <c r="AI50"/>
  <c r="AG51"/>
  <c r="AH51"/>
  <c r="AI51"/>
  <c r="AG52"/>
  <c r="AH52"/>
  <c r="AI52"/>
  <c r="AG53"/>
  <c r="AH53"/>
  <c r="AI53"/>
  <c r="AG54"/>
  <c r="AH54"/>
  <c r="AI54"/>
  <c r="AG55"/>
  <c r="AH55"/>
  <c r="AI55"/>
  <c r="AG56"/>
  <c r="AH56"/>
  <c r="AI56"/>
  <c r="AG57"/>
  <c r="AH57"/>
  <c r="AI57"/>
  <c r="AG58"/>
  <c r="AH58"/>
  <c r="AI58"/>
  <c r="AG59"/>
  <c r="AH59"/>
  <c r="AI59"/>
  <c r="AG60"/>
  <c r="AH60"/>
  <c r="AI60"/>
  <c r="AG61"/>
  <c r="AH61"/>
  <c r="AI61"/>
  <c r="AG62"/>
  <c r="AH62"/>
  <c r="AI62"/>
  <c r="AG63"/>
  <c r="AH63"/>
  <c r="AI63"/>
  <c r="AG64"/>
  <c r="AH64"/>
  <c r="AI64"/>
  <c r="AG65"/>
  <c r="AH65"/>
  <c r="AI65"/>
  <c r="AG66"/>
  <c r="AH66"/>
  <c r="AI66"/>
  <c r="AG67"/>
  <c r="AH67"/>
  <c r="AI67"/>
  <c r="AG68"/>
  <c r="AH68"/>
  <c r="AI68"/>
  <c r="AG69"/>
  <c r="AH69"/>
  <c r="AI69"/>
  <c r="AG70"/>
  <c r="AH70"/>
  <c r="AI70"/>
  <c r="AG71"/>
  <c r="AH71"/>
  <c r="AI71"/>
  <c r="AG72"/>
  <c r="AH72"/>
  <c r="AI72"/>
  <c r="AG73"/>
  <c r="AH73"/>
  <c r="AI73"/>
  <c r="AG74"/>
  <c r="AH74"/>
  <c r="AI74"/>
  <c r="AG75"/>
  <c r="AH75"/>
  <c r="AI75"/>
  <c r="AG76"/>
  <c r="AH76"/>
  <c r="AI76"/>
  <c r="AG77"/>
  <c r="AH77"/>
  <c r="AI77"/>
  <c r="AG78"/>
  <c r="AH78"/>
  <c r="AI78"/>
  <c r="AG79"/>
  <c r="AH79"/>
  <c r="AI79"/>
  <c r="AG80"/>
  <c r="AH80"/>
  <c r="AI80"/>
  <c r="AG81"/>
  <c r="AH81"/>
  <c r="AI81"/>
  <c r="AG82"/>
  <c r="AH82"/>
  <c r="AI82"/>
  <c r="AG83"/>
  <c r="AH83"/>
  <c r="AI83"/>
  <c r="AG84"/>
  <c r="AH84"/>
  <c r="AI84"/>
  <c r="AG85"/>
  <c r="AH85"/>
  <c r="AI85"/>
  <c r="AG86"/>
  <c r="AH86"/>
  <c r="AI86"/>
  <c r="AG87"/>
  <c r="AH87"/>
  <c r="AI87"/>
  <c r="AG88"/>
  <c r="AH88"/>
  <c r="AI88"/>
  <c r="AG89"/>
  <c r="AH89"/>
  <c r="AI89"/>
  <c r="AG90"/>
  <c r="AH90"/>
  <c r="AI90"/>
  <c r="AG91"/>
  <c r="AH91"/>
  <c r="AI91"/>
  <c r="AG92"/>
  <c r="AH92"/>
  <c r="AI92"/>
  <c r="AG93"/>
  <c r="AH93"/>
  <c r="AI93"/>
  <c r="AG94"/>
  <c r="AH94"/>
  <c r="AI94"/>
  <c r="AG95"/>
  <c r="AH95"/>
  <c r="AI95"/>
  <c r="AG96"/>
  <c r="AH96"/>
  <c r="AI96"/>
  <c r="AG97"/>
  <c r="AH97"/>
  <c r="AI97"/>
  <c r="AG98"/>
  <c r="AH98"/>
  <c r="AI98"/>
  <c r="AI8"/>
  <c r="AH8"/>
  <c r="AG8"/>
  <c r="B9" l="1"/>
  <c r="D33" l="1"/>
  <c r="G98" l="1"/>
  <c r="G96"/>
  <c r="G82"/>
  <c r="G81"/>
  <c r="G78"/>
  <c r="G77"/>
  <c r="G72"/>
  <c r="G70"/>
  <c r="G69"/>
  <c r="G55"/>
  <c r="G28"/>
  <c r="G26"/>
  <c r="G12"/>
  <c r="G10"/>
  <c r="F9"/>
  <c r="F8"/>
  <c r="G9"/>
  <c r="G8"/>
  <c r="F55"/>
  <c r="F54"/>
  <c r="F53"/>
  <c r="G53"/>
  <c r="E55"/>
  <c r="E54"/>
  <c r="G38"/>
  <c r="G36"/>
  <c r="G33"/>
  <c r="G31"/>
  <c r="F28"/>
  <c r="F27"/>
  <c r="F26"/>
  <c r="C82" l="1"/>
  <c r="E82"/>
  <c r="E63"/>
  <c r="E61"/>
  <c r="E60"/>
  <c r="E69"/>
  <c r="E47" l="1"/>
  <c r="E45"/>
  <c r="E21"/>
  <c r="E19"/>
  <c r="E17"/>
  <c r="E16"/>
  <c r="E35"/>
  <c r="E33"/>
  <c r="E32"/>
  <c r="E28"/>
  <c r="E27"/>
  <c r="D28" l="1"/>
  <c r="C69"/>
  <c r="C66"/>
  <c r="C63"/>
  <c r="C61"/>
  <c r="C60"/>
  <c r="C47"/>
  <c r="C45"/>
  <c r="C35"/>
  <c r="C33"/>
  <c r="C32"/>
  <c r="C28"/>
  <c r="C27"/>
  <c r="C22"/>
  <c r="C21"/>
  <c r="C19"/>
  <c r="C17"/>
  <c r="C16"/>
  <c r="I77" i="16" l="1"/>
  <c r="H77"/>
  <c r="G77" s="1"/>
  <c r="J76"/>
  <c r="I76"/>
  <c r="H76"/>
  <c r="G76" s="1"/>
  <c r="I75"/>
  <c r="H75"/>
  <c r="J74"/>
  <c r="I74"/>
  <c r="H74"/>
  <c r="G74" s="1"/>
  <c r="G73" s="1"/>
  <c r="J73"/>
  <c r="I73"/>
  <c r="H73"/>
  <c r="J72"/>
  <c r="I72"/>
  <c r="H72"/>
  <c r="H71" s="1"/>
  <c r="J71"/>
  <c r="I71"/>
  <c r="I66"/>
  <c r="H66"/>
  <c r="J65"/>
  <c r="I65"/>
  <c r="H65"/>
  <c r="H64" s="1"/>
  <c r="I64"/>
  <c r="G59"/>
  <c r="G58"/>
  <c r="G57"/>
  <c r="J56"/>
  <c r="G56" s="1"/>
  <c r="I56"/>
  <c r="H56"/>
  <c r="J53"/>
  <c r="H53"/>
  <c r="J49"/>
  <c r="J66" s="1"/>
  <c r="J64" s="1"/>
  <c r="I49"/>
  <c r="I54" s="1"/>
  <c r="H49"/>
  <c r="H54" s="1"/>
  <c r="G48"/>
  <c r="G47"/>
  <c r="G46"/>
  <c r="J45"/>
  <c r="I45"/>
  <c r="I53" s="1"/>
  <c r="H45"/>
  <c r="G40"/>
  <c r="J39"/>
  <c r="J77" s="1"/>
  <c r="J75" s="1"/>
  <c r="I39"/>
  <c r="H39"/>
  <c r="G38"/>
  <c r="I37"/>
  <c r="H37"/>
  <c r="J36"/>
  <c r="J70" s="1"/>
  <c r="I36"/>
  <c r="I70" s="1"/>
  <c r="H36"/>
  <c r="H70" s="1"/>
  <c r="G36"/>
  <c r="I35"/>
  <c r="H35"/>
  <c r="J34"/>
  <c r="I34"/>
  <c r="H34"/>
  <c r="G34"/>
  <c r="I33"/>
  <c r="H33"/>
  <c r="J31"/>
  <c r="I31"/>
  <c r="H31"/>
  <c r="G31"/>
  <c r="J30"/>
  <c r="I30"/>
  <c r="H30"/>
  <c r="G30"/>
  <c r="J29"/>
  <c r="J68" s="1"/>
  <c r="J67" s="1"/>
  <c r="I29"/>
  <c r="I68" s="1"/>
  <c r="I67" s="1"/>
  <c r="H29"/>
  <c r="H20" s="1"/>
  <c r="G29"/>
  <c r="J28"/>
  <c r="I28"/>
  <c r="G28"/>
  <c r="J27"/>
  <c r="I27"/>
  <c r="H27"/>
  <c r="G27"/>
  <c r="G25" s="1"/>
  <c r="G26"/>
  <c r="J25"/>
  <c r="I25"/>
  <c r="H25"/>
  <c r="J24"/>
  <c r="J69" s="1"/>
  <c r="I24"/>
  <c r="I69" s="1"/>
  <c r="H24"/>
  <c r="G24" s="1"/>
  <c r="G22" s="1"/>
  <c r="G23"/>
  <c r="J22"/>
  <c r="I22"/>
  <c r="I21"/>
  <c r="I43" s="1"/>
  <c r="I62" s="1"/>
  <c r="J20"/>
  <c r="J42" s="1"/>
  <c r="I20"/>
  <c r="I42" s="1"/>
  <c r="I19"/>
  <c r="G75" l="1"/>
  <c r="I61"/>
  <c r="I60" s="1"/>
  <c r="I41"/>
  <c r="I52"/>
  <c r="G53"/>
  <c r="G66"/>
  <c r="J61"/>
  <c r="J41"/>
  <c r="H42"/>
  <c r="G20"/>
  <c r="G70"/>
  <c r="H52"/>
  <c r="J54"/>
  <c r="J52" s="1"/>
  <c r="G65"/>
  <c r="G64" s="1"/>
  <c r="G72"/>
  <c r="G71" s="1"/>
  <c r="J21"/>
  <c r="J43" s="1"/>
  <c r="J62" s="1"/>
  <c r="H28"/>
  <c r="G39"/>
  <c r="G37" s="1"/>
  <c r="G49"/>
  <c r="H68"/>
  <c r="H69"/>
  <c r="G69" s="1"/>
  <c r="G45"/>
  <c r="H21"/>
  <c r="H22"/>
  <c r="J35"/>
  <c r="J37"/>
  <c r="H41" l="1"/>
  <c r="G42"/>
  <c r="H61"/>
  <c r="J33"/>
  <c r="G35"/>
  <c r="G33" s="1"/>
  <c r="H67"/>
  <c r="G68"/>
  <c r="G67" s="1"/>
  <c r="J60"/>
  <c r="G19"/>
  <c r="H43"/>
  <c r="G21"/>
  <c r="J19"/>
  <c r="G54"/>
  <c r="G52" s="1"/>
  <c r="H19"/>
  <c r="G43" l="1"/>
  <c r="G41" s="1"/>
  <c r="H62"/>
  <c r="G62" s="1"/>
  <c r="G61"/>
  <c r="G60" l="1"/>
  <c r="H60"/>
  <c r="AD82" i="15" l="1"/>
  <c r="AB82"/>
  <c r="N82"/>
  <c r="J82"/>
  <c r="AB61"/>
  <c r="Z61"/>
  <c r="X61"/>
  <c r="V61"/>
  <c r="T61"/>
  <c r="R61"/>
  <c r="P61"/>
  <c r="N61"/>
  <c r="Z33"/>
  <c r="X33"/>
  <c r="V33"/>
  <c r="T33"/>
  <c r="R33"/>
  <c r="P33"/>
  <c r="N33"/>
  <c r="L33"/>
  <c r="AB28"/>
  <c r="Z28"/>
  <c r="X28"/>
  <c r="P28"/>
  <c r="N28"/>
  <c r="L28"/>
  <c r="J28"/>
  <c r="V17"/>
  <c r="T17"/>
  <c r="R17"/>
  <c r="J33" l="1"/>
  <c r="I82" l="1"/>
  <c r="Z82" l="1"/>
  <c r="X82"/>
  <c r="V82"/>
  <c r="T82"/>
  <c r="R82"/>
  <c r="P82"/>
  <c r="L82"/>
  <c r="H82"/>
  <c r="AE72"/>
  <c r="AD72"/>
  <c r="AC72"/>
  <c r="AA72"/>
  <c r="Z71"/>
  <c r="Y72"/>
  <c r="Y71"/>
  <c r="X71"/>
  <c r="W72"/>
  <c r="W71"/>
  <c r="V71"/>
  <c r="U72"/>
  <c r="U71"/>
  <c r="U70"/>
  <c r="T71"/>
  <c r="S72"/>
  <c r="S71"/>
  <c r="R71"/>
  <c r="Q72"/>
  <c r="Q71"/>
  <c r="P71"/>
  <c r="O72"/>
  <c r="O71"/>
  <c r="N71"/>
  <c r="M72"/>
  <c r="J71"/>
  <c r="M71"/>
  <c r="L71"/>
  <c r="L72"/>
  <c r="K72"/>
  <c r="I72"/>
  <c r="H72"/>
  <c r="J72"/>
  <c r="K70"/>
  <c r="Z63"/>
  <c r="X63"/>
  <c r="V63"/>
  <c r="V60"/>
  <c r="T63"/>
  <c r="T60"/>
  <c r="R63"/>
  <c r="R60"/>
  <c r="P63"/>
  <c r="P60"/>
  <c r="N63"/>
  <c r="L63"/>
  <c r="N60" l="1"/>
  <c r="AD69" l="1"/>
  <c r="AB69"/>
  <c r="Z69"/>
  <c r="X69"/>
  <c r="V69"/>
  <c r="T69"/>
  <c r="R69"/>
  <c r="P69"/>
  <c r="N69"/>
  <c r="L69"/>
  <c r="J69"/>
  <c r="V45"/>
  <c r="T45"/>
  <c r="R45"/>
  <c r="V47"/>
  <c r="T47"/>
  <c r="R47"/>
  <c r="N47"/>
  <c r="Z32"/>
  <c r="X32"/>
  <c r="V35"/>
  <c r="V32"/>
  <c r="T32"/>
  <c r="R32"/>
  <c r="P35"/>
  <c r="P32"/>
  <c r="N32"/>
  <c r="L32"/>
  <c r="J35"/>
  <c r="J32" l="1"/>
  <c r="AB27"/>
  <c r="Z27"/>
  <c r="X27"/>
  <c r="L27"/>
  <c r="J27"/>
  <c r="L21"/>
  <c r="N19"/>
  <c r="V16"/>
  <c r="T16"/>
  <c r="R16"/>
  <c r="D78"/>
  <c r="K78"/>
  <c r="K77" s="1"/>
  <c r="M78"/>
  <c r="O78"/>
  <c r="Q78"/>
  <c r="Q77" s="1"/>
  <c r="S78"/>
  <c r="S77" s="1"/>
  <c r="U78"/>
  <c r="U77" s="1"/>
  <c r="W78"/>
  <c r="Y78"/>
  <c r="Y77" s="1"/>
  <c r="AA78"/>
  <c r="AC78"/>
  <c r="AC77" s="1"/>
  <c r="AE78"/>
  <c r="D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W77"/>
  <c r="M77"/>
  <c r="E95"/>
  <c r="E94" s="1"/>
  <c r="C95"/>
  <c r="B95"/>
  <c r="B94" s="1"/>
  <c r="D94"/>
  <c r="C94"/>
  <c r="C91"/>
  <c r="C90" s="1"/>
  <c r="B91"/>
  <c r="D90"/>
  <c r="B90"/>
  <c r="E88"/>
  <c r="E87" s="1"/>
  <c r="C88"/>
  <c r="B88"/>
  <c r="B87" s="1"/>
  <c r="D87"/>
  <c r="C87"/>
  <c r="N84"/>
  <c r="C85"/>
  <c r="C84" s="1"/>
  <c r="B85"/>
  <c r="B84" s="1"/>
  <c r="D84"/>
  <c r="D81"/>
  <c r="E75"/>
  <c r="C75"/>
  <c r="C74" s="1"/>
  <c r="D66"/>
  <c r="D65"/>
  <c r="D71" s="1"/>
  <c r="E65"/>
  <c r="E71" s="1"/>
  <c r="C65"/>
  <c r="C71" s="1"/>
  <c r="H24"/>
  <c r="I23"/>
  <c r="H23"/>
  <c r="D49"/>
  <c r="D77" l="1"/>
  <c r="AA77"/>
  <c r="AE77"/>
  <c r="O77"/>
  <c r="E49"/>
  <c r="E66"/>
  <c r="E72" s="1"/>
  <c r="E70" s="1"/>
  <c r="C49"/>
  <c r="H22"/>
  <c r="B79"/>
  <c r="B16"/>
  <c r="B23" s="1"/>
  <c r="C64"/>
  <c r="C72"/>
  <c r="C79"/>
  <c r="E64" l="1"/>
  <c r="O24"/>
  <c r="E91" l="1"/>
  <c r="E90" s="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F90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F87"/>
  <c r="AB84"/>
  <c r="AA84"/>
  <c r="Z84"/>
  <c r="Y84"/>
  <c r="X84"/>
  <c r="W84"/>
  <c r="V84"/>
  <c r="U84"/>
  <c r="T84"/>
  <c r="S84"/>
  <c r="R84"/>
  <c r="Q84"/>
  <c r="P84"/>
  <c r="O84"/>
  <c r="M84"/>
  <c r="L84"/>
  <c r="K84"/>
  <c r="J84"/>
  <c r="I84"/>
  <c r="AE84"/>
  <c r="AD84"/>
  <c r="AC84"/>
  <c r="AD78"/>
  <c r="AD77" s="1"/>
  <c r="AB78"/>
  <c r="AB77" s="1"/>
  <c r="T78"/>
  <c r="T77" s="1"/>
  <c r="N78"/>
  <c r="N77" s="1"/>
  <c r="AE81"/>
  <c r="AC81"/>
  <c r="AA81"/>
  <c r="Y81"/>
  <c r="W81"/>
  <c r="U81"/>
  <c r="S81"/>
  <c r="Q81"/>
  <c r="O81"/>
  <c r="M81"/>
  <c r="K81"/>
  <c r="E74"/>
  <c r="D75"/>
  <c r="D74" s="1"/>
  <c r="B75"/>
  <c r="B74" s="1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F7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B69"/>
  <c r="AE66"/>
  <c r="AD66"/>
  <c r="AC66"/>
  <c r="AB66"/>
  <c r="AB72" s="1"/>
  <c r="AA66"/>
  <c r="Z66"/>
  <c r="Z72" s="1"/>
  <c r="Y66"/>
  <c r="W66"/>
  <c r="V66"/>
  <c r="V72" s="1"/>
  <c r="U66"/>
  <c r="T66"/>
  <c r="T72" s="1"/>
  <c r="T70" s="1"/>
  <c r="S66"/>
  <c r="R66"/>
  <c r="R72" s="1"/>
  <c r="Q66"/>
  <c r="P66"/>
  <c r="P72" s="1"/>
  <c r="O66"/>
  <c r="N66"/>
  <c r="N72" s="1"/>
  <c r="M66"/>
  <c r="L66"/>
  <c r="K66"/>
  <c r="J66"/>
  <c r="I66"/>
  <c r="H66"/>
  <c r="AE65"/>
  <c r="AE71" s="1"/>
  <c r="AD65"/>
  <c r="AC65"/>
  <c r="AC71" s="1"/>
  <c r="AB65"/>
  <c r="AB71" s="1"/>
  <c r="AA65"/>
  <c r="AA71" s="1"/>
  <c r="Y65"/>
  <c r="W65"/>
  <c r="U65"/>
  <c r="S65"/>
  <c r="Q65"/>
  <c r="O65"/>
  <c r="N65"/>
  <c r="M65"/>
  <c r="L65"/>
  <c r="K65"/>
  <c r="K71" s="1"/>
  <c r="J65"/>
  <c r="I65"/>
  <c r="I71" s="1"/>
  <c r="H65"/>
  <c r="B63"/>
  <c r="X59"/>
  <c r="X65"/>
  <c r="T65"/>
  <c r="R65"/>
  <c r="P65"/>
  <c r="AE59"/>
  <c r="AD59"/>
  <c r="AC59"/>
  <c r="AB59"/>
  <c r="AA59"/>
  <c r="Z59"/>
  <c r="Y59"/>
  <c r="W59"/>
  <c r="U59"/>
  <c r="T59"/>
  <c r="S59"/>
  <c r="R59"/>
  <c r="Q59"/>
  <c r="P59"/>
  <c r="O59"/>
  <c r="N59"/>
  <c r="M59"/>
  <c r="L59"/>
  <c r="K59"/>
  <c r="J59"/>
  <c r="I59"/>
  <c r="H59"/>
  <c r="D59"/>
  <c r="E52"/>
  <c r="E51" s="1"/>
  <c r="D52"/>
  <c r="D51" s="1"/>
  <c r="C52"/>
  <c r="C51" s="1"/>
  <c r="B52"/>
  <c r="B51" s="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E49"/>
  <c r="AE48" s="1"/>
  <c r="AD49"/>
  <c r="AD48" s="1"/>
  <c r="AC49"/>
  <c r="AC48" s="1"/>
  <c r="AB49"/>
  <c r="AB48" s="1"/>
  <c r="AA49"/>
  <c r="AA48" s="1"/>
  <c r="Z49"/>
  <c r="Z48" s="1"/>
  <c r="Y49"/>
  <c r="X49"/>
  <c r="W49"/>
  <c r="W48" s="1"/>
  <c r="V49"/>
  <c r="V48" s="1"/>
  <c r="U49"/>
  <c r="U48" s="1"/>
  <c r="T49"/>
  <c r="T48" s="1"/>
  <c r="S49"/>
  <c r="S48" s="1"/>
  <c r="R49"/>
  <c r="R48" s="1"/>
  <c r="Q49"/>
  <c r="Q48" s="1"/>
  <c r="P49"/>
  <c r="P48" s="1"/>
  <c r="O49"/>
  <c r="O48" s="1"/>
  <c r="N49"/>
  <c r="N48" s="1"/>
  <c r="M49"/>
  <c r="M48" s="1"/>
  <c r="L49"/>
  <c r="L48" s="1"/>
  <c r="K49"/>
  <c r="K48" s="1"/>
  <c r="J49"/>
  <c r="J48" s="1"/>
  <c r="I49"/>
  <c r="I48" s="1"/>
  <c r="H49"/>
  <c r="H48" s="1"/>
  <c r="D48"/>
  <c r="C48"/>
  <c r="Y48"/>
  <c r="X48"/>
  <c r="B47"/>
  <c r="B45"/>
  <c r="E43"/>
  <c r="C43"/>
  <c r="B43"/>
  <c r="E41"/>
  <c r="C41"/>
  <c r="B41"/>
  <c r="AE38"/>
  <c r="AD38"/>
  <c r="AC38"/>
  <c r="AB38"/>
  <c r="AA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AE37"/>
  <c r="AD37"/>
  <c r="AC37"/>
  <c r="AB37"/>
  <c r="AA37"/>
  <c r="AA36" s="1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B35"/>
  <c r="C38"/>
  <c r="D31"/>
  <c r="B32"/>
  <c r="B37" s="1"/>
  <c r="AE31"/>
  <c r="AD31"/>
  <c r="AC31"/>
  <c r="AB31"/>
  <c r="AA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P27"/>
  <c r="N27"/>
  <c r="M26"/>
  <c r="K26"/>
  <c r="J26"/>
  <c r="AE26"/>
  <c r="AD26"/>
  <c r="AC26"/>
  <c r="AA26"/>
  <c r="Y26"/>
  <c r="W26"/>
  <c r="V26"/>
  <c r="U26"/>
  <c r="T26"/>
  <c r="S26"/>
  <c r="R26"/>
  <c r="Q26"/>
  <c r="O26"/>
  <c r="I26"/>
  <c r="H26"/>
  <c r="D26"/>
  <c r="AE24"/>
  <c r="AD24"/>
  <c r="AC24"/>
  <c r="AB24"/>
  <c r="AA24"/>
  <c r="Z24"/>
  <c r="Y24"/>
  <c r="X24"/>
  <c r="W24"/>
  <c r="U24"/>
  <c r="S24"/>
  <c r="Q24"/>
  <c r="P24"/>
  <c r="N24"/>
  <c r="M24"/>
  <c r="L24"/>
  <c r="K24"/>
  <c r="J24"/>
  <c r="I24"/>
  <c r="I22" s="1"/>
  <c r="AE23"/>
  <c r="AD23"/>
  <c r="AC23"/>
  <c r="AB23"/>
  <c r="AA23"/>
  <c r="Z23"/>
  <c r="Y23"/>
  <c r="X23"/>
  <c r="X22" s="1"/>
  <c r="W23"/>
  <c r="V23"/>
  <c r="U23"/>
  <c r="T23"/>
  <c r="S23"/>
  <c r="R23"/>
  <c r="Q23"/>
  <c r="P23"/>
  <c r="O23"/>
  <c r="N23"/>
  <c r="M23"/>
  <c r="M22" s="1"/>
  <c r="L23"/>
  <c r="K23"/>
  <c r="J23"/>
  <c r="C23"/>
  <c r="B21"/>
  <c r="B19"/>
  <c r="V24"/>
  <c r="T24"/>
  <c r="R15"/>
  <c r="D24"/>
  <c r="D55" s="1"/>
  <c r="D23"/>
  <c r="AE15"/>
  <c r="AD15"/>
  <c r="AC15"/>
  <c r="AB15"/>
  <c r="AA15"/>
  <c r="Z15"/>
  <c r="Y15"/>
  <c r="X15"/>
  <c r="W15"/>
  <c r="U15"/>
  <c r="S15"/>
  <c r="Q15"/>
  <c r="P15"/>
  <c r="O15"/>
  <c r="N15"/>
  <c r="M15"/>
  <c r="L15"/>
  <c r="K15"/>
  <c r="J15"/>
  <c r="I15"/>
  <c r="H15"/>
  <c r="B28" l="1"/>
  <c r="B49"/>
  <c r="L22"/>
  <c r="Y22"/>
  <c r="J81"/>
  <c r="J78"/>
  <c r="J77" s="1"/>
  <c r="R81"/>
  <c r="R78"/>
  <c r="R77" s="1"/>
  <c r="Z81"/>
  <c r="Z78"/>
  <c r="Z77" s="1"/>
  <c r="L81"/>
  <c r="L78"/>
  <c r="L77" s="1"/>
  <c r="H78"/>
  <c r="H77" s="1"/>
  <c r="V81"/>
  <c r="V78"/>
  <c r="V77" s="1"/>
  <c r="I78"/>
  <c r="I77" s="1"/>
  <c r="P81"/>
  <c r="P78"/>
  <c r="P77" s="1"/>
  <c r="X81"/>
  <c r="X78"/>
  <c r="X77" s="1"/>
  <c r="U55"/>
  <c r="U12" s="1"/>
  <c r="U98" s="1"/>
  <c r="V55"/>
  <c r="V12" s="1"/>
  <c r="V98" s="1"/>
  <c r="K36"/>
  <c r="S36"/>
  <c r="U64"/>
  <c r="T64"/>
  <c r="T81"/>
  <c r="N70"/>
  <c r="P22"/>
  <c r="H55"/>
  <c r="H12" s="1"/>
  <c r="H98" s="1"/>
  <c r="Q55"/>
  <c r="Q12" s="1"/>
  <c r="Q98" s="1"/>
  <c r="T55"/>
  <c r="T12" s="1"/>
  <c r="T98" s="1"/>
  <c r="U22"/>
  <c r="I55"/>
  <c r="M55"/>
  <c r="M12" s="1"/>
  <c r="M98" s="1"/>
  <c r="L55"/>
  <c r="X55"/>
  <c r="AA64"/>
  <c r="AB81"/>
  <c r="AB55"/>
  <c r="AB12" s="1"/>
  <c r="AB98" s="1"/>
  <c r="O64"/>
  <c r="H64"/>
  <c r="D69"/>
  <c r="D72" s="1"/>
  <c r="D70" s="1"/>
  <c r="N81"/>
  <c r="AE64"/>
  <c r="T15"/>
  <c r="X26"/>
  <c r="Z26"/>
  <c r="Z31"/>
  <c r="F47"/>
  <c r="I64"/>
  <c r="M64"/>
  <c r="AD81"/>
  <c r="K64"/>
  <c r="E85"/>
  <c r="E24"/>
  <c r="F19"/>
  <c r="AE70"/>
  <c r="C15"/>
  <c r="E26"/>
  <c r="P54"/>
  <c r="P11" s="1"/>
  <c r="B33"/>
  <c r="J55"/>
  <c r="J12" s="1"/>
  <c r="J98" s="1"/>
  <c r="N36"/>
  <c r="R36"/>
  <c r="V36"/>
  <c r="Z38"/>
  <c r="Z55" s="1"/>
  <c r="Z12" s="1"/>
  <c r="Z98" s="1"/>
  <c r="AD55"/>
  <c r="AD12" s="1"/>
  <c r="AD98" s="1"/>
  <c r="G41"/>
  <c r="P64"/>
  <c r="W64"/>
  <c r="P70"/>
  <c r="H71"/>
  <c r="H70" s="1"/>
  <c r="V15"/>
  <c r="L36"/>
  <c r="P36"/>
  <c r="T36"/>
  <c r="X36"/>
  <c r="AB36"/>
  <c r="O55"/>
  <c r="O12" s="1"/>
  <c r="O98" s="1"/>
  <c r="S55"/>
  <c r="S12" s="1"/>
  <c r="S98" s="1"/>
  <c r="W55"/>
  <c r="W12" s="1"/>
  <c r="W98" s="1"/>
  <c r="AE55"/>
  <c r="AE12" s="1"/>
  <c r="AE98" s="1"/>
  <c r="F41"/>
  <c r="B48"/>
  <c r="L64"/>
  <c r="Q64"/>
  <c r="Y64"/>
  <c r="Z65"/>
  <c r="Z64" s="1"/>
  <c r="I70"/>
  <c r="M70"/>
  <c r="Q70"/>
  <c r="H81"/>
  <c r="B82"/>
  <c r="F82" s="1"/>
  <c r="F21"/>
  <c r="I36"/>
  <c r="M36"/>
  <c r="Q36"/>
  <c r="U36"/>
  <c r="AC36"/>
  <c r="B60"/>
  <c r="F60" s="1"/>
  <c r="S64"/>
  <c r="J70"/>
  <c r="I81"/>
  <c r="H84"/>
  <c r="B27"/>
  <c r="B54" s="1"/>
  <c r="N26"/>
  <c r="AB26"/>
  <c r="X66"/>
  <c r="X72" s="1"/>
  <c r="AB70"/>
  <c r="E48"/>
  <c r="AC55"/>
  <c r="AC12" s="1"/>
  <c r="AC98" s="1"/>
  <c r="E37"/>
  <c r="E15"/>
  <c r="AC22"/>
  <c r="F63"/>
  <c r="AC64"/>
  <c r="E59"/>
  <c r="D64"/>
  <c r="Y55"/>
  <c r="Y12" s="1"/>
  <c r="Y98" s="1"/>
  <c r="E38"/>
  <c r="Y36"/>
  <c r="F69"/>
  <c r="E31"/>
  <c r="F32"/>
  <c r="AA55"/>
  <c r="AA12" s="1"/>
  <c r="AA98" s="1"/>
  <c r="D22"/>
  <c r="L54"/>
  <c r="L11" s="1"/>
  <c r="AB54"/>
  <c r="AB11" s="1"/>
  <c r="N55"/>
  <c r="N12" s="1"/>
  <c r="N98" s="1"/>
  <c r="D15"/>
  <c r="F16"/>
  <c r="Q22"/>
  <c r="L26"/>
  <c r="P26"/>
  <c r="C37"/>
  <c r="C36" s="1"/>
  <c r="C31"/>
  <c r="F35"/>
  <c r="O36"/>
  <c r="W36"/>
  <c r="AE36"/>
  <c r="M54"/>
  <c r="M11" s="1"/>
  <c r="U54"/>
  <c r="U11" s="1"/>
  <c r="AC54"/>
  <c r="AC11" s="1"/>
  <c r="R70"/>
  <c r="R64"/>
  <c r="K54"/>
  <c r="K11" s="1"/>
  <c r="K22"/>
  <c r="S54"/>
  <c r="S11" s="1"/>
  <c r="S22"/>
  <c r="W54"/>
  <c r="W11" s="1"/>
  <c r="W22"/>
  <c r="AD36"/>
  <c r="H36"/>
  <c r="B17"/>
  <c r="B24" s="1"/>
  <c r="R24"/>
  <c r="R55" s="1"/>
  <c r="R12" s="1"/>
  <c r="R98" s="1"/>
  <c r="T22"/>
  <c r="AB22"/>
  <c r="J54"/>
  <c r="J11" s="1"/>
  <c r="J22"/>
  <c r="N54"/>
  <c r="N11" s="1"/>
  <c r="N22"/>
  <c r="R54"/>
  <c r="R11" s="1"/>
  <c r="R22"/>
  <c r="V54"/>
  <c r="V22"/>
  <c r="Z54"/>
  <c r="Z22"/>
  <c r="AD54"/>
  <c r="AD22"/>
  <c r="P55"/>
  <c r="P12" s="1"/>
  <c r="P98" s="1"/>
  <c r="J36"/>
  <c r="D37"/>
  <c r="D36" s="1"/>
  <c r="F45"/>
  <c r="H54"/>
  <c r="H11" s="1"/>
  <c r="X54"/>
  <c r="X11" s="1"/>
  <c r="G43"/>
  <c r="F43"/>
  <c r="I54"/>
  <c r="Q54"/>
  <c r="Q11" s="1"/>
  <c r="Y54"/>
  <c r="Y11" s="1"/>
  <c r="K55"/>
  <c r="K12" s="1"/>
  <c r="K98" s="1"/>
  <c r="O54"/>
  <c r="O11" s="1"/>
  <c r="O22"/>
  <c r="AA54"/>
  <c r="AA11" s="1"/>
  <c r="AA22"/>
  <c r="AE54"/>
  <c r="AE11" s="1"/>
  <c r="AE22"/>
  <c r="E23"/>
  <c r="T54"/>
  <c r="T11" s="1"/>
  <c r="V59"/>
  <c r="V65"/>
  <c r="W70"/>
  <c r="J64"/>
  <c r="N64"/>
  <c r="AB64"/>
  <c r="AA70"/>
  <c r="B61"/>
  <c r="O70"/>
  <c r="AD71"/>
  <c r="AD70" s="1"/>
  <c r="AD64"/>
  <c r="Y70"/>
  <c r="AC70"/>
  <c r="S70"/>
  <c r="Q97" l="1"/>
  <c r="Q96" s="1"/>
  <c r="Q10"/>
  <c r="X97"/>
  <c r="AC97"/>
  <c r="AC96" s="1"/>
  <c r="AC10"/>
  <c r="AB10"/>
  <c r="AB97"/>
  <c r="AB96" s="1"/>
  <c r="B81"/>
  <c r="B78"/>
  <c r="P10"/>
  <c r="P9" s="1"/>
  <c r="P8" s="1"/>
  <c r="P97"/>
  <c r="P96" s="1"/>
  <c r="E12"/>
  <c r="I12"/>
  <c r="I98" s="1"/>
  <c r="C81"/>
  <c r="C78"/>
  <c r="AE10"/>
  <c r="AE97"/>
  <c r="AE96" s="1"/>
  <c r="H10"/>
  <c r="H97"/>
  <c r="H96" s="1"/>
  <c r="R10"/>
  <c r="R97"/>
  <c r="R96" s="1"/>
  <c r="J10"/>
  <c r="J97"/>
  <c r="J96" s="1"/>
  <c r="B22"/>
  <c r="W10"/>
  <c r="W97"/>
  <c r="W96" s="1"/>
  <c r="K10"/>
  <c r="K97"/>
  <c r="K96" s="1"/>
  <c r="U97"/>
  <c r="U96" s="1"/>
  <c r="U10"/>
  <c r="L97"/>
  <c r="X12"/>
  <c r="X98" s="1"/>
  <c r="D54"/>
  <c r="M97"/>
  <c r="M96" s="1"/>
  <c r="M10"/>
  <c r="B31"/>
  <c r="F31" s="1"/>
  <c r="B38"/>
  <c r="B36" s="1"/>
  <c r="E84"/>
  <c r="E79"/>
  <c r="L12"/>
  <c r="L98" s="1"/>
  <c r="C54"/>
  <c r="T10"/>
  <c r="T97"/>
  <c r="T96" s="1"/>
  <c r="O10"/>
  <c r="O97"/>
  <c r="O96" s="1"/>
  <c r="I11"/>
  <c r="E11"/>
  <c r="F11" s="1"/>
  <c r="AA10"/>
  <c r="AA97"/>
  <c r="AA96" s="1"/>
  <c r="Y97"/>
  <c r="Y96" s="1"/>
  <c r="Y10"/>
  <c r="AD11"/>
  <c r="N10"/>
  <c r="N97"/>
  <c r="N96" s="1"/>
  <c r="S10"/>
  <c r="S97"/>
  <c r="S96" s="1"/>
  <c r="E81"/>
  <c r="E78"/>
  <c r="E77" s="1"/>
  <c r="D12"/>
  <c r="D98" s="1"/>
  <c r="C24"/>
  <c r="C70"/>
  <c r="B26"/>
  <c r="Z36"/>
  <c r="C59"/>
  <c r="F33"/>
  <c r="X64"/>
  <c r="Z70"/>
  <c r="L70"/>
  <c r="F49"/>
  <c r="E36"/>
  <c r="AE53"/>
  <c r="Q53"/>
  <c r="B66"/>
  <c r="B59"/>
  <c r="F59" s="1"/>
  <c r="V70"/>
  <c r="V64"/>
  <c r="F61"/>
  <c r="X53"/>
  <c r="Z53"/>
  <c r="J53"/>
  <c r="F17"/>
  <c r="B15"/>
  <c r="F15" s="1"/>
  <c r="AC53"/>
  <c r="AB53"/>
  <c r="B65"/>
  <c r="B71" s="1"/>
  <c r="B11" s="1"/>
  <c r="E22"/>
  <c r="F23"/>
  <c r="AA53"/>
  <c r="H53"/>
  <c r="F37"/>
  <c r="W53"/>
  <c r="K53"/>
  <c r="U53"/>
  <c r="L53"/>
  <c r="P53"/>
  <c r="X70"/>
  <c r="Y53"/>
  <c r="F48"/>
  <c r="AD53"/>
  <c r="V53"/>
  <c r="N53"/>
  <c r="M53"/>
  <c r="O53"/>
  <c r="S53"/>
  <c r="C26"/>
  <c r="T53"/>
  <c r="I53"/>
  <c r="R53"/>
  <c r="C77" l="1"/>
  <c r="B77"/>
  <c r="F77" s="1"/>
  <c r="F78"/>
  <c r="F81"/>
  <c r="L96"/>
  <c r="B55"/>
  <c r="B53" s="1"/>
  <c r="L10"/>
  <c r="L9" s="1"/>
  <c r="L8" s="1"/>
  <c r="B97"/>
  <c r="C55"/>
  <c r="C12" s="1"/>
  <c r="C98" s="1"/>
  <c r="I97"/>
  <c r="I96" s="1"/>
  <c r="I10"/>
  <c r="D53"/>
  <c r="D11"/>
  <c r="Z11"/>
  <c r="E98"/>
  <c r="X96"/>
  <c r="V11"/>
  <c r="C11"/>
  <c r="X10"/>
  <c r="X9" s="1"/>
  <c r="X8" s="1"/>
  <c r="AD10"/>
  <c r="AD97"/>
  <c r="AD96" s="1"/>
  <c r="B72"/>
  <c r="B70" s="1"/>
  <c r="B64"/>
  <c r="F64" s="1"/>
  <c r="E97"/>
  <c r="E10"/>
  <c r="F38"/>
  <c r="F36"/>
  <c r="I9"/>
  <c r="I8" s="1"/>
  <c r="S9"/>
  <c r="S8" s="1"/>
  <c r="N9"/>
  <c r="N8" s="1"/>
  <c r="Y9"/>
  <c r="Y8" s="1"/>
  <c r="AB9"/>
  <c r="AB8" s="1"/>
  <c r="J9"/>
  <c r="J8" s="1"/>
  <c r="O9"/>
  <c r="O8" s="1"/>
  <c r="AD9"/>
  <c r="AD8" s="1"/>
  <c r="U9"/>
  <c r="U8" s="1"/>
  <c r="AA9"/>
  <c r="AA8" s="1"/>
  <c r="AC9"/>
  <c r="AC8" s="1"/>
  <c r="F22"/>
  <c r="F24"/>
  <c r="Q9"/>
  <c r="Q8" s="1"/>
  <c r="R9"/>
  <c r="R8" s="1"/>
  <c r="W9"/>
  <c r="W8" s="1"/>
  <c r="H9"/>
  <c r="H8" s="1"/>
  <c r="E53"/>
  <c r="F71"/>
  <c r="F65"/>
  <c r="F66"/>
  <c r="T9"/>
  <c r="T8" s="1"/>
  <c r="M9"/>
  <c r="M8" s="1"/>
  <c r="AE9"/>
  <c r="AE8" s="1"/>
  <c r="K9"/>
  <c r="K8" s="1"/>
  <c r="F97" l="1"/>
  <c r="E96"/>
  <c r="B12"/>
  <c r="C10"/>
  <c r="C9" s="1"/>
  <c r="C8" s="1"/>
  <c r="C97"/>
  <c r="V10"/>
  <c r="V9" s="1"/>
  <c r="V8" s="1"/>
  <c r="V97"/>
  <c r="V96" s="1"/>
  <c r="D10"/>
  <c r="D97"/>
  <c r="D96" s="1"/>
  <c r="Z10"/>
  <c r="Z9" s="1"/>
  <c r="Z8" s="1"/>
  <c r="Z97"/>
  <c r="Z96" s="1"/>
  <c r="C53"/>
  <c r="D9"/>
  <c r="D8" s="1"/>
  <c r="F70"/>
  <c r="F72"/>
  <c r="C96" l="1"/>
  <c r="G97"/>
  <c r="B98"/>
  <c r="F12"/>
  <c r="B10"/>
  <c r="E9"/>
  <c r="B8" l="1"/>
  <c r="F10"/>
  <c r="B96"/>
  <c r="F96" s="1"/>
  <c r="F98"/>
  <c r="E8"/>
  <c r="P66" i="3" l="1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F18"/>
  <c r="F17"/>
  <c r="G16"/>
  <c r="F16" s="1"/>
  <c r="F15" s="1"/>
  <c r="I15"/>
  <c r="H15"/>
  <c r="G19" l="1"/>
  <c r="P26" i="3"/>
  <c r="P63" s="1"/>
  <c r="N15"/>
  <c r="R15" s="1"/>
  <c r="Q18"/>
  <c r="G15" i="2"/>
  <c r="F19"/>
  <c r="F47"/>
  <c r="F53" s="1"/>
  <c r="M16" i="3"/>
  <c r="Q16" s="1"/>
  <c r="H33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Q17" i="3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P61"/>
  <c r="N62"/>
  <c r="G64"/>
  <c r="F28"/>
  <c r="M28"/>
  <c r="M65" s="1"/>
  <c r="Q44"/>
  <c r="R47"/>
  <c r="N60"/>
  <c r="R28"/>
  <c r="G34"/>
  <c r="G32" s="1"/>
  <c r="N34"/>
  <c r="R48"/>
  <c r="F62" i="2"/>
  <c r="F61"/>
  <c r="G34"/>
  <c r="G54"/>
  <c r="G55"/>
  <c r="G65"/>
  <c r="H34"/>
  <c r="H53"/>
  <c r="H54"/>
  <c r="H55"/>
  <c r="I34"/>
  <c r="I32" s="1"/>
  <c r="I53"/>
  <c r="I54"/>
  <c r="I55"/>
  <c r="Q15" i="3" l="1"/>
  <c r="F60" i="2"/>
  <c r="G26"/>
  <c r="F26" s="1"/>
  <c r="F63" s="1"/>
  <c r="I57"/>
  <c r="H57"/>
  <c r="G64"/>
  <c r="I32" i="3"/>
  <c r="I56" s="1"/>
  <c r="Q31"/>
  <c r="G33" i="2"/>
  <c r="F33" s="1"/>
  <c r="F57" s="1"/>
  <c r="I58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H32"/>
  <c r="H56" s="1"/>
  <c r="M34"/>
  <c r="M58" s="1"/>
  <c r="N58"/>
  <c r="F53"/>
  <c r="F60"/>
  <c r="Q47"/>
  <c r="R60"/>
  <c r="H32" i="2"/>
  <c r="H56" s="1"/>
  <c r="G58"/>
  <c r="F34"/>
  <c r="F58" s="1"/>
  <c r="Q60" i="3" l="1"/>
  <c r="G63" i="2"/>
  <c r="Q64" i="3"/>
  <c r="Q26"/>
  <c r="G32" i="2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sharedStrings.xml><?xml version="1.0" encoding="utf-8"?>
<sst xmlns="http://schemas.openxmlformats.org/spreadsheetml/2006/main" count="634" uniqueCount="202">
  <si>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</si>
  <si>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</si>
  <si>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</si>
  <si>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</si>
  <si>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</si>
  <si>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</si>
  <si>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</si>
  <si>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</si>
  <si>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</si>
  <si>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</si>
  <si>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</si>
  <si>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</si>
  <si>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</si>
  <si>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</si>
  <si>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</si>
  <si>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</si>
  <si>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</si>
  <si>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</si>
  <si>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</si>
  <si>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</si>
  <si>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</si>
  <si>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</si>
  <si>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</si>
  <si>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</si>
  <si>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</si>
  <si>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</si>
  <si>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</si>
  <si>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</si>
  <si>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</si>
  <si>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</si>
  <si>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</si>
  <si>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</si>
  <si>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</si>
  <si>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</si>
  <si>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</si>
  <si>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</si>
  <si>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</si>
  <si>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</si>
  <si>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</si>
  <si>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</si>
  <si>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</si>
  <si>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</si>
  <si>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</si>
  <si>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</si>
  <si>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</si>
  <si>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</si>
  <si>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</si>
  <si>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</si>
  <si>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</si>
  <si>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</si>
  <si>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</si>
  <si>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</si>
  <si>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</si>
  <si>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</si>
  <si>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</si>
  <si>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</si>
  <si>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</si>
  <si>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</si>
  <si>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</si>
  <si>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</si>
  <si>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</si>
  <si>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</si>
  <si>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</si>
  <si>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</si>
  <si>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</si>
  <si>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</si>
  <si>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</si>
  <si>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</si>
  <si>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</si>
  <si>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</si>
  <si>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</si>
  <si>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</si>
  <si>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</si>
  <si>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</si>
  <si>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</si>
  <si>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</si>
  <si>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</si>
  <si>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</si>
  <si>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</si>
  <si>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</si>
  <si>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</si>
  <si>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</si>
  <si>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</si>
  <si>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</si>
  <si>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</si>
  <si>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</si>
  <si>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</si>
  <si>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</si>
  <si>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</si>
  <si>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</si>
  <si>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</si>
  <si>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</si>
  <si>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</si>
  <si>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</si>
  <si>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</si>
  <si>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</si>
  <si>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</si>
  <si>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</si>
  <si>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</si>
  <si>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</si>
  <si>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</si>
  <si>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</si>
  <si>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</si>
  <si>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</si>
  <si>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</si>
  <si>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</si>
  <si>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</si>
  <si>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</si>
  <si>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</si>
  <si>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</si>
  <si>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</si>
  <si>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</si>
  <si>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</si>
  <si>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</si>
  <si>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</si>
  <si>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</si>
  <si>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</si>
  <si>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</si>
  <si>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</si>
  <si>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</si>
  <si>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</si>
  <si>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</si>
  <si>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</si>
  <si>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</si>
  <si>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</si>
  <si>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</si>
  <si>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</si>
  <si>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</si>
  <si>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</si>
  <si>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</si>
  <si>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</si>
  <si>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Начальник управления экономики Администрации города Когалыма</t>
  </si>
  <si>
    <t>Е.Г.Загорская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</si>
  <si>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</si>
  <si>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</si>
  <si>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</si>
  <si>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</si>
  <si>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</si>
  <si>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</si>
  <si>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</si>
  <si>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</si>
  <si>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</si>
  <si>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В период с апреля по ноябрь 2018 года планируется трудоустроить 51 безработного гражданина.  Освоение средств данного мероприятия планируется в апреле 2018 года.</t>
  </si>
  <si>
    <t>Муниципальные учреждения г. Когалыма не заявили в ЦЗН свою потребность для участия в данном мероприятии Программы.</t>
  </si>
  <si>
    <t>Заседание Межведомственной комиссии планируется провести в мае и ноябре 2018 года.</t>
  </si>
  <si>
    <t>Отчет о ходе реализации муниципальной программы "Содействие занятости населения города Когалыма"по состоянию на 01.03.2018 года</t>
  </si>
  <si>
    <t>План на 01.03.2018</t>
  </si>
  <si>
    <t>Профинансировано на 01.03.2018</t>
  </si>
  <si>
    <t>Кассовый расход на  01.03.2018</t>
  </si>
  <si>
    <t xml:space="preserve">Приложение </t>
  </si>
  <si>
    <t xml:space="preserve">  к постановлению Администрации города Когалыма  </t>
  </si>
  <si>
    <t>Приложение 2</t>
  </si>
  <si>
    <t xml:space="preserve"> к муниципальной программе «Содействие занятости населения города Когалыма»</t>
  </si>
  <si>
    <t>Перечень основных мероприятий, подмероприятий муниципальной программы</t>
  </si>
  <si>
    <t xml:space="preserve">«Содействие занятости населения города Когалыма» </t>
  </si>
  <si>
    <t xml:space="preserve">Номер основного мероприятия
</t>
  </si>
  <si>
    <t xml:space="preserve">Основные мероприятия, подмероприятия муниципальной программы </t>
  </si>
  <si>
    <t xml:space="preserve">Ответственный исполнитель/
соисполнитель, учреждение, организация
</t>
  </si>
  <si>
    <t>Финансовые затраты на реализацию программы (тыс. рублей)</t>
  </si>
  <si>
    <t>Содействие улучшению положения на рынке труда не занятых трудовой деятельностью и безработных граждан (показатели 1,2,3,4,5)</t>
  </si>
  <si>
    <t>бюджет Ханты-Мансийского автономного округа - Югры (далее - бюджет автономного округа)</t>
  </si>
  <si>
    <t xml:space="preserve">бюджет города Когалыма </t>
  </si>
  <si>
    <t>1.1.1.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</si>
  <si>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</si>
  <si>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Управление культуры, спорта и молодёжной политики Администрации города Когалыма/МБУ«МКЦ «Феникс»</t>
  </si>
  <si>
    <t xml:space="preserve">бюджет автономного округа </t>
  </si>
  <si>
    <t>1.1.2.</t>
  </si>
  <si>
    <t xml:space="preserve">Организация временного трудоустройства несовершеннолетних граждан в возрасте от 14 до 18 лет в течение учебного года   </t>
  </si>
  <si>
    <t>1.1.3.</t>
  </si>
  <si>
    <t>1.1.4.</t>
  </si>
  <si>
    <t>Привлечение прочих специалистов для организации работ трудовых бригад несовершеннолетних граждан</t>
  </si>
  <si>
    <t xml:space="preserve">бюджет города Когалыма  </t>
  </si>
  <si>
    <t>1.1.5.</t>
  </si>
  <si>
    <t>1.1.6.</t>
  </si>
  <si>
    <t xml:space="preserve">Организация проведения оплачиваемых общественных работ для не занятых трудовой деятельностью и безработных граждан </t>
  </si>
  <si>
    <t>Муниципальное бюджетное учреждение «Коммунспецавтотехника»</t>
  </si>
  <si>
    <t>1.1.7.</t>
  </si>
  <si>
    <t xml:space="preserve">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</t>
  </si>
  <si>
    <t>Подпрограмма 2. «Улучшение условий и охраны труда в городе Когалыме»</t>
  </si>
  <si>
    <t>Осуществление отдельных государственных полномочий в сфере трудовых отношений и  государственного управления охраной труда в городе Когалыме (6)</t>
  </si>
  <si>
    <t xml:space="preserve">Муниципальное казенное учреждение «Управление обеспечения деятельности органов местного самоуправления» </t>
  </si>
  <si>
    <t>2.2.4. 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</si>
  <si>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2.2.</t>
  </si>
  <si>
    <t>Предупредительные меры, направленные на снижение производственного травматизма и профессиональной заболеваемости работающего населения (7)</t>
  </si>
  <si>
    <t>2.2.1.</t>
  </si>
  <si>
    <t>2.2.2.</t>
  </si>
  <si>
    <t xml:space="preserve"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</t>
  </si>
  <si>
    <t xml:space="preserve">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</si>
  <si>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муниципальной программе</t>
  </si>
  <si>
    <t>Ответственный исполнитель (управление экономики Администрации города Когалыма)</t>
  </si>
  <si>
    <t>Соисполнитель 1 (управление культуры, спорта и молодёжной политики Администрации города Когалыма/МБУ«МКЦ «Феникс»)</t>
  </si>
  <si>
    <t>Соисполнитель 2 (муниципальное казённое учреждение «Управление жилищно-коммунального хозяйства города Когалыма»)</t>
  </si>
  <si>
    <t>Соисполнитель 3 (управление образования Администрации города Когалыма)</t>
  </si>
  <si>
    <t>Соисполнитель 4 (муниципальное казенное учреждение «Управление обеспечения деятельности органов местного самоуправления»)</t>
  </si>
  <si>
    <t>Соисполнитель 5 (муниципальное бюджетное учреждение «Коммунспецавтотехника»)</t>
  </si>
  <si>
    <t xml:space="preserve">Остаток средств по выплате заработной платы и налогам             
 17,80 т.р. из них:
1.)14,55т.р- заработная плата; 2.) 3,25т.р.- начисления на заработную плату (налоги).
Остаток средств образовался в связи с тем, что оплата была произведена за фактически отработанное несовешеннолетними гражданами время.                              
Остаток средств из местного бюджета- 3,80 т.р.                                                                                              
Денежные средства из окружного бюджета в размере 14,00 т.р. не поступилив связи с внесением изменений в договор (с ЦЗН) № 21 "О совместной деятельности по организации временного трудоустройства граждан" (п.3., части 3.2 "Финансирование обязательств") от 26.01.2018г. Окружные средства будут поступать после сдачи табелей и  актов сверки в следующем месяце, идущем за отчетным.
</t>
  </si>
  <si>
    <t>По факту обращения несовершеннолетних граждан в МБУ "МКЦ"Феникс"оказано 448 консультаций.</t>
  </si>
  <si>
    <t>По состоянию на 01.03.2018 года остаток средств составил 3,72 тыс. рублей,  в связи с тем, что кассовые расходы на связь и комунальные услуги производились по фактически выставлеными поставщиками счетами. Специалистами отдела по труду и занятости: принято участие в расследовании 3 несчастных случаях связанных с производством и в 2 несчатных случаях не связанных с производством; рассмотрено 4 устных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</si>
  <si>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Принято и проверено 150 отчетов по ОТ от работодателей г.Когалыма за 2017 год.</t>
  </si>
  <si>
    <t xml:space="preserve">Не использовано 238,87т.р., в том числе:
1.) 167,43т.р. - остаток средств по выплате заработной платы (в связи с отсутствием желающих, вместо планируемых 8 несовершеннолетних граждан было трудоустроено 2, 1 из которых отработал не полный месяц);                                              2.) 50,44т.р. - остаток средств по выплате отчислений на заработную плату (налогам); 3.)  21,00т.р.  - экономия, образовавшаяся в связи с тем, что у принятых работников была действующая мед.комиссия.                                        
Остаток средств из местного бюджета составил 154,23 т.р.                                                                          
Денежные средства из окружного бюджета в размере 63,64 т.р. не поступили. См.п.1.1.2. </t>
  </si>
  <si>
    <t>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Неполное освоение денежных средств в сумме 328,94 тыс. рублей связано с поздним подписанием договоров КУ "Когалымский центр занятости населения" с организациями получающими субсидии от МКУ "УЖКХ г.Когалыма" (которые заключают договора с Центром занятости с целью направления работников для трудоустройства на временные общественные работы с возмещением части затрат из окружного бюджетас целью направления работников для трудоустройства на временные общественные работы с возмещением части затрат из окружного бюджета. Тексты договоров согласовывались с Департаментом труда и занятости ХМАО-Югры, в связи с возникшими разногласиями в части возмещения затрат.) С начала года трудоустроено 32 человека, в т.ч. 19 кухонных рабочих и 13 машинисток.</t>
  </si>
  <si>
    <t>на 01.03.2018 года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</si>
</sst>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_ ;\-#,##0.0\ "/>
    <numFmt numFmtId="167" formatCode="#,##0.0"/>
    <numFmt numFmtId="168" formatCode="#,##0.00_ ;\-#,##0.00\ "/>
  </numFmts>
  <fonts count="37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4" fontId="1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/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6" fillId="0" borderId="0" xfId="0" applyFont="1" applyBorder="1"/>
    <xf numFmtId="0" fontId="21" fillId="8" borderId="0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8" borderId="1" xfId="0" applyFont="1" applyFill="1" applyBorder="1" applyAlignment="1">
      <alignment horizontal="justify" vertical="top" wrapText="1"/>
    </xf>
    <xf numFmtId="4" fontId="28" fillId="8" borderId="1" xfId="0" applyNumberFormat="1" applyFont="1" applyFill="1" applyBorder="1" applyAlignment="1">
      <alignment horizontal="right" vertical="center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8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9" fontId="28" fillId="9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8" borderId="1" xfId="2" applyFont="1" applyFill="1" applyBorder="1" applyAlignment="1">
      <alignment horizontal="right" vertical="center" wrapText="1"/>
    </xf>
    <xf numFmtId="43" fontId="28" fillId="8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horizontal="justify" vertical="top" wrapText="1"/>
    </xf>
    <xf numFmtId="43" fontId="28" fillId="8" borderId="1" xfId="1" applyFont="1" applyFill="1" applyBorder="1" applyAlignment="1" applyProtection="1">
      <alignment horizontal="right" vertical="center" wrapText="1"/>
    </xf>
    <xf numFmtId="9" fontId="28" fillId="8" borderId="1" xfId="2" applyFont="1" applyFill="1" applyBorder="1" applyAlignment="1" applyProtection="1">
      <alignment horizontal="right" vertical="center" wrapText="1"/>
    </xf>
    <xf numFmtId="43" fontId="19" fillId="8" borderId="4" xfId="1" applyFont="1" applyFill="1" applyBorder="1" applyAlignment="1" applyProtection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top" wrapText="1"/>
    </xf>
    <xf numFmtId="0" fontId="30" fillId="10" borderId="7" xfId="0" applyFont="1" applyFill="1" applyBorder="1" applyAlignment="1">
      <alignment horizontal="justify" vertical="top" wrapText="1"/>
    </xf>
    <xf numFmtId="43" fontId="5" fillId="10" borderId="7" xfId="1" applyFont="1" applyFill="1" applyBorder="1" applyAlignment="1">
      <alignment horizontal="right" vertical="center" wrapText="1"/>
    </xf>
    <xf numFmtId="43" fontId="28" fillId="10" borderId="7" xfId="1" applyFont="1" applyFill="1" applyBorder="1" applyAlignment="1" applyProtection="1">
      <alignment horizontal="right" vertical="center" wrapText="1"/>
    </xf>
    <xf numFmtId="9" fontId="28" fillId="10" borderId="7" xfId="2" applyFont="1" applyFill="1" applyBorder="1" applyAlignment="1" applyProtection="1">
      <alignment horizontal="right" vertical="center" wrapText="1"/>
    </xf>
    <xf numFmtId="43" fontId="19" fillId="10" borderId="9" xfId="1" applyFont="1" applyFill="1" applyBorder="1" applyAlignment="1" applyProtection="1">
      <alignment horizontal="right" vertical="center" wrapText="1"/>
    </xf>
    <xf numFmtId="0" fontId="28" fillId="7" borderId="10" xfId="0" applyFont="1" applyFill="1" applyBorder="1" applyAlignment="1">
      <alignment horizontal="justify" wrapText="1"/>
    </xf>
    <xf numFmtId="43" fontId="28" fillId="7" borderId="11" xfId="1" applyFont="1" applyFill="1" applyBorder="1" applyAlignment="1">
      <alignment horizontal="right" vertical="center" wrapText="1"/>
    </xf>
    <xf numFmtId="9" fontId="28" fillId="7" borderId="11" xfId="2" applyFont="1" applyFill="1" applyBorder="1" applyAlignment="1">
      <alignment horizontal="right" vertical="center" wrapText="1"/>
    </xf>
    <xf numFmtId="43" fontId="28" fillId="7" borderId="12" xfId="1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justify" wrapText="1"/>
    </xf>
    <xf numFmtId="43" fontId="5" fillId="6" borderId="14" xfId="1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>
      <alignment horizontal="justify" wrapText="1"/>
    </xf>
    <xf numFmtId="43" fontId="5" fillId="5" borderId="16" xfId="1" applyFont="1" applyFill="1" applyBorder="1" applyAlignment="1">
      <alignment horizontal="right" vertical="center" wrapText="1"/>
    </xf>
    <xf numFmtId="9" fontId="5" fillId="5" borderId="16" xfId="2" applyFont="1" applyFill="1" applyBorder="1" applyAlignment="1" applyProtection="1">
      <alignment horizontal="right" vertical="center" wrapText="1"/>
    </xf>
    <xf numFmtId="43" fontId="5" fillId="5" borderId="16" xfId="1" applyFont="1" applyFill="1" applyBorder="1" applyAlignment="1" applyProtection="1">
      <alignment horizontal="right" vertical="center" wrapText="1"/>
    </xf>
    <xf numFmtId="43" fontId="5" fillId="5" borderId="17" xfId="1" applyFont="1" applyFill="1" applyBorder="1" applyAlignment="1" applyProtection="1">
      <alignment horizontal="right" vertical="center" wrapText="1"/>
    </xf>
    <xf numFmtId="49" fontId="22" fillId="0" borderId="1" xfId="1" applyNumberFormat="1" applyFont="1" applyFill="1" applyBorder="1" applyAlignment="1" applyProtection="1">
      <alignment horizontal="left" vertical="top" wrapText="1"/>
    </xf>
    <xf numFmtId="0" fontId="33" fillId="0" borderId="0" xfId="0" applyFont="1" applyFill="1"/>
    <xf numFmtId="0" fontId="34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6" fontId="2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6" fontId="2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/>
    <xf numFmtId="0" fontId="3" fillId="0" borderId="7" xfId="0" applyFont="1" applyFill="1" applyBorder="1" applyAlignment="1">
      <alignment horizontal="left"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3" fontId="20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wrapText="1"/>
    </xf>
    <xf numFmtId="164" fontId="32" fillId="0" borderId="0" xfId="0" applyNumberFormat="1" applyFont="1" applyFill="1" applyBorder="1" applyAlignment="1">
      <alignment horizontal="left" wrapText="1"/>
    </xf>
    <xf numFmtId="164" fontId="25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6" fontId="3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99FF66"/>
      <color rgb="FF66FF66"/>
      <color rgb="FF00FF00"/>
      <color rgb="FF00FFCC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200" t="s">
        <v>60</v>
      </c>
      <c r="C6" s="200"/>
      <c r="D6" s="200"/>
      <c r="E6" s="200"/>
      <c r="F6" s="200"/>
      <c r="G6" s="200"/>
      <c r="H6" s="200"/>
      <c r="I6" s="200"/>
      <c r="J6" s="200"/>
    </row>
    <row r="7" spans="2:13" s="4" customFormat="1"/>
    <row r="8" spans="2:13" s="4" customFormat="1">
      <c r="B8" s="201" t="s">
        <v>29</v>
      </c>
      <c r="C8" s="201" t="s">
        <v>0</v>
      </c>
      <c r="D8" s="201" t="s">
        <v>72</v>
      </c>
      <c r="E8" s="201" t="s">
        <v>1</v>
      </c>
      <c r="F8" s="201" t="s">
        <v>30</v>
      </c>
      <c r="G8" s="201"/>
      <c r="H8" s="201"/>
      <c r="I8" s="201"/>
      <c r="J8" s="201" t="s">
        <v>2</v>
      </c>
    </row>
    <row r="9" spans="2:13" s="4" customFormat="1">
      <c r="B9" s="201"/>
      <c r="C9" s="201"/>
      <c r="D9" s="201"/>
      <c r="E9" s="201"/>
      <c r="F9" s="201" t="s">
        <v>3</v>
      </c>
      <c r="G9" s="201" t="s">
        <v>4</v>
      </c>
      <c r="H9" s="201"/>
      <c r="I9" s="201"/>
      <c r="J9" s="201"/>
    </row>
    <row r="10" spans="2:13" s="4" customFormat="1">
      <c r="B10" s="201"/>
      <c r="C10" s="201"/>
      <c r="D10" s="201"/>
      <c r="E10" s="201"/>
      <c r="F10" s="201"/>
      <c r="G10" s="14" t="s">
        <v>5</v>
      </c>
      <c r="H10" s="14" t="s">
        <v>6</v>
      </c>
      <c r="I10" s="14" t="s">
        <v>7</v>
      </c>
      <c r="J10" s="201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208" t="s">
        <v>63</v>
      </c>
      <c r="C12" s="208"/>
      <c r="D12" s="208"/>
      <c r="E12" s="208"/>
      <c r="F12" s="208"/>
      <c r="G12" s="208"/>
      <c r="H12" s="208"/>
      <c r="I12" s="208"/>
      <c r="J12" s="208"/>
    </row>
    <row r="13" spans="2:13" s="4" customFormat="1">
      <c r="B13" s="208" t="s">
        <v>58</v>
      </c>
      <c r="C13" s="208"/>
      <c r="D13" s="208"/>
      <c r="E13" s="208"/>
      <c r="F13" s="208"/>
      <c r="G13" s="208"/>
      <c r="H13" s="208"/>
      <c r="I13" s="208"/>
      <c r="J13" s="208"/>
    </row>
    <row r="14" spans="2:13" s="4" customFormat="1">
      <c r="B14" s="209" t="s">
        <v>8</v>
      </c>
      <c r="C14" s="210"/>
      <c r="D14" s="210"/>
      <c r="E14" s="210"/>
      <c r="F14" s="210"/>
      <c r="G14" s="210"/>
      <c r="H14" s="210"/>
      <c r="I14" s="210"/>
      <c r="J14" s="211"/>
    </row>
    <row r="15" spans="2:13" s="4" customFormat="1">
      <c r="B15" s="212" t="s">
        <v>31</v>
      </c>
      <c r="C15" s="205" t="s">
        <v>9</v>
      </c>
      <c r="D15" s="202" t="s">
        <v>43</v>
      </c>
      <c r="E15" s="20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213"/>
      <c r="C16" s="206"/>
      <c r="D16" s="203"/>
      <c r="E16" s="20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214"/>
      <c r="C17" s="207"/>
      <c r="D17" s="204"/>
      <c r="E17" s="20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212" t="s">
        <v>33</v>
      </c>
      <c r="C19" s="205" t="s">
        <v>12</v>
      </c>
      <c r="D19" s="202" t="s">
        <v>43</v>
      </c>
      <c r="E19" s="20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213"/>
      <c r="C20" s="206"/>
      <c r="D20" s="203"/>
      <c r="E20" s="20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214"/>
      <c r="C21" s="207"/>
      <c r="D21" s="204"/>
      <c r="E21" s="20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201" t="s">
        <v>16</v>
      </c>
      <c r="G25" s="201"/>
      <c r="H25" s="201"/>
      <c r="I25" s="201"/>
      <c r="J25" s="201"/>
      <c r="M25" s="8"/>
    </row>
    <row r="26" spans="2:13" s="4" customFormat="1">
      <c r="B26" s="202"/>
      <c r="C26" s="205" t="s">
        <v>17</v>
      </c>
      <c r="D26" s="202" t="s">
        <v>43</v>
      </c>
      <c r="E26" s="20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203"/>
      <c r="C27" s="206"/>
      <c r="D27" s="203"/>
      <c r="E27" s="20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204"/>
      <c r="C28" s="207"/>
      <c r="D28" s="204"/>
      <c r="E28" s="20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208" t="s">
        <v>18</v>
      </c>
      <c r="C29" s="208"/>
      <c r="D29" s="208"/>
      <c r="E29" s="208"/>
      <c r="F29" s="208"/>
      <c r="G29" s="208"/>
      <c r="H29" s="208"/>
      <c r="I29" s="208"/>
      <c r="J29" s="208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215"/>
      <c r="C32" s="205" t="s">
        <v>21</v>
      </c>
      <c r="D32" s="218"/>
      <c r="E32" s="20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216"/>
      <c r="C33" s="206"/>
      <c r="D33" s="219"/>
      <c r="E33" s="20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217"/>
      <c r="C34" s="207"/>
      <c r="D34" s="220"/>
      <c r="E34" s="20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209" t="s">
        <v>59</v>
      </c>
      <c r="C35" s="210"/>
      <c r="D35" s="210"/>
      <c r="E35" s="210"/>
      <c r="F35" s="210"/>
      <c r="G35" s="210"/>
      <c r="H35" s="210"/>
      <c r="I35" s="210"/>
      <c r="J35" s="211"/>
      <c r="M35" s="8"/>
    </row>
    <row r="36" spans="2:13">
      <c r="B36" s="209" t="s">
        <v>56</v>
      </c>
      <c r="C36" s="210"/>
      <c r="D36" s="210"/>
      <c r="E36" s="210"/>
      <c r="F36" s="210"/>
      <c r="G36" s="210"/>
      <c r="H36" s="210"/>
      <c r="I36" s="210"/>
      <c r="J36" s="211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209" t="s">
        <v>64</v>
      </c>
      <c r="C40" s="210"/>
      <c r="D40" s="210"/>
      <c r="E40" s="210"/>
      <c r="F40" s="210"/>
      <c r="G40" s="210"/>
      <c r="H40" s="210"/>
      <c r="I40" s="210"/>
      <c r="J40" s="211"/>
      <c r="M40" s="8"/>
    </row>
    <row r="41" spans="2:13">
      <c r="B41" s="209" t="s">
        <v>44</v>
      </c>
      <c r="C41" s="210"/>
      <c r="D41" s="210"/>
      <c r="E41" s="210"/>
      <c r="F41" s="210"/>
      <c r="G41" s="210"/>
      <c r="H41" s="210"/>
      <c r="I41" s="210"/>
      <c r="J41" s="211"/>
      <c r="M41" s="8"/>
    </row>
    <row r="42" spans="2:13">
      <c r="B42" s="208" t="s">
        <v>45</v>
      </c>
      <c r="C42" s="208"/>
      <c r="D42" s="208"/>
      <c r="E42" s="208"/>
      <c r="F42" s="208"/>
      <c r="G42" s="208"/>
      <c r="H42" s="208"/>
      <c r="I42" s="208"/>
      <c r="J42" s="208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201" t="s">
        <v>16</v>
      </c>
      <c r="G43" s="201"/>
      <c r="H43" s="201"/>
      <c r="I43" s="201"/>
      <c r="J43" s="201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201"/>
      <c r="C47" s="205" t="s">
        <v>48</v>
      </c>
      <c r="D47" s="201" t="s">
        <v>22</v>
      </c>
      <c r="E47" s="20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201"/>
      <c r="C48" s="206"/>
      <c r="D48" s="201"/>
      <c r="E48" s="20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201"/>
      <c r="C49" s="207"/>
      <c r="D49" s="201"/>
      <c r="E49" s="20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208" t="s">
        <v>49</v>
      </c>
      <c r="C50" s="208"/>
      <c r="D50" s="208"/>
      <c r="E50" s="208"/>
      <c r="F50" s="208"/>
      <c r="G50" s="208"/>
      <c r="H50" s="208"/>
      <c r="I50" s="208"/>
      <c r="J50" s="208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201" t="s">
        <v>16</v>
      </c>
      <c r="G51" s="201"/>
      <c r="H51" s="201"/>
      <c r="I51" s="201"/>
      <c r="J51" s="201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201" t="s">
        <v>16</v>
      </c>
      <c r="G52" s="201"/>
      <c r="H52" s="201"/>
      <c r="I52" s="201"/>
      <c r="J52" s="201"/>
      <c r="M52" s="8"/>
    </row>
    <row r="53" spans="2:22" ht="15.75" customHeight="1">
      <c r="B53" s="221"/>
      <c r="C53" s="208" t="s">
        <v>52</v>
      </c>
      <c r="D53" s="201" t="s">
        <v>22</v>
      </c>
      <c r="E53" s="20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221"/>
      <c r="C54" s="208"/>
      <c r="D54" s="201"/>
      <c r="E54" s="20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221"/>
      <c r="C55" s="208"/>
      <c r="D55" s="201"/>
      <c r="E55" s="20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222"/>
      <c r="C56" s="208" t="s">
        <v>55</v>
      </c>
      <c r="D56" s="221"/>
      <c r="E56" s="20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222"/>
      <c r="C57" s="208"/>
      <c r="D57" s="221"/>
      <c r="E57" s="20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222"/>
      <c r="C58" s="208"/>
      <c r="D58" s="221"/>
      <c r="E58" s="20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221"/>
      <c r="C60" s="208" t="s">
        <v>28</v>
      </c>
      <c r="D60" s="221"/>
      <c r="E60" s="20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221"/>
      <c r="C61" s="208"/>
      <c r="D61" s="221"/>
      <c r="E61" s="20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221"/>
      <c r="C62" s="208"/>
      <c r="D62" s="221"/>
      <c r="E62" s="20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218"/>
      <c r="C63" s="205" t="s">
        <v>61</v>
      </c>
      <c r="D63" s="218"/>
      <c r="E63" s="20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219"/>
      <c r="C64" s="206"/>
      <c r="D64" s="219"/>
      <c r="E64" s="20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220"/>
      <c r="C65" s="207"/>
      <c r="D65" s="220"/>
      <c r="E65" s="20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200" t="s">
        <v>60</v>
      </c>
      <c r="C6" s="200"/>
      <c r="D6" s="200"/>
      <c r="E6" s="200"/>
      <c r="F6" s="200"/>
      <c r="G6" s="200"/>
      <c r="H6" s="200"/>
      <c r="I6" s="200"/>
      <c r="J6" s="200"/>
    </row>
    <row r="7" spans="2:18" s="4" customFormat="1"/>
    <row r="8" spans="2:18" s="4" customFormat="1">
      <c r="B8" s="201" t="s">
        <v>29</v>
      </c>
      <c r="C8" s="201" t="s">
        <v>0</v>
      </c>
      <c r="D8" s="201" t="s">
        <v>72</v>
      </c>
      <c r="E8" s="201" t="s">
        <v>1</v>
      </c>
      <c r="F8" s="201" t="s">
        <v>30</v>
      </c>
      <c r="G8" s="201"/>
      <c r="H8" s="201"/>
      <c r="I8" s="201"/>
      <c r="J8" s="201" t="s">
        <v>2</v>
      </c>
    </row>
    <row r="9" spans="2:18" s="4" customFormat="1">
      <c r="B9" s="201"/>
      <c r="C9" s="201"/>
      <c r="D9" s="201"/>
      <c r="E9" s="201"/>
      <c r="F9" s="201" t="s">
        <v>3</v>
      </c>
      <c r="G9" s="201" t="s">
        <v>4</v>
      </c>
      <c r="H9" s="201"/>
      <c r="I9" s="201"/>
      <c r="J9" s="201"/>
    </row>
    <row r="10" spans="2:18" s="4" customFormat="1" ht="15.75" customHeight="1">
      <c r="B10" s="201"/>
      <c r="C10" s="201"/>
      <c r="D10" s="201"/>
      <c r="E10" s="201"/>
      <c r="F10" s="201"/>
      <c r="G10" s="14" t="s">
        <v>5</v>
      </c>
      <c r="H10" s="14" t="s">
        <v>6</v>
      </c>
      <c r="I10" s="14" t="s">
        <v>7</v>
      </c>
      <c r="J10" s="201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208" t="s">
        <v>63</v>
      </c>
      <c r="C12" s="208"/>
      <c r="D12" s="208"/>
      <c r="E12" s="208"/>
      <c r="F12" s="208"/>
      <c r="G12" s="208"/>
      <c r="H12" s="208"/>
      <c r="I12" s="208"/>
      <c r="J12" s="208"/>
    </row>
    <row r="13" spans="2:18" s="4" customFormat="1" ht="24.75" customHeight="1">
      <c r="B13" s="208" t="s">
        <v>58</v>
      </c>
      <c r="C13" s="208"/>
      <c r="D13" s="208"/>
      <c r="E13" s="208"/>
      <c r="F13" s="208"/>
      <c r="G13" s="208"/>
      <c r="H13" s="208"/>
      <c r="I13" s="208"/>
      <c r="J13" s="208"/>
    </row>
    <row r="14" spans="2:18" s="4" customFormat="1" ht="25.5" customHeight="1">
      <c r="B14" s="209" t="s">
        <v>8</v>
      </c>
      <c r="C14" s="210"/>
      <c r="D14" s="210"/>
      <c r="E14" s="210"/>
      <c r="F14" s="210"/>
      <c r="G14" s="210"/>
      <c r="H14" s="210"/>
      <c r="I14" s="210"/>
      <c r="J14" s="211"/>
    </row>
    <row r="15" spans="2:18" s="4" customFormat="1" ht="12.75" customHeight="1">
      <c r="B15" s="212" t="s">
        <v>31</v>
      </c>
      <c r="C15" s="205" t="s">
        <v>9</v>
      </c>
      <c r="D15" s="202" t="s">
        <v>43</v>
      </c>
      <c r="E15" s="20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12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213"/>
      <c r="C16" s="206"/>
      <c r="D16" s="203"/>
      <c r="E16" s="20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13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214"/>
      <c r="C17" s="207"/>
      <c r="D17" s="204"/>
      <c r="E17" s="20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14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212" t="s">
        <v>33</v>
      </c>
      <c r="C19" s="205" t="s">
        <v>12</v>
      </c>
      <c r="D19" s="202" t="s">
        <v>43</v>
      </c>
      <c r="E19" s="20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12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213"/>
      <c r="C20" s="206"/>
      <c r="D20" s="203"/>
      <c r="E20" s="20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13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214"/>
      <c r="C21" s="207"/>
      <c r="D21" s="204"/>
      <c r="E21" s="20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14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201" t="s">
        <v>16</v>
      </c>
      <c r="G25" s="201"/>
      <c r="H25" s="201"/>
      <c r="I25" s="201"/>
      <c r="J25" s="201"/>
      <c r="L25" s="7" t="s">
        <v>37</v>
      </c>
      <c r="M25" s="201" t="s">
        <v>16</v>
      </c>
      <c r="N25" s="201"/>
      <c r="O25" s="201"/>
      <c r="P25" s="201"/>
      <c r="Q25" s="8"/>
      <c r="R25" s="8"/>
    </row>
    <row r="26" spans="2:18" s="4" customFormat="1" ht="18.75" customHeight="1">
      <c r="B26" s="202"/>
      <c r="C26" s="205" t="s">
        <v>17</v>
      </c>
      <c r="D26" s="202" t="s">
        <v>43</v>
      </c>
      <c r="E26" s="20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0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203"/>
      <c r="C27" s="206"/>
      <c r="D27" s="203"/>
      <c r="E27" s="20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0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204"/>
      <c r="C28" s="207"/>
      <c r="D28" s="204"/>
      <c r="E28" s="20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0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208" t="s">
        <v>18</v>
      </c>
      <c r="C29" s="208"/>
      <c r="D29" s="208"/>
      <c r="E29" s="208"/>
      <c r="F29" s="208"/>
      <c r="G29" s="208"/>
      <c r="H29" s="208"/>
      <c r="I29" s="208"/>
      <c r="J29" s="208"/>
      <c r="L29" s="208" t="s">
        <v>18</v>
      </c>
      <c r="M29" s="208"/>
      <c r="N29" s="208"/>
      <c r="O29" s="208"/>
      <c r="P29" s="208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215"/>
      <c r="C32" s="205" t="s">
        <v>21</v>
      </c>
      <c r="D32" s="218"/>
      <c r="E32" s="20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15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216"/>
      <c r="C33" s="206"/>
      <c r="D33" s="219"/>
      <c r="E33" s="20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16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217"/>
      <c r="C34" s="207"/>
      <c r="D34" s="220"/>
      <c r="E34" s="20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17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209" t="s">
        <v>59</v>
      </c>
      <c r="C35" s="210"/>
      <c r="D35" s="210"/>
      <c r="E35" s="210"/>
      <c r="F35" s="210"/>
      <c r="G35" s="210"/>
      <c r="H35" s="210"/>
      <c r="I35" s="210"/>
      <c r="J35" s="211"/>
      <c r="L35" s="209" t="s">
        <v>59</v>
      </c>
      <c r="M35" s="210"/>
      <c r="N35" s="210"/>
      <c r="O35" s="210"/>
      <c r="P35" s="210"/>
      <c r="Q35" s="8"/>
      <c r="R35" s="8"/>
    </row>
    <row r="36" spans="2:18" ht="27" customHeight="1">
      <c r="B36" s="209" t="s">
        <v>56</v>
      </c>
      <c r="C36" s="210"/>
      <c r="D36" s="210"/>
      <c r="E36" s="210"/>
      <c r="F36" s="210"/>
      <c r="G36" s="210"/>
      <c r="H36" s="210"/>
      <c r="I36" s="210"/>
      <c r="J36" s="211"/>
      <c r="L36" s="209" t="s">
        <v>56</v>
      </c>
      <c r="M36" s="210"/>
      <c r="N36" s="210"/>
      <c r="O36" s="210"/>
      <c r="P36" s="210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209" t="s">
        <v>64</v>
      </c>
      <c r="C40" s="210"/>
      <c r="D40" s="210"/>
      <c r="E40" s="210"/>
      <c r="F40" s="210"/>
      <c r="G40" s="210"/>
      <c r="H40" s="210"/>
      <c r="I40" s="210"/>
      <c r="J40" s="211"/>
      <c r="L40" s="209" t="s">
        <v>64</v>
      </c>
      <c r="M40" s="210"/>
      <c r="N40" s="210"/>
      <c r="O40" s="210"/>
      <c r="P40" s="210"/>
      <c r="Q40" s="8"/>
      <c r="R40" s="8"/>
    </row>
    <row r="41" spans="2:18" ht="26.25" customHeight="1">
      <c r="B41" s="209" t="s">
        <v>44</v>
      </c>
      <c r="C41" s="210"/>
      <c r="D41" s="210"/>
      <c r="E41" s="210"/>
      <c r="F41" s="210"/>
      <c r="G41" s="210"/>
      <c r="H41" s="210"/>
      <c r="I41" s="210"/>
      <c r="J41" s="211"/>
      <c r="L41" s="209" t="s">
        <v>44</v>
      </c>
      <c r="M41" s="210"/>
      <c r="N41" s="210"/>
      <c r="O41" s="210"/>
      <c r="P41" s="210"/>
      <c r="Q41" s="8"/>
      <c r="R41" s="8"/>
    </row>
    <row r="42" spans="2:18" ht="27.75" customHeight="1">
      <c r="B42" s="208" t="s">
        <v>45</v>
      </c>
      <c r="C42" s="208"/>
      <c r="D42" s="208"/>
      <c r="E42" s="208"/>
      <c r="F42" s="208"/>
      <c r="G42" s="208"/>
      <c r="H42" s="208"/>
      <c r="I42" s="208"/>
      <c r="J42" s="208"/>
      <c r="L42" s="208" t="s">
        <v>45</v>
      </c>
      <c r="M42" s="208"/>
      <c r="N42" s="208"/>
      <c r="O42" s="208"/>
      <c r="P42" s="208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201" t="s">
        <v>16</v>
      </c>
      <c r="G43" s="201"/>
      <c r="H43" s="201"/>
      <c r="I43" s="201"/>
      <c r="J43" s="201"/>
      <c r="L43" s="7" t="s">
        <v>40</v>
      </c>
      <c r="M43" s="201" t="s">
        <v>16</v>
      </c>
      <c r="N43" s="201"/>
      <c r="O43" s="201"/>
      <c r="P43" s="201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201"/>
      <c r="C47" s="205" t="s">
        <v>48</v>
      </c>
      <c r="D47" s="201" t="s">
        <v>22</v>
      </c>
      <c r="E47" s="20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0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201"/>
      <c r="C48" s="206"/>
      <c r="D48" s="201"/>
      <c r="E48" s="20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0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201"/>
      <c r="C49" s="207"/>
      <c r="D49" s="201"/>
      <c r="E49" s="20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0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208" t="s">
        <v>49</v>
      </c>
      <c r="C50" s="208"/>
      <c r="D50" s="208"/>
      <c r="E50" s="208"/>
      <c r="F50" s="208"/>
      <c r="G50" s="208"/>
      <c r="H50" s="208"/>
      <c r="I50" s="208"/>
      <c r="J50" s="208"/>
      <c r="L50" s="208" t="s">
        <v>49</v>
      </c>
      <c r="M50" s="208"/>
      <c r="N50" s="208"/>
      <c r="O50" s="208"/>
      <c r="P50" s="208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201" t="s">
        <v>16</v>
      </c>
      <c r="G51" s="201"/>
      <c r="H51" s="201"/>
      <c r="I51" s="201"/>
      <c r="J51" s="201"/>
      <c r="L51" s="7" t="s">
        <v>50</v>
      </c>
      <c r="M51" s="201" t="s">
        <v>16</v>
      </c>
      <c r="N51" s="201"/>
      <c r="O51" s="201"/>
      <c r="P51" s="201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201" t="s">
        <v>16</v>
      </c>
      <c r="G52" s="201"/>
      <c r="H52" s="201"/>
      <c r="I52" s="201"/>
      <c r="J52" s="201"/>
      <c r="L52" s="7" t="s">
        <v>51</v>
      </c>
      <c r="M52" s="201" t="s">
        <v>16</v>
      </c>
      <c r="N52" s="201"/>
      <c r="O52" s="201"/>
      <c r="P52" s="201"/>
      <c r="Q52" s="8"/>
      <c r="R52" s="8"/>
    </row>
    <row r="53" spans="2:18" ht="15.75" customHeight="1">
      <c r="B53" s="221"/>
      <c r="C53" s="208" t="s">
        <v>52</v>
      </c>
      <c r="D53" s="201" t="s">
        <v>22</v>
      </c>
      <c r="E53" s="20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21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221"/>
      <c r="C54" s="208"/>
      <c r="D54" s="201"/>
      <c r="E54" s="20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21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221"/>
      <c r="C55" s="208"/>
      <c r="D55" s="201"/>
      <c r="E55" s="20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21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222"/>
      <c r="C56" s="208" t="s">
        <v>55</v>
      </c>
      <c r="D56" s="221"/>
      <c r="E56" s="20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22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222"/>
      <c r="C57" s="208"/>
      <c r="D57" s="221"/>
      <c r="E57" s="20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22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222"/>
      <c r="C58" s="208"/>
      <c r="D58" s="221"/>
      <c r="E58" s="20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22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221"/>
      <c r="C60" s="208" t="s">
        <v>28</v>
      </c>
      <c r="D60" s="221"/>
      <c r="E60" s="20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21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221"/>
      <c r="C61" s="208"/>
      <c r="D61" s="221"/>
      <c r="E61" s="20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21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221"/>
      <c r="C62" s="208"/>
      <c r="D62" s="221"/>
      <c r="E62" s="20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21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218"/>
      <c r="C63" s="205" t="s">
        <v>61</v>
      </c>
      <c r="D63" s="218"/>
      <c r="E63" s="20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18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219"/>
      <c r="C64" s="206"/>
      <c r="D64" s="219"/>
      <c r="E64" s="20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19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220"/>
      <c r="C65" s="207"/>
      <c r="D65" s="220"/>
      <c r="E65" s="20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20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1" workbookViewId="0">
      <selection sqref="A1:I46"/>
    </sheetView>
  </sheetViews>
  <sheetFormatPr defaultRowHeight="12.75"/>
  <cols>
    <col min="1" max="16384" width="9.140625" style="4"/>
  </cols>
  <sheetData>
    <row r="1" spans="1:9" ht="18.75">
      <c r="A1" s="224"/>
      <c r="B1" s="224"/>
    </row>
    <row r="10" spans="1:9" ht="23.25">
      <c r="A10" s="225" t="s">
        <v>80</v>
      </c>
      <c r="B10" s="225"/>
      <c r="C10" s="225"/>
      <c r="D10" s="225"/>
      <c r="E10" s="225"/>
      <c r="F10" s="225"/>
      <c r="G10" s="225"/>
      <c r="H10" s="225"/>
      <c r="I10" s="225"/>
    </row>
    <row r="11" spans="1:9" ht="23.25">
      <c r="A11" s="225" t="s">
        <v>81</v>
      </c>
      <c r="B11" s="225"/>
      <c r="C11" s="225"/>
      <c r="D11" s="225"/>
      <c r="E11" s="225"/>
      <c r="F11" s="225"/>
      <c r="G11" s="225"/>
      <c r="H11" s="225"/>
      <c r="I11" s="225"/>
    </row>
    <row r="13" spans="1:9" ht="27" customHeight="1">
      <c r="A13" s="223" t="s">
        <v>82</v>
      </c>
      <c r="B13" s="223"/>
      <c r="C13" s="223"/>
      <c r="D13" s="223"/>
      <c r="E13" s="223"/>
      <c r="F13" s="223"/>
      <c r="G13" s="223"/>
      <c r="H13" s="223"/>
      <c r="I13" s="223"/>
    </row>
    <row r="14" spans="1:9" ht="27" customHeight="1">
      <c r="A14" s="223" t="s">
        <v>83</v>
      </c>
      <c r="B14" s="223"/>
      <c r="C14" s="223"/>
      <c r="D14" s="223"/>
      <c r="E14" s="223"/>
      <c r="F14" s="223"/>
      <c r="G14" s="223"/>
      <c r="H14" s="223"/>
      <c r="I14" s="223"/>
    </row>
    <row r="15" spans="1:9" ht="51.75" customHeight="1">
      <c r="A15" s="226" t="s">
        <v>111</v>
      </c>
      <c r="B15" s="226"/>
      <c r="C15" s="226"/>
      <c r="D15" s="226"/>
      <c r="E15" s="226"/>
      <c r="F15" s="226"/>
      <c r="G15" s="226"/>
      <c r="H15" s="226"/>
      <c r="I15" s="226"/>
    </row>
    <row r="17" spans="1:9" ht="19.5">
      <c r="A17" s="223" t="s">
        <v>201</v>
      </c>
      <c r="B17" s="223"/>
      <c r="C17" s="223"/>
      <c r="D17" s="223"/>
      <c r="E17" s="223"/>
      <c r="F17" s="223"/>
      <c r="G17" s="223"/>
      <c r="H17" s="223"/>
      <c r="I17" s="223"/>
    </row>
    <row r="46" spans="1:9" ht="16.5">
      <c r="A46" s="200" t="s">
        <v>84</v>
      </c>
      <c r="B46" s="200"/>
      <c r="C46" s="200"/>
      <c r="D46" s="200"/>
      <c r="E46" s="200"/>
      <c r="F46" s="200"/>
      <c r="G46" s="200"/>
      <c r="H46" s="200"/>
      <c r="I46" s="200"/>
    </row>
    <row r="47" spans="1:9" ht="16.5">
      <c r="A47" s="200"/>
      <c r="B47" s="200"/>
      <c r="C47" s="200"/>
      <c r="D47" s="200"/>
      <c r="E47" s="200"/>
      <c r="F47" s="200"/>
      <c r="G47" s="200"/>
      <c r="H47" s="200"/>
      <c r="I47" s="200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109"/>
  <sheetViews>
    <sheetView tabSelected="1" zoomScale="75" zoomScaleNormal="75" zoomScaleSheetLayoutView="70" workbookViewId="0">
      <pane xSplit="15" ySplit="6" topLeftCell="AG7" activePane="bottomRight" state="frozen"/>
      <selection pane="topRight" activeCell="P1" sqref="P1"/>
      <selection pane="bottomLeft" activeCell="A11" sqref="A11"/>
      <selection pane="bottomRight" activeCell="AG1" sqref="AG1:AJ1048576"/>
    </sheetView>
  </sheetViews>
  <sheetFormatPr defaultRowHeight="18.75"/>
  <cols>
    <col min="1" max="1" width="45" style="18" customWidth="1"/>
    <col min="2" max="2" width="15.28515625" style="18" customWidth="1"/>
    <col min="3" max="3" width="17.140625" style="19" customWidth="1"/>
    <col min="4" max="4" width="19" style="19" customWidth="1"/>
    <col min="5" max="5" width="15.42578125" style="19" customWidth="1"/>
    <col min="6" max="7" width="13.42578125" style="19" customWidth="1"/>
    <col min="8" max="8" width="11.28515625" style="20" customWidth="1"/>
    <col min="9" max="9" width="13.28515625" style="20" customWidth="1"/>
    <col min="10" max="10" width="14.140625" style="20" customWidth="1"/>
    <col min="11" max="12" width="13.7109375" style="20" customWidth="1"/>
    <col min="13" max="14" width="13.140625" style="20" customWidth="1"/>
    <col min="15" max="15" width="12.7109375" style="20" customWidth="1"/>
    <col min="16" max="16" width="16" style="20" customWidth="1"/>
    <col min="17" max="17" width="16.85546875" style="20" customWidth="1"/>
    <col min="18" max="18" width="13.42578125" style="20" customWidth="1"/>
    <col min="19" max="19" width="13" style="20" customWidth="1"/>
    <col min="20" max="20" width="13" style="19" customWidth="1"/>
    <col min="21" max="21" width="13.28515625" style="19" customWidth="1"/>
    <col min="22" max="22" width="13.42578125" style="19" customWidth="1"/>
    <col min="23" max="23" width="12.85546875" style="19" customWidth="1"/>
    <col min="24" max="24" width="14" style="19" customWidth="1"/>
    <col min="25" max="25" width="13.140625" style="19" customWidth="1"/>
    <col min="26" max="26" width="12.85546875" style="19" customWidth="1"/>
    <col min="27" max="27" width="13.5703125" style="19" customWidth="1"/>
    <col min="28" max="28" width="12.28515625" style="19" customWidth="1"/>
    <col min="29" max="29" width="14.28515625" style="19" customWidth="1"/>
    <col min="30" max="30" width="14" style="19" customWidth="1"/>
    <col min="31" max="31" width="13.85546875" style="19" customWidth="1"/>
    <col min="32" max="32" width="54.85546875" style="18" customWidth="1"/>
    <col min="33" max="33" width="14.28515625" style="20" hidden="1" customWidth="1"/>
    <col min="34" max="34" width="18.85546875" style="21" hidden="1" customWidth="1"/>
    <col min="35" max="35" width="15.42578125" style="20" hidden="1" customWidth="1"/>
    <col min="36" max="36" width="0" style="20" hidden="1" customWidth="1"/>
    <col min="37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71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>
      <c r="A2" s="229" t="s">
        <v>145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93"/>
      <c r="AE2" s="94"/>
      <c r="AF2" s="24"/>
    </row>
    <row r="3" spans="1:71" ht="26.2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54"/>
      <c r="AF3" s="24"/>
    </row>
    <row r="4" spans="1:71" s="26" customFormat="1" ht="35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L4" s="25"/>
      <c r="M4" s="25"/>
      <c r="N4" s="25"/>
      <c r="O4" s="25"/>
      <c r="P4" s="25"/>
      <c r="Q4" s="25"/>
      <c r="R4" s="25"/>
      <c r="S4" s="27" t="s">
        <v>85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60" t="s">
        <v>116</v>
      </c>
      <c r="AE4" s="25"/>
      <c r="AF4" s="27" t="s">
        <v>85</v>
      </c>
      <c r="AH4" s="21"/>
    </row>
    <row r="5" spans="1:71" s="28" customFormat="1" ht="18.75" customHeight="1">
      <c r="A5" s="231" t="s">
        <v>112</v>
      </c>
      <c r="B5" s="232" t="s">
        <v>133</v>
      </c>
      <c r="C5" s="232" t="s">
        <v>146</v>
      </c>
      <c r="D5" s="232" t="s">
        <v>147</v>
      </c>
      <c r="E5" s="232" t="s">
        <v>148</v>
      </c>
      <c r="F5" s="232" t="s">
        <v>86</v>
      </c>
      <c r="G5" s="232"/>
      <c r="H5" s="232" t="s">
        <v>87</v>
      </c>
      <c r="I5" s="232"/>
      <c r="J5" s="227" t="s">
        <v>88</v>
      </c>
      <c r="K5" s="228"/>
      <c r="L5" s="227" t="s">
        <v>89</v>
      </c>
      <c r="M5" s="228"/>
      <c r="N5" s="227" t="s">
        <v>90</v>
      </c>
      <c r="O5" s="228"/>
      <c r="P5" s="227" t="s">
        <v>91</v>
      </c>
      <c r="Q5" s="228"/>
      <c r="R5" s="227" t="s">
        <v>92</v>
      </c>
      <c r="S5" s="228"/>
      <c r="T5" s="227" t="s">
        <v>93</v>
      </c>
      <c r="U5" s="228"/>
      <c r="V5" s="227" t="s">
        <v>94</v>
      </c>
      <c r="W5" s="228"/>
      <c r="X5" s="227" t="s">
        <v>95</v>
      </c>
      <c r="Y5" s="228"/>
      <c r="Z5" s="227" t="s">
        <v>96</v>
      </c>
      <c r="AA5" s="228"/>
      <c r="AB5" s="227" t="s">
        <v>97</v>
      </c>
      <c r="AC5" s="228"/>
      <c r="AD5" s="227" t="s">
        <v>98</v>
      </c>
      <c r="AE5" s="228"/>
      <c r="AF5" s="231" t="s">
        <v>99</v>
      </c>
      <c r="AH5" s="29"/>
    </row>
    <row r="6" spans="1:71" s="30" customFormat="1" ht="82.5" customHeight="1">
      <c r="A6" s="231"/>
      <c r="B6" s="232"/>
      <c r="C6" s="232"/>
      <c r="D6" s="233"/>
      <c r="E6" s="232"/>
      <c r="F6" s="126" t="s">
        <v>100</v>
      </c>
      <c r="G6" s="126" t="s">
        <v>101</v>
      </c>
      <c r="H6" s="126" t="s">
        <v>127</v>
      </c>
      <c r="I6" s="126" t="s">
        <v>102</v>
      </c>
      <c r="J6" s="126" t="s">
        <v>127</v>
      </c>
      <c r="K6" s="126" t="s">
        <v>102</v>
      </c>
      <c r="L6" s="126" t="s">
        <v>127</v>
      </c>
      <c r="M6" s="126" t="s">
        <v>102</v>
      </c>
      <c r="N6" s="126" t="s">
        <v>127</v>
      </c>
      <c r="O6" s="126" t="s">
        <v>102</v>
      </c>
      <c r="P6" s="126" t="s">
        <v>127</v>
      </c>
      <c r="Q6" s="126" t="s">
        <v>102</v>
      </c>
      <c r="R6" s="126" t="s">
        <v>127</v>
      </c>
      <c r="S6" s="126" t="s">
        <v>102</v>
      </c>
      <c r="T6" s="126" t="s">
        <v>127</v>
      </c>
      <c r="U6" s="126" t="s">
        <v>102</v>
      </c>
      <c r="V6" s="126" t="s">
        <v>127</v>
      </c>
      <c r="W6" s="126" t="s">
        <v>102</v>
      </c>
      <c r="X6" s="126" t="s">
        <v>127</v>
      </c>
      <c r="Y6" s="126" t="s">
        <v>102</v>
      </c>
      <c r="Z6" s="126" t="s">
        <v>127</v>
      </c>
      <c r="AA6" s="126" t="s">
        <v>102</v>
      </c>
      <c r="AB6" s="126" t="s">
        <v>127</v>
      </c>
      <c r="AC6" s="126" t="s">
        <v>102</v>
      </c>
      <c r="AD6" s="126" t="s">
        <v>127</v>
      </c>
      <c r="AE6" s="126" t="s">
        <v>102</v>
      </c>
      <c r="AF6" s="231"/>
      <c r="AH6" s="29"/>
    </row>
    <row r="7" spans="1:71" s="31" customFormat="1" ht="17.25" customHeight="1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5">
        <v>18</v>
      </c>
      <c r="S7" s="85">
        <v>19</v>
      </c>
      <c r="T7" s="85">
        <v>20</v>
      </c>
      <c r="U7" s="85">
        <v>21</v>
      </c>
      <c r="V7" s="85">
        <v>22</v>
      </c>
      <c r="W7" s="85">
        <v>23</v>
      </c>
      <c r="X7" s="85">
        <v>24</v>
      </c>
      <c r="Y7" s="85">
        <v>25</v>
      </c>
      <c r="Z7" s="85">
        <v>26</v>
      </c>
      <c r="AA7" s="85">
        <v>27</v>
      </c>
      <c r="AB7" s="85">
        <v>28</v>
      </c>
      <c r="AC7" s="85">
        <v>29</v>
      </c>
      <c r="AD7" s="85">
        <v>30</v>
      </c>
      <c r="AE7" s="85">
        <v>31</v>
      </c>
      <c r="AF7" s="85">
        <v>32</v>
      </c>
      <c r="AH7" s="32"/>
    </row>
    <row r="8" spans="1:71" s="34" customFormat="1" ht="40.5" customHeight="1">
      <c r="A8" s="89" t="s">
        <v>103</v>
      </c>
      <c r="B8" s="61">
        <f>B9</f>
        <v>22827.800100000004</v>
      </c>
      <c r="C8" s="82">
        <f t="shared" ref="C8:AE9" si="0">C9</f>
        <v>870.92899999999997</v>
      </c>
      <c r="D8" s="61">
        <f t="shared" si="0"/>
        <v>793.29300000000001</v>
      </c>
      <c r="E8" s="82">
        <f t="shared" si="0"/>
        <v>285.32</v>
      </c>
      <c r="F8" s="117">
        <f>E8/B8</f>
        <v>1.2498795273750446E-2</v>
      </c>
      <c r="G8" s="117">
        <f>E8/C8</f>
        <v>0.32760420194987194</v>
      </c>
      <c r="H8" s="120">
        <f t="shared" si="0"/>
        <v>0</v>
      </c>
      <c r="I8" s="120">
        <f t="shared" si="0"/>
        <v>0</v>
      </c>
      <c r="J8" s="61">
        <f t="shared" si="0"/>
        <v>870.92899999999997</v>
      </c>
      <c r="K8" s="61">
        <f t="shared" si="0"/>
        <v>285.32</v>
      </c>
      <c r="L8" s="61">
        <f t="shared" si="0"/>
        <v>944.50900000000001</v>
      </c>
      <c r="M8" s="120">
        <f t="shared" si="0"/>
        <v>0</v>
      </c>
      <c r="N8" s="61">
        <f t="shared" si="0"/>
        <v>1789.2955000000002</v>
      </c>
      <c r="O8" s="120">
        <f t="shared" si="0"/>
        <v>0</v>
      </c>
      <c r="P8" s="61">
        <f t="shared" si="0"/>
        <v>1228.9046000000001</v>
      </c>
      <c r="Q8" s="120">
        <f t="shared" si="0"/>
        <v>0</v>
      </c>
      <c r="R8" s="61">
        <f t="shared" si="0"/>
        <v>4759.4984999999997</v>
      </c>
      <c r="S8" s="120">
        <f t="shared" si="0"/>
        <v>0</v>
      </c>
      <c r="T8" s="61">
        <f t="shared" si="0"/>
        <v>4942.9565000000002</v>
      </c>
      <c r="U8" s="120">
        <f t="shared" si="0"/>
        <v>0</v>
      </c>
      <c r="V8" s="61">
        <f t="shared" si="0"/>
        <v>4701.4249999999993</v>
      </c>
      <c r="W8" s="120">
        <f t="shared" si="0"/>
        <v>0</v>
      </c>
      <c r="X8" s="61">
        <f t="shared" si="0"/>
        <v>909.26099999999997</v>
      </c>
      <c r="Y8" s="120">
        <f t="shared" si="0"/>
        <v>0</v>
      </c>
      <c r="Z8" s="61">
        <f t="shared" si="0"/>
        <v>1083.143</v>
      </c>
      <c r="AA8" s="120">
        <f t="shared" si="0"/>
        <v>0</v>
      </c>
      <c r="AB8" s="61">
        <f t="shared" si="0"/>
        <v>692.37799999999993</v>
      </c>
      <c r="AC8" s="120">
        <f t="shared" si="0"/>
        <v>0</v>
      </c>
      <c r="AD8" s="61">
        <f t="shared" si="0"/>
        <v>905.5</v>
      </c>
      <c r="AE8" s="120">
        <f t="shared" si="0"/>
        <v>0</v>
      </c>
      <c r="AF8" s="120"/>
      <c r="AG8" s="124">
        <f>H8+J8+L8+N8+P8+R8+T8+V8+X8+Z8+AB8+AD8</f>
        <v>22827.8001</v>
      </c>
      <c r="AH8" s="199">
        <f>H8+J8</f>
        <v>870.92899999999997</v>
      </c>
      <c r="AI8" s="124">
        <f>I8+K8</f>
        <v>285.32</v>
      </c>
    </row>
    <row r="9" spans="1:71" s="57" customFormat="1" ht="75.75" customHeight="1">
      <c r="A9" s="62" t="s">
        <v>117</v>
      </c>
      <c r="B9" s="63">
        <f>B10</f>
        <v>22827.800100000004</v>
      </c>
      <c r="C9" s="83">
        <f>C10</f>
        <v>870.92899999999997</v>
      </c>
      <c r="D9" s="63">
        <f t="shared" si="0"/>
        <v>793.29300000000001</v>
      </c>
      <c r="E9" s="83">
        <f t="shared" si="0"/>
        <v>285.32</v>
      </c>
      <c r="F9" s="118">
        <f>E9/B9</f>
        <v>1.2498795273750446E-2</v>
      </c>
      <c r="G9" s="118">
        <f>E9/C9</f>
        <v>0.32760420194987194</v>
      </c>
      <c r="H9" s="119">
        <f t="shared" si="0"/>
        <v>0</v>
      </c>
      <c r="I9" s="119">
        <f>I10</f>
        <v>0</v>
      </c>
      <c r="J9" s="63">
        <f t="shared" si="0"/>
        <v>870.92899999999997</v>
      </c>
      <c r="K9" s="63">
        <f t="shared" si="0"/>
        <v>285.32</v>
      </c>
      <c r="L9" s="63">
        <f t="shared" si="0"/>
        <v>944.50900000000001</v>
      </c>
      <c r="M9" s="119">
        <f t="shared" si="0"/>
        <v>0</v>
      </c>
      <c r="N9" s="63">
        <f t="shared" si="0"/>
        <v>1789.2955000000002</v>
      </c>
      <c r="O9" s="119">
        <f t="shared" si="0"/>
        <v>0</v>
      </c>
      <c r="P9" s="63">
        <f t="shared" si="0"/>
        <v>1228.9046000000001</v>
      </c>
      <c r="Q9" s="119">
        <f t="shared" si="0"/>
        <v>0</v>
      </c>
      <c r="R9" s="63">
        <f t="shared" si="0"/>
        <v>4759.4984999999997</v>
      </c>
      <c r="S9" s="119">
        <f t="shared" si="0"/>
        <v>0</v>
      </c>
      <c r="T9" s="63">
        <f t="shared" si="0"/>
        <v>4942.9565000000002</v>
      </c>
      <c r="U9" s="119">
        <f t="shared" si="0"/>
        <v>0</v>
      </c>
      <c r="V9" s="63">
        <f t="shared" si="0"/>
        <v>4701.4249999999993</v>
      </c>
      <c r="W9" s="119">
        <f t="shared" si="0"/>
        <v>0</v>
      </c>
      <c r="X9" s="63">
        <f t="shared" si="0"/>
        <v>909.26099999999997</v>
      </c>
      <c r="Y9" s="119">
        <f t="shared" si="0"/>
        <v>0</v>
      </c>
      <c r="Z9" s="63">
        <f t="shared" si="0"/>
        <v>1083.143</v>
      </c>
      <c r="AA9" s="119">
        <f t="shared" si="0"/>
        <v>0</v>
      </c>
      <c r="AB9" s="63">
        <f t="shared" si="0"/>
        <v>692.37799999999993</v>
      </c>
      <c r="AC9" s="119">
        <f t="shared" si="0"/>
        <v>0</v>
      </c>
      <c r="AD9" s="63">
        <f t="shared" si="0"/>
        <v>905.5</v>
      </c>
      <c r="AE9" s="119">
        <f t="shared" si="0"/>
        <v>0</v>
      </c>
      <c r="AF9" s="119"/>
      <c r="AG9" s="124">
        <f t="shared" ref="AG9:AG72" si="1">H9+J9+L9+N9+P9+R9+T9+V9+X9+Z9+AB9+AD9</f>
        <v>22827.8001</v>
      </c>
      <c r="AH9" s="199">
        <f t="shared" ref="AH9:AH72" si="2">H9+J9</f>
        <v>870.92899999999997</v>
      </c>
      <c r="AI9" s="124">
        <f t="shared" ref="AI9:AI72" si="3">I9+K9</f>
        <v>285.32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</row>
    <row r="10" spans="1:71" s="34" customFormat="1">
      <c r="A10" s="90" t="s">
        <v>25</v>
      </c>
      <c r="B10" s="91">
        <f>B11+B12</f>
        <v>22827.800100000004</v>
      </c>
      <c r="C10" s="91">
        <f t="shared" ref="C10:AD10" si="4">C11+C12</f>
        <v>870.92899999999997</v>
      </c>
      <c r="D10" s="91">
        <f t="shared" si="4"/>
        <v>793.29300000000001</v>
      </c>
      <c r="E10" s="91">
        <f t="shared" si="4"/>
        <v>285.32</v>
      </c>
      <c r="F10" s="92">
        <f>E10/B10</f>
        <v>1.2498795273750446E-2</v>
      </c>
      <c r="G10" s="92">
        <f>E10/C10</f>
        <v>0.32760420194987194</v>
      </c>
      <c r="H10" s="91">
        <f t="shared" si="4"/>
        <v>0</v>
      </c>
      <c r="I10" s="91">
        <f t="shared" si="4"/>
        <v>0</v>
      </c>
      <c r="J10" s="91">
        <f t="shared" si="4"/>
        <v>870.92899999999997</v>
      </c>
      <c r="K10" s="91">
        <f t="shared" si="4"/>
        <v>285.32</v>
      </c>
      <c r="L10" s="91">
        <f t="shared" si="4"/>
        <v>944.50900000000001</v>
      </c>
      <c r="M10" s="91">
        <f t="shared" si="4"/>
        <v>0</v>
      </c>
      <c r="N10" s="91">
        <f t="shared" si="4"/>
        <v>1789.2955000000002</v>
      </c>
      <c r="O10" s="91">
        <f t="shared" si="4"/>
        <v>0</v>
      </c>
      <c r="P10" s="91">
        <f t="shared" si="4"/>
        <v>1228.9046000000001</v>
      </c>
      <c r="Q10" s="91">
        <f t="shared" si="4"/>
        <v>0</v>
      </c>
      <c r="R10" s="91">
        <f t="shared" si="4"/>
        <v>4759.4984999999997</v>
      </c>
      <c r="S10" s="91">
        <f t="shared" si="4"/>
        <v>0</v>
      </c>
      <c r="T10" s="91">
        <f t="shared" si="4"/>
        <v>4942.9565000000002</v>
      </c>
      <c r="U10" s="91">
        <f t="shared" si="4"/>
        <v>0</v>
      </c>
      <c r="V10" s="91">
        <f t="shared" si="4"/>
        <v>4701.4249999999993</v>
      </c>
      <c r="W10" s="91">
        <f t="shared" si="4"/>
        <v>0</v>
      </c>
      <c r="X10" s="91">
        <f t="shared" si="4"/>
        <v>909.26099999999997</v>
      </c>
      <c r="Y10" s="91">
        <f t="shared" si="4"/>
        <v>0</v>
      </c>
      <c r="Z10" s="91">
        <f t="shared" si="4"/>
        <v>1083.143</v>
      </c>
      <c r="AA10" s="91">
        <f t="shared" si="4"/>
        <v>0</v>
      </c>
      <c r="AB10" s="91">
        <f t="shared" si="4"/>
        <v>692.37799999999993</v>
      </c>
      <c r="AC10" s="91">
        <f t="shared" si="4"/>
        <v>0</v>
      </c>
      <c r="AD10" s="91">
        <f t="shared" si="4"/>
        <v>905.5</v>
      </c>
      <c r="AE10" s="91">
        <f>AE11+AE12</f>
        <v>0</v>
      </c>
      <c r="AF10" s="91"/>
      <c r="AG10" s="124">
        <f t="shared" si="1"/>
        <v>22827.8001</v>
      </c>
      <c r="AH10" s="199">
        <f t="shared" si="2"/>
        <v>870.92899999999997</v>
      </c>
      <c r="AI10" s="124">
        <f t="shared" si="3"/>
        <v>285.32</v>
      </c>
    </row>
    <row r="11" spans="1:71" s="34" customFormat="1">
      <c r="A11" s="70" t="s">
        <v>104</v>
      </c>
      <c r="B11" s="71">
        <f>B54+B71+B75</f>
        <v>3374.7</v>
      </c>
      <c r="C11" s="71">
        <f t="shared" ref="C11:AE11" si="5">C54+C71+C75</f>
        <v>77.635999999999996</v>
      </c>
      <c r="D11" s="71">
        <f t="shared" si="5"/>
        <v>0</v>
      </c>
      <c r="E11" s="71">
        <f t="shared" si="5"/>
        <v>0</v>
      </c>
      <c r="F11" s="115">
        <f>E11/B11</f>
        <v>0</v>
      </c>
      <c r="G11" s="115">
        <v>0</v>
      </c>
      <c r="H11" s="71">
        <f t="shared" si="5"/>
        <v>0</v>
      </c>
      <c r="I11" s="71">
        <f t="shared" si="5"/>
        <v>0</v>
      </c>
      <c r="J11" s="71">
        <f t="shared" si="5"/>
        <v>77.635999999999996</v>
      </c>
      <c r="K11" s="71">
        <f t="shared" si="5"/>
        <v>0</v>
      </c>
      <c r="L11" s="71">
        <f t="shared" si="5"/>
        <v>142.672</v>
      </c>
      <c r="M11" s="71">
        <f t="shared" si="5"/>
        <v>0</v>
      </c>
      <c r="N11" s="71">
        <f t="shared" si="5"/>
        <v>346.37900000000002</v>
      </c>
      <c r="O11" s="71">
        <f t="shared" si="5"/>
        <v>0</v>
      </c>
      <c r="P11" s="71">
        <f t="shared" si="5"/>
        <v>219.10500000000002</v>
      </c>
      <c r="Q11" s="71">
        <f t="shared" si="5"/>
        <v>0</v>
      </c>
      <c r="R11" s="71">
        <f t="shared" si="5"/>
        <v>684.61199999999997</v>
      </c>
      <c r="S11" s="71">
        <f t="shared" si="5"/>
        <v>0</v>
      </c>
      <c r="T11" s="71">
        <f t="shared" si="5"/>
        <v>951.63300000000004</v>
      </c>
      <c r="U11" s="71">
        <f t="shared" si="5"/>
        <v>0</v>
      </c>
      <c r="V11" s="71">
        <f t="shared" si="5"/>
        <v>743.21199999999999</v>
      </c>
      <c r="W11" s="71">
        <f t="shared" si="5"/>
        <v>0</v>
      </c>
      <c r="X11" s="71">
        <f t="shared" si="5"/>
        <v>80.433000000000007</v>
      </c>
      <c r="Y11" s="71">
        <f t="shared" si="5"/>
        <v>0</v>
      </c>
      <c r="Z11" s="71">
        <f t="shared" si="5"/>
        <v>112.218</v>
      </c>
      <c r="AA11" s="71">
        <f t="shared" si="5"/>
        <v>0</v>
      </c>
      <c r="AB11" s="71">
        <f t="shared" si="5"/>
        <v>16.8</v>
      </c>
      <c r="AC11" s="71">
        <f t="shared" si="5"/>
        <v>0</v>
      </c>
      <c r="AD11" s="71">
        <f t="shared" si="5"/>
        <v>0</v>
      </c>
      <c r="AE11" s="71">
        <f t="shared" si="5"/>
        <v>0</v>
      </c>
      <c r="AF11" s="71"/>
      <c r="AG11" s="124">
        <f t="shared" si="1"/>
        <v>3374.7000000000003</v>
      </c>
      <c r="AH11" s="199">
        <f t="shared" si="2"/>
        <v>77.635999999999996</v>
      </c>
      <c r="AI11" s="124">
        <f t="shared" si="3"/>
        <v>0</v>
      </c>
    </row>
    <row r="12" spans="1:71" s="34" customFormat="1">
      <c r="A12" s="74" t="s">
        <v>105</v>
      </c>
      <c r="B12" s="75">
        <f>B55+B72</f>
        <v>19453.100100000003</v>
      </c>
      <c r="C12" s="75">
        <f t="shared" ref="C12:AE12" si="6">C55+C72</f>
        <v>793.29300000000001</v>
      </c>
      <c r="D12" s="75">
        <f t="shared" si="6"/>
        <v>793.29300000000001</v>
      </c>
      <c r="E12" s="75">
        <f t="shared" si="6"/>
        <v>285.32</v>
      </c>
      <c r="F12" s="116">
        <f>E12/B12</f>
        <v>1.4667070982686197E-2</v>
      </c>
      <c r="G12" s="116">
        <f>E12/C12</f>
        <v>0.3596653443305311</v>
      </c>
      <c r="H12" s="75">
        <f t="shared" si="6"/>
        <v>0</v>
      </c>
      <c r="I12" s="75">
        <f t="shared" si="6"/>
        <v>0</v>
      </c>
      <c r="J12" s="75">
        <f t="shared" si="6"/>
        <v>793.29300000000001</v>
      </c>
      <c r="K12" s="75">
        <f t="shared" si="6"/>
        <v>285.32</v>
      </c>
      <c r="L12" s="75">
        <f t="shared" si="6"/>
        <v>801.83699999999999</v>
      </c>
      <c r="M12" s="75">
        <f t="shared" si="6"/>
        <v>0</v>
      </c>
      <c r="N12" s="75">
        <f t="shared" si="6"/>
        <v>1442.9165</v>
      </c>
      <c r="O12" s="75">
        <f t="shared" si="6"/>
        <v>0</v>
      </c>
      <c r="P12" s="75">
        <f t="shared" si="6"/>
        <v>1009.7996000000001</v>
      </c>
      <c r="Q12" s="75">
        <f t="shared" si="6"/>
        <v>0</v>
      </c>
      <c r="R12" s="75">
        <f t="shared" si="6"/>
        <v>4074.8865000000001</v>
      </c>
      <c r="S12" s="75">
        <f t="shared" si="6"/>
        <v>0</v>
      </c>
      <c r="T12" s="75">
        <f t="shared" si="6"/>
        <v>3991.3235000000004</v>
      </c>
      <c r="U12" s="75">
        <f t="shared" si="6"/>
        <v>0</v>
      </c>
      <c r="V12" s="75">
        <f t="shared" si="6"/>
        <v>3958.2129999999997</v>
      </c>
      <c r="W12" s="75">
        <f t="shared" si="6"/>
        <v>0</v>
      </c>
      <c r="X12" s="75">
        <f t="shared" si="6"/>
        <v>828.82799999999997</v>
      </c>
      <c r="Y12" s="75">
        <f t="shared" si="6"/>
        <v>0</v>
      </c>
      <c r="Z12" s="75">
        <f t="shared" si="6"/>
        <v>970.92500000000007</v>
      </c>
      <c r="AA12" s="75">
        <f t="shared" si="6"/>
        <v>0</v>
      </c>
      <c r="AB12" s="75">
        <f t="shared" si="6"/>
        <v>675.57799999999997</v>
      </c>
      <c r="AC12" s="75">
        <f t="shared" si="6"/>
        <v>0</v>
      </c>
      <c r="AD12" s="75">
        <f t="shared" si="6"/>
        <v>905.5</v>
      </c>
      <c r="AE12" s="75">
        <f t="shared" si="6"/>
        <v>0</v>
      </c>
      <c r="AF12" s="75"/>
      <c r="AG12" s="124">
        <f t="shared" si="1"/>
        <v>19453.100100000003</v>
      </c>
      <c r="AH12" s="199">
        <f t="shared" si="2"/>
        <v>793.29300000000001</v>
      </c>
      <c r="AI12" s="124">
        <f t="shared" si="3"/>
        <v>285.32</v>
      </c>
    </row>
    <row r="13" spans="1:71" s="34" customFormat="1" ht="95.25" customHeight="1">
      <c r="A13" s="132" t="s">
        <v>129</v>
      </c>
      <c r="B13" s="133"/>
      <c r="C13" s="134"/>
      <c r="D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6"/>
      <c r="AE13" s="137"/>
      <c r="AF13" s="238"/>
      <c r="AG13" s="124">
        <f t="shared" si="1"/>
        <v>0</v>
      </c>
      <c r="AH13" s="199">
        <f t="shared" si="2"/>
        <v>0</v>
      </c>
      <c r="AI13" s="124">
        <f t="shared" si="3"/>
        <v>0</v>
      </c>
    </row>
    <row r="14" spans="1:71" s="34" customFormat="1" ht="33.75" customHeight="1">
      <c r="A14" s="107" t="s">
        <v>120</v>
      </c>
      <c r="B14" s="108"/>
      <c r="C14" s="108"/>
      <c r="D14" s="108"/>
      <c r="E14" s="108"/>
      <c r="F14" s="109"/>
      <c r="G14" s="109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239"/>
      <c r="AG14" s="124">
        <f t="shared" si="1"/>
        <v>0</v>
      </c>
      <c r="AH14" s="199">
        <f t="shared" si="2"/>
        <v>0</v>
      </c>
      <c r="AI14" s="124">
        <f t="shared" si="3"/>
        <v>0</v>
      </c>
    </row>
    <row r="15" spans="1:71" s="34" customFormat="1" ht="15.75" customHeight="1">
      <c r="A15" s="95" t="s">
        <v>121</v>
      </c>
      <c r="B15" s="100">
        <f>B17+B16</f>
        <v>8782.103000000001</v>
      </c>
      <c r="C15" s="100">
        <f>C17+C16</f>
        <v>0</v>
      </c>
      <c r="D15" s="100">
        <f>D17+D16</f>
        <v>0</v>
      </c>
      <c r="E15" s="100">
        <f>E17+E16</f>
        <v>0</v>
      </c>
      <c r="F15" s="99">
        <f>E15/B15</f>
        <v>0</v>
      </c>
      <c r="G15" s="99">
        <v>0</v>
      </c>
      <c r="H15" s="79">
        <f>H17+H16</f>
        <v>0</v>
      </c>
      <c r="I15" s="79">
        <f>I17+I16</f>
        <v>0</v>
      </c>
      <c r="J15" s="79">
        <f t="shared" ref="J15:AE15" si="7">J17+J16</f>
        <v>0</v>
      </c>
      <c r="K15" s="79">
        <f t="shared" si="7"/>
        <v>0</v>
      </c>
      <c r="L15" s="79">
        <f t="shared" si="7"/>
        <v>0</v>
      </c>
      <c r="M15" s="79">
        <f t="shared" si="7"/>
        <v>0</v>
      </c>
      <c r="N15" s="79">
        <f t="shared" si="7"/>
        <v>0</v>
      </c>
      <c r="O15" s="79">
        <f t="shared" si="7"/>
        <v>0</v>
      </c>
      <c r="P15" s="79">
        <f t="shared" si="7"/>
        <v>0</v>
      </c>
      <c r="Q15" s="79">
        <f t="shared" si="7"/>
        <v>0</v>
      </c>
      <c r="R15" s="79">
        <f t="shared" si="7"/>
        <v>2935.5219999999999</v>
      </c>
      <c r="S15" s="79">
        <f t="shared" si="7"/>
        <v>0</v>
      </c>
      <c r="T15" s="79">
        <f t="shared" si="7"/>
        <v>2927.1590000000001</v>
      </c>
      <c r="U15" s="79">
        <f t="shared" si="7"/>
        <v>0</v>
      </c>
      <c r="V15" s="79">
        <f t="shared" si="7"/>
        <v>2919.422</v>
      </c>
      <c r="W15" s="79">
        <f t="shared" si="7"/>
        <v>0</v>
      </c>
      <c r="X15" s="79">
        <f t="shared" si="7"/>
        <v>0</v>
      </c>
      <c r="Y15" s="79">
        <f t="shared" si="7"/>
        <v>0</v>
      </c>
      <c r="Z15" s="79">
        <f t="shared" si="7"/>
        <v>0</v>
      </c>
      <c r="AA15" s="79">
        <f t="shared" si="7"/>
        <v>0</v>
      </c>
      <c r="AB15" s="79">
        <f t="shared" si="7"/>
        <v>0</v>
      </c>
      <c r="AC15" s="79">
        <f t="shared" si="7"/>
        <v>0</v>
      </c>
      <c r="AD15" s="79">
        <f t="shared" si="7"/>
        <v>0</v>
      </c>
      <c r="AE15" s="79">
        <f t="shared" si="7"/>
        <v>0</v>
      </c>
      <c r="AF15" s="239"/>
      <c r="AG15" s="124">
        <f t="shared" si="1"/>
        <v>8782.103000000001</v>
      </c>
      <c r="AH15" s="199">
        <f t="shared" si="2"/>
        <v>0</v>
      </c>
      <c r="AI15" s="124">
        <f t="shared" si="3"/>
        <v>0</v>
      </c>
    </row>
    <row r="16" spans="1:71" s="34" customFormat="1" ht="21.75" customHeight="1">
      <c r="A16" s="96" t="s">
        <v>104</v>
      </c>
      <c r="B16" s="81">
        <f>H16+J16+L16+N16+P16+R16+T16+V16+X16+Z16+AB16+AD16</f>
        <v>840</v>
      </c>
      <c r="C16" s="78">
        <f>H16+J16</f>
        <v>0</v>
      </c>
      <c r="D16" s="78"/>
      <c r="E16" s="78">
        <f>I16+K16</f>
        <v>0</v>
      </c>
      <c r="F16" s="101">
        <f>E16/B16</f>
        <v>0</v>
      </c>
      <c r="G16" s="101">
        <v>0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>
        <f>28000/100</f>
        <v>280</v>
      </c>
      <c r="S16" s="78">
        <v>0</v>
      </c>
      <c r="T16" s="78">
        <f>280000/1000</f>
        <v>280</v>
      </c>
      <c r="U16" s="78"/>
      <c r="V16" s="78">
        <f>280000/1000</f>
        <v>280</v>
      </c>
      <c r="W16" s="78"/>
      <c r="X16" s="78"/>
      <c r="Y16" s="78"/>
      <c r="Z16" s="78"/>
      <c r="AA16" s="78"/>
      <c r="AB16" s="78"/>
      <c r="AC16" s="78"/>
      <c r="AD16" s="78"/>
      <c r="AE16" s="78"/>
      <c r="AF16" s="239"/>
      <c r="AG16" s="124">
        <f t="shared" si="1"/>
        <v>840</v>
      </c>
      <c r="AH16" s="199">
        <f t="shared" si="2"/>
        <v>0</v>
      </c>
      <c r="AI16" s="124">
        <f t="shared" si="3"/>
        <v>0</v>
      </c>
    </row>
    <row r="17" spans="1:35" s="34" customFormat="1" ht="22.5" customHeight="1">
      <c r="A17" s="96" t="s">
        <v>105</v>
      </c>
      <c r="B17" s="81">
        <f>H17+J17+L17+N17+P17+R17+T17+V17+X17+Z17+AB17+AD17</f>
        <v>7942.103000000001</v>
      </c>
      <c r="C17" s="78">
        <f>H17+J17</f>
        <v>0</v>
      </c>
      <c r="D17" s="78"/>
      <c r="E17" s="78">
        <f>I17+K17</f>
        <v>0</v>
      </c>
      <c r="F17" s="101">
        <f>E17/B17</f>
        <v>0</v>
      </c>
      <c r="G17" s="101">
        <v>0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>
        <f>2655522/1000</f>
        <v>2655.5219999999999</v>
      </c>
      <c r="S17" s="78"/>
      <c r="T17" s="78">
        <f>2647159/1000</f>
        <v>2647.1590000000001</v>
      </c>
      <c r="U17" s="78"/>
      <c r="V17" s="78">
        <f>2639422/1000</f>
        <v>2639.422</v>
      </c>
      <c r="W17" s="78"/>
      <c r="X17" s="78"/>
      <c r="Y17" s="78"/>
      <c r="Z17" s="78"/>
      <c r="AA17" s="78"/>
      <c r="AB17" s="78"/>
      <c r="AC17" s="78"/>
      <c r="AD17" s="78"/>
      <c r="AE17" s="78"/>
      <c r="AF17" s="239"/>
      <c r="AG17" s="124">
        <f t="shared" si="1"/>
        <v>7942.103000000001</v>
      </c>
      <c r="AH17" s="199">
        <f t="shared" si="2"/>
        <v>0</v>
      </c>
      <c r="AI17" s="124">
        <f t="shared" si="3"/>
        <v>0</v>
      </c>
    </row>
    <row r="18" spans="1:35" s="34" customFormat="1" ht="89.25" customHeight="1">
      <c r="A18" s="107" t="s">
        <v>122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239"/>
      <c r="AG18" s="124">
        <f t="shared" si="1"/>
        <v>0</v>
      </c>
      <c r="AH18" s="199">
        <f t="shared" si="2"/>
        <v>0</v>
      </c>
      <c r="AI18" s="124">
        <f t="shared" si="3"/>
        <v>0</v>
      </c>
    </row>
    <row r="19" spans="1:35" s="34" customFormat="1" ht="22.5" customHeight="1">
      <c r="A19" s="96" t="s">
        <v>105</v>
      </c>
      <c r="B19" s="81">
        <f>H19+J19+L19+N19+P19+R19+T19+V19+X19+Z19+AB19+AD19</f>
        <v>580.00900000000001</v>
      </c>
      <c r="C19" s="81">
        <f>H19+J19</f>
        <v>0</v>
      </c>
      <c r="D19" s="122"/>
      <c r="E19" s="78">
        <f>I19+K19</f>
        <v>0</v>
      </c>
      <c r="F19" s="101">
        <f>E19/B19</f>
        <v>0</v>
      </c>
      <c r="G19" s="101">
        <v>0</v>
      </c>
      <c r="H19" s="103"/>
      <c r="I19" s="103"/>
      <c r="J19" s="103"/>
      <c r="K19" s="103"/>
      <c r="L19" s="103"/>
      <c r="M19" s="103"/>
      <c r="N19" s="105">
        <f>580009/1000</f>
        <v>580.00900000000001</v>
      </c>
      <c r="O19" s="103"/>
      <c r="P19" s="103"/>
      <c r="Q19" s="103"/>
      <c r="R19" s="103"/>
      <c r="S19" s="103"/>
      <c r="T19" s="103"/>
      <c r="U19" s="103"/>
      <c r="V19" s="103"/>
      <c r="W19" s="105"/>
      <c r="X19" s="103"/>
      <c r="Y19" s="103"/>
      <c r="Z19" s="103"/>
      <c r="AA19" s="103"/>
      <c r="AB19" s="103"/>
      <c r="AC19" s="103"/>
      <c r="AD19" s="103"/>
      <c r="AE19" s="103"/>
      <c r="AF19" s="239"/>
      <c r="AG19" s="124">
        <f t="shared" si="1"/>
        <v>580.00900000000001</v>
      </c>
      <c r="AH19" s="199">
        <f t="shared" si="2"/>
        <v>0</v>
      </c>
      <c r="AI19" s="124">
        <f t="shared" si="3"/>
        <v>0</v>
      </c>
    </row>
    <row r="20" spans="1:35" s="34" customFormat="1" ht="39.75" customHeight="1">
      <c r="A20" s="107" t="s">
        <v>123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239"/>
      <c r="AG20" s="124">
        <f t="shared" si="1"/>
        <v>0</v>
      </c>
      <c r="AH20" s="199">
        <f t="shared" si="2"/>
        <v>0</v>
      </c>
      <c r="AI20" s="124">
        <f t="shared" si="3"/>
        <v>0</v>
      </c>
    </row>
    <row r="21" spans="1:35" s="34" customFormat="1" ht="22.5" customHeight="1">
      <c r="A21" s="96" t="s">
        <v>105</v>
      </c>
      <c r="B21" s="81">
        <f>H21+J21+L21+N21+P21+R21+T21+V21+X21+Z21+AB21+AD21</f>
        <v>52.688000000000002</v>
      </c>
      <c r="C21" s="81">
        <f>H21+J21</f>
        <v>0</v>
      </c>
      <c r="D21" s="123"/>
      <c r="E21" s="78">
        <f>I21+K21</f>
        <v>0</v>
      </c>
      <c r="F21" s="101">
        <f>E21/B21</f>
        <v>0</v>
      </c>
      <c r="G21" s="101">
        <v>0</v>
      </c>
      <c r="H21" s="103"/>
      <c r="I21" s="103"/>
      <c r="J21" s="103"/>
      <c r="K21" s="103"/>
      <c r="L21" s="105">
        <f>52688/1000</f>
        <v>52.688000000000002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5"/>
      <c r="X21" s="103"/>
      <c r="Y21" s="103"/>
      <c r="Z21" s="103"/>
      <c r="AA21" s="103"/>
      <c r="AB21" s="103"/>
      <c r="AC21" s="103"/>
      <c r="AD21" s="103"/>
      <c r="AE21" s="103"/>
      <c r="AF21" s="240"/>
      <c r="AG21" s="124">
        <f t="shared" si="1"/>
        <v>52.688000000000002</v>
      </c>
      <c r="AH21" s="199">
        <f t="shared" si="2"/>
        <v>0</v>
      </c>
      <c r="AI21" s="124">
        <f t="shared" si="3"/>
        <v>0</v>
      </c>
    </row>
    <row r="22" spans="1:35" s="34" customFormat="1">
      <c r="A22" s="66" t="s">
        <v>25</v>
      </c>
      <c r="B22" s="67">
        <f>B23+B24</f>
        <v>9414.8000000000011</v>
      </c>
      <c r="C22" s="67">
        <f>C23+C24</f>
        <v>0</v>
      </c>
      <c r="D22" s="67">
        <f>D23+D24</f>
        <v>0</v>
      </c>
      <c r="E22" s="67">
        <f>E23+E24</f>
        <v>0</v>
      </c>
      <c r="F22" s="68">
        <f>E22/B22</f>
        <v>0</v>
      </c>
      <c r="G22" s="68">
        <v>0</v>
      </c>
      <c r="H22" s="69">
        <f>H23+H24</f>
        <v>0</v>
      </c>
      <c r="I22" s="69">
        <f>I23+I24</f>
        <v>0</v>
      </c>
      <c r="J22" s="69">
        <f t="shared" ref="J22:AE22" si="8">J23+J24</f>
        <v>0</v>
      </c>
      <c r="K22" s="69">
        <f t="shared" si="8"/>
        <v>0</v>
      </c>
      <c r="L22" s="69">
        <f t="shared" si="8"/>
        <v>52.688000000000002</v>
      </c>
      <c r="M22" s="69">
        <f t="shared" si="8"/>
        <v>0</v>
      </c>
      <c r="N22" s="69">
        <f t="shared" si="8"/>
        <v>580.00900000000001</v>
      </c>
      <c r="O22" s="69">
        <f t="shared" si="8"/>
        <v>0</v>
      </c>
      <c r="P22" s="69">
        <f t="shared" si="8"/>
        <v>0</v>
      </c>
      <c r="Q22" s="69">
        <f t="shared" si="8"/>
        <v>0</v>
      </c>
      <c r="R22" s="69">
        <f t="shared" si="8"/>
        <v>2935.5219999999999</v>
      </c>
      <c r="S22" s="69">
        <f t="shared" si="8"/>
        <v>0</v>
      </c>
      <c r="T22" s="69">
        <f t="shared" si="8"/>
        <v>2927.1590000000001</v>
      </c>
      <c r="U22" s="69">
        <f t="shared" si="8"/>
        <v>0</v>
      </c>
      <c r="V22" s="69">
        <f t="shared" si="8"/>
        <v>2919.422</v>
      </c>
      <c r="W22" s="69">
        <f t="shared" si="8"/>
        <v>0</v>
      </c>
      <c r="X22" s="69">
        <f t="shared" si="8"/>
        <v>0</v>
      </c>
      <c r="Y22" s="69">
        <f t="shared" si="8"/>
        <v>0</v>
      </c>
      <c r="Z22" s="69">
        <f t="shared" si="8"/>
        <v>0</v>
      </c>
      <c r="AA22" s="69">
        <f t="shared" si="8"/>
        <v>0</v>
      </c>
      <c r="AB22" s="69">
        <f t="shared" si="8"/>
        <v>0</v>
      </c>
      <c r="AC22" s="69">
        <f t="shared" si="8"/>
        <v>0</v>
      </c>
      <c r="AD22" s="69">
        <f t="shared" si="8"/>
        <v>0</v>
      </c>
      <c r="AE22" s="69">
        <f t="shared" si="8"/>
        <v>0</v>
      </c>
      <c r="AF22" s="69"/>
      <c r="AG22" s="124">
        <f t="shared" si="1"/>
        <v>9414.8000000000011</v>
      </c>
      <c r="AH22" s="199">
        <f t="shared" si="2"/>
        <v>0</v>
      </c>
      <c r="AI22" s="124">
        <f t="shared" si="3"/>
        <v>0</v>
      </c>
    </row>
    <row r="23" spans="1:35" s="34" customFormat="1">
      <c r="A23" s="70" t="s">
        <v>104</v>
      </c>
      <c r="B23" s="71">
        <f>B16</f>
        <v>840</v>
      </c>
      <c r="C23" s="71">
        <f>C16</f>
        <v>0</v>
      </c>
      <c r="D23" s="71">
        <f>D16</f>
        <v>0</v>
      </c>
      <c r="E23" s="71">
        <f>E16</f>
        <v>0</v>
      </c>
      <c r="F23" s="73">
        <f>E23/B23</f>
        <v>0</v>
      </c>
      <c r="G23" s="73">
        <v>0</v>
      </c>
      <c r="H23" s="71">
        <f>H16</f>
        <v>0</v>
      </c>
      <c r="I23" s="71">
        <f>I16</f>
        <v>0</v>
      </c>
      <c r="J23" s="71">
        <f t="shared" ref="J23:AD23" si="9">J16</f>
        <v>0</v>
      </c>
      <c r="K23" s="71">
        <f t="shared" si="9"/>
        <v>0</v>
      </c>
      <c r="L23" s="71">
        <f t="shared" si="9"/>
        <v>0</v>
      </c>
      <c r="M23" s="71">
        <f t="shared" si="9"/>
        <v>0</v>
      </c>
      <c r="N23" s="71">
        <f t="shared" si="9"/>
        <v>0</v>
      </c>
      <c r="O23" s="71">
        <f t="shared" si="9"/>
        <v>0</v>
      </c>
      <c r="P23" s="71">
        <f t="shared" si="9"/>
        <v>0</v>
      </c>
      <c r="Q23" s="71">
        <f t="shared" si="9"/>
        <v>0</v>
      </c>
      <c r="R23" s="71">
        <f t="shared" si="9"/>
        <v>280</v>
      </c>
      <c r="S23" s="71">
        <f t="shared" si="9"/>
        <v>0</v>
      </c>
      <c r="T23" s="71">
        <f t="shared" si="9"/>
        <v>280</v>
      </c>
      <c r="U23" s="71">
        <f t="shared" si="9"/>
        <v>0</v>
      </c>
      <c r="V23" s="71">
        <f t="shared" si="9"/>
        <v>280</v>
      </c>
      <c r="W23" s="71">
        <f t="shared" si="9"/>
        <v>0</v>
      </c>
      <c r="X23" s="71">
        <f t="shared" si="9"/>
        <v>0</v>
      </c>
      <c r="Y23" s="71">
        <f t="shared" si="9"/>
        <v>0</v>
      </c>
      <c r="Z23" s="71">
        <f t="shared" si="9"/>
        <v>0</v>
      </c>
      <c r="AA23" s="71">
        <f t="shared" si="9"/>
        <v>0</v>
      </c>
      <c r="AB23" s="71">
        <f t="shared" si="9"/>
        <v>0</v>
      </c>
      <c r="AC23" s="71">
        <f t="shared" si="9"/>
        <v>0</v>
      </c>
      <c r="AD23" s="71">
        <f t="shared" si="9"/>
        <v>0</v>
      </c>
      <c r="AE23" s="71">
        <f>AE16</f>
        <v>0</v>
      </c>
      <c r="AF23" s="71"/>
      <c r="AG23" s="124">
        <f t="shared" si="1"/>
        <v>840</v>
      </c>
      <c r="AH23" s="199">
        <f t="shared" si="2"/>
        <v>0</v>
      </c>
      <c r="AI23" s="124">
        <f t="shared" si="3"/>
        <v>0</v>
      </c>
    </row>
    <row r="24" spans="1:35" s="34" customFormat="1">
      <c r="A24" s="74" t="s">
        <v>105</v>
      </c>
      <c r="B24" s="75">
        <f>B17+B19+B21</f>
        <v>8574.8000000000011</v>
      </c>
      <c r="C24" s="75">
        <f>C17+C19+C21</f>
        <v>0</v>
      </c>
      <c r="D24" s="75">
        <f t="shared" ref="D24:E24" si="10">D17+D19+D21</f>
        <v>0</v>
      </c>
      <c r="E24" s="75">
        <f t="shared" si="10"/>
        <v>0</v>
      </c>
      <c r="F24" s="77">
        <f>E24/B24</f>
        <v>0</v>
      </c>
      <c r="G24" s="77">
        <v>0</v>
      </c>
      <c r="H24" s="75">
        <f>H17+H19+H21</f>
        <v>0</v>
      </c>
      <c r="I24" s="75">
        <f t="shared" ref="I24:AE24" si="11">I17+I19+I21</f>
        <v>0</v>
      </c>
      <c r="J24" s="75">
        <f t="shared" si="11"/>
        <v>0</v>
      </c>
      <c r="K24" s="75">
        <f t="shared" si="11"/>
        <v>0</v>
      </c>
      <c r="L24" s="75">
        <f t="shared" si="11"/>
        <v>52.688000000000002</v>
      </c>
      <c r="M24" s="75">
        <f t="shared" si="11"/>
        <v>0</v>
      </c>
      <c r="N24" s="75">
        <f t="shared" si="11"/>
        <v>580.00900000000001</v>
      </c>
      <c r="O24" s="75">
        <f t="shared" si="11"/>
        <v>0</v>
      </c>
      <c r="P24" s="75">
        <f t="shared" si="11"/>
        <v>0</v>
      </c>
      <c r="Q24" s="75">
        <f t="shared" si="11"/>
        <v>0</v>
      </c>
      <c r="R24" s="75">
        <f t="shared" si="11"/>
        <v>2655.5219999999999</v>
      </c>
      <c r="S24" s="75">
        <f t="shared" si="11"/>
        <v>0</v>
      </c>
      <c r="T24" s="75">
        <f t="shared" si="11"/>
        <v>2647.1590000000001</v>
      </c>
      <c r="U24" s="75">
        <f t="shared" si="11"/>
        <v>0</v>
      </c>
      <c r="V24" s="75">
        <f t="shared" si="11"/>
        <v>2639.422</v>
      </c>
      <c r="W24" s="75">
        <f t="shared" si="11"/>
        <v>0</v>
      </c>
      <c r="X24" s="75">
        <f t="shared" si="11"/>
        <v>0</v>
      </c>
      <c r="Y24" s="75">
        <f t="shared" si="11"/>
        <v>0</v>
      </c>
      <c r="Z24" s="75">
        <f t="shared" si="11"/>
        <v>0</v>
      </c>
      <c r="AA24" s="75">
        <f t="shared" si="11"/>
        <v>0</v>
      </c>
      <c r="AB24" s="75">
        <f t="shared" si="11"/>
        <v>0</v>
      </c>
      <c r="AC24" s="75">
        <f t="shared" si="11"/>
        <v>0</v>
      </c>
      <c r="AD24" s="75">
        <f t="shared" si="11"/>
        <v>0</v>
      </c>
      <c r="AE24" s="75">
        <f t="shared" si="11"/>
        <v>0</v>
      </c>
      <c r="AF24" s="75"/>
      <c r="AG24" s="124">
        <f t="shared" si="1"/>
        <v>8574.8000000000011</v>
      </c>
      <c r="AH24" s="199">
        <f t="shared" si="2"/>
        <v>0</v>
      </c>
      <c r="AI24" s="124">
        <f t="shared" si="3"/>
        <v>0</v>
      </c>
    </row>
    <row r="25" spans="1:35" s="34" customFormat="1" ht="198.75" customHeight="1">
      <c r="A25" s="132" t="s">
        <v>113</v>
      </c>
      <c r="B25" s="138"/>
      <c r="C25" s="139"/>
      <c r="D25" s="139"/>
      <c r="E25" s="139"/>
      <c r="F25" s="140"/>
      <c r="G25" s="140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41"/>
      <c r="AF25" s="143" t="s">
        <v>195</v>
      </c>
      <c r="AG25" s="124">
        <f t="shared" si="1"/>
        <v>0</v>
      </c>
      <c r="AH25" s="199">
        <f t="shared" si="2"/>
        <v>0</v>
      </c>
      <c r="AI25" s="124">
        <f t="shared" si="3"/>
        <v>0</v>
      </c>
    </row>
    <row r="26" spans="1:35" s="34" customFormat="1" ht="18.75" customHeight="1">
      <c r="A26" s="66" t="s">
        <v>25</v>
      </c>
      <c r="B26" s="67">
        <f>B28+B27</f>
        <v>1189</v>
      </c>
      <c r="C26" s="67">
        <f>C28+C27</f>
        <v>147.71600000000001</v>
      </c>
      <c r="D26" s="67">
        <f>D28+D27</f>
        <v>133.71600000000001</v>
      </c>
      <c r="E26" s="67">
        <f>E28+E27</f>
        <v>129.91999999999999</v>
      </c>
      <c r="F26" s="68">
        <f>E26/B26</f>
        <v>0.10926829268292682</v>
      </c>
      <c r="G26" s="68">
        <f>E26/C26</f>
        <v>0.87952557610549964</v>
      </c>
      <c r="H26" s="67">
        <f>H28+H27</f>
        <v>0</v>
      </c>
      <c r="I26" s="67">
        <f t="shared" ref="I26:AE26" si="12">I28+I27</f>
        <v>0</v>
      </c>
      <c r="J26" s="67">
        <f t="shared" si="12"/>
        <v>147.71600000000001</v>
      </c>
      <c r="K26" s="67">
        <f t="shared" si="12"/>
        <v>129.91999999999999</v>
      </c>
      <c r="L26" s="67">
        <f t="shared" si="12"/>
        <v>160.98699999999999</v>
      </c>
      <c r="M26" s="67">
        <f t="shared" si="12"/>
        <v>0</v>
      </c>
      <c r="N26" s="67">
        <f t="shared" si="12"/>
        <v>176.125</v>
      </c>
      <c r="O26" s="67">
        <f t="shared" si="12"/>
        <v>0</v>
      </c>
      <c r="P26" s="67">
        <f t="shared" si="12"/>
        <v>176.76700000000002</v>
      </c>
      <c r="Q26" s="67">
        <f t="shared" si="12"/>
        <v>0</v>
      </c>
      <c r="R26" s="67">
        <f t="shared" si="12"/>
        <v>0</v>
      </c>
      <c r="S26" s="67">
        <f t="shared" si="12"/>
        <v>0</v>
      </c>
      <c r="T26" s="67">
        <f t="shared" si="12"/>
        <v>0</v>
      </c>
      <c r="U26" s="67">
        <f t="shared" si="12"/>
        <v>0</v>
      </c>
      <c r="V26" s="67">
        <f t="shared" si="12"/>
        <v>0</v>
      </c>
      <c r="W26" s="67">
        <f t="shared" si="12"/>
        <v>0</v>
      </c>
      <c r="X26" s="67">
        <f t="shared" si="12"/>
        <v>176.12800000000001</v>
      </c>
      <c r="Y26" s="67">
        <f t="shared" si="12"/>
        <v>0</v>
      </c>
      <c r="Z26" s="67">
        <f t="shared" si="12"/>
        <v>175.15800000000002</v>
      </c>
      <c r="AA26" s="67">
        <f t="shared" si="12"/>
        <v>0</v>
      </c>
      <c r="AB26" s="67">
        <f t="shared" si="12"/>
        <v>176.119</v>
      </c>
      <c r="AC26" s="67">
        <f t="shared" si="12"/>
        <v>0</v>
      </c>
      <c r="AD26" s="67">
        <f t="shared" si="12"/>
        <v>0</v>
      </c>
      <c r="AE26" s="67">
        <f t="shared" si="12"/>
        <v>0</v>
      </c>
      <c r="AF26" s="67"/>
      <c r="AG26" s="124">
        <f t="shared" si="1"/>
        <v>1189</v>
      </c>
      <c r="AH26" s="199">
        <f t="shared" si="2"/>
        <v>147.71600000000001</v>
      </c>
      <c r="AI26" s="124">
        <f t="shared" si="3"/>
        <v>129.91999999999999</v>
      </c>
    </row>
    <row r="27" spans="1:35" s="34" customFormat="1" ht="18.75" customHeight="1">
      <c r="A27" s="70" t="s">
        <v>104</v>
      </c>
      <c r="B27" s="71">
        <f>H27+J27+L27+N27+P27+R27+T27+V27+X27+Z27+AB27+AD27</f>
        <v>113.39999999999999</v>
      </c>
      <c r="C27" s="72">
        <f>H27+J27</f>
        <v>14</v>
      </c>
      <c r="D27" s="72">
        <v>0</v>
      </c>
      <c r="E27" s="72">
        <f>I27+K27</f>
        <v>0</v>
      </c>
      <c r="F27" s="73">
        <f>E27/B27</f>
        <v>0</v>
      </c>
      <c r="G27" s="73">
        <v>0</v>
      </c>
      <c r="H27" s="72">
        <v>0</v>
      </c>
      <c r="I27" s="72">
        <v>0</v>
      </c>
      <c r="J27" s="72">
        <f>14000/1000</f>
        <v>14</v>
      </c>
      <c r="K27" s="72"/>
      <c r="L27" s="72">
        <f>15400/1000</f>
        <v>15.4</v>
      </c>
      <c r="M27" s="72"/>
      <c r="N27" s="72">
        <f>16800/1000</f>
        <v>16.8</v>
      </c>
      <c r="O27" s="72"/>
      <c r="P27" s="72">
        <f>16800/1000</f>
        <v>16.8</v>
      </c>
      <c r="Q27" s="72"/>
      <c r="R27" s="72"/>
      <c r="S27" s="72"/>
      <c r="T27" s="72"/>
      <c r="U27" s="72"/>
      <c r="V27" s="72"/>
      <c r="W27" s="72"/>
      <c r="X27" s="72">
        <f>16800/1000</f>
        <v>16.8</v>
      </c>
      <c r="Y27" s="72"/>
      <c r="Z27" s="72">
        <f>16800/1000</f>
        <v>16.8</v>
      </c>
      <c r="AA27" s="72"/>
      <c r="AB27" s="72">
        <f>16800/1000</f>
        <v>16.8</v>
      </c>
      <c r="AC27" s="72"/>
      <c r="AD27" s="72"/>
      <c r="AE27" s="72"/>
      <c r="AF27" s="72"/>
      <c r="AG27" s="124">
        <f t="shared" si="1"/>
        <v>113.39999999999999</v>
      </c>
      <c r="AH27" s="199">
        <f t="shared" si="2"/>
        <v>14</v>
      </c>
      <c r="AI27" s="124">
        <f t="shared" si="3"/>
        <v>0</v>
      </c>
    </row>
    <row r="28" spans="1:35" s="34" customFormat="1" ht="68.25" customHeight="1">
      <c r="A28" s="74" t="s">
        <v>105</v>
      </c>
      <c r="B28" s="75">
        <f>H28+J28+L28+N28+P28+R28+T28+V28+X28+Z28+AB28+AD28</f>
        <v>1075.5999999999999</v>
      </c>
      <c r="C28" s="76">
        <f>H28+J28</f>
        <v>133.71600000000001</v>
      </c>
      <c r="D28" s="76">
        <f>133716/1000</f>
        <v>133.71600000000001</v>
      </c>
      <c r="E28" s="76">
        <f>I28+K28</f>
        <v>129.91999999999999</v>
      </c>
      <c r="F28" s="77">
        <f>E28/B28</f>
        <v>0.12078839717367051</v>
      </c>
      <c r="G28" s="77">
        <f>E28/C28</f>
        <v>0.97161147506655887</v>
      </c>
      <c r="H28" s="76">
        <v>0</v>
      </c>
      <c r="I28" s="76">
        <v>0</v>
      </c>
      <c r="J28" s="76">
        <f>(26289+107427)/1000</f>
        <v>133.71600000000001</v>
      </c>
      <c r="K28" s="76">
        <v>129.91999999999999</v>
      </c>
      <c r="L28" s="76">
        <f>(28652+116935)/1000</f>
        <v>145.58699999999999</v>
      </c>
      <c r="M28" s="76"/>
      <c r="N28" s="76">
        <f>(31347+127978)/1000</f>
        <v>159.32499999999999</v>
      </c>
      <c r="O28" s="76"/>
      <c r="P28" s="76">
        <f>(31445+128522)/1000</f>
        <v>159.96700000000001</v>
      </c>
      <c r="Q28" s="76"/>
      <c r="R28" s="76"/>
      <c r="S28" s="76"/>
      <c r="T28" s="76"/>
      <c r="U28" s="76"/>
      <c r="V28" s="76"/>
      <c r="W28" s="76"/>
      <c r="X28" s="76">
        <f>(31349+127979)/1000</f>
        <v>159.328</v>
      </c>
      <c r="Y28" s="76"/>
      <c r="Z28" s="76">
        <f>(31175+127183)/1000</f>
        <v>158.358</v>
      </c>
      <c r="AA28" s="76"/>
      <c r="AB28" s="76">
        <f>(31343+127976)/1000</f>
        <v>159.31899999999999</v>
      </c>
      <c r="AC28" s="76"/>
      <c r="AD28" s="76"/>
      <c r="AE28" s="76"/>
      <c r="AF28" s="76"/>
      <c r="AG28" s="124">
        <f t="shared" si="1"/>
        <v>1075.5999999999999</v>
      </c>
      <c r="AH28" s="199">
        <f t="shared" si="2"/>
        <v>133.71600000000001</v>
      </c>
      <c r="AI28" s="124">
        <f t="shared" si="3"/>
        <v>129.91999999999999</v>
      </c>
    </row>
    <row r="29" spans="1:35" s="34" customFormat="1" ht="82.5" customHeight="1">
      <c r="A29" s="132" t="s">
        <v>114</v>
      </c>
      <c r="B29" s="142"/>
      <c r="C29" s="139"/>
      <c r="D29" s="139"/>
      <c r="E29" s="139"/>
      <c r="F29" s="140"/>
      <c r="G29" s="140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1"/>
      <c r="AF29" s="234" t="s">
        <v>199</v>
      </c>
      <c r="AG29" s="124">
        <f t="shared" si="1"/>
        <v>0</v>
      </c>
      <c r="AH29" s="199">
        <f t="shared" si="2"/>
        <v>0</v>
      </c>
      <c r="AI29" s="124">
        <f t="shared" si="3"/>
        <v>0</v>
      </c>
    </row>
    <row r="30" spans="1:35" s="34" customFormat="1" ht="33.75" customHeight="1">
      <c r="A30" s="107" t="s">
        <v>120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235"/>
      <c r="AG30" s="124">
        <f t="shared" si="1"/>
        <v>0</v>
      </c>
      <c r="AH30" s="199">
        <f t="shared" si="2"/>
        <v>0</v>
      </c>
      <c r="AI30" s="124">
        <f t="shared" si="3"/>
        <v>0</v>
      </c>
    </row>
    <row r="31" spans="1:35" s="34" customFormat="1" ht="15.75" customHeight="1">
      <c r="A31" s="95" t="s">
        <v>121</v>
      </c>
      <c r="B31" s="100">
        <f>B33+B32</f>
        <v>1835.1000000000001</v>
      </c>
      <c r="C31" s="100">
        <f>C33+C32</f>
        <v>232.21299999999999</v>
      </c>
      <c r="D31" s="100">
        <f>D33+D32</f>
        <v>168.577</v>
      </c>
      <c r="E31" s="100">
        <f>E33+E32</f>
        <v>14.34</v>
      </c>
      <c r="F31" s="99">
        <f>E31/B31</f>
        <v>7.8142880496975629E-3</v>
      </c>
      <c r="G31" s="99">
        <f>E31/C31</f>
        <v>6.1753648589872229E-2</v>
      </c>
      <c r="H31" s="79">
        <f>H33+H32</f>
        <v>0</v>
      </c>
      <c r="I31" s="79">
        <f>I33+I32</f>
        <v>0</v>
      </c>
      <c r="J31" s="79">
        <f t="shared" ref="J31:AE31" si="13">J33+J32</f>
        <v>232.21299999999999</v>
      </c>
      <c r="K31" s="79">
        <f t="shared" si="13"/>
        <v>14.34</v>
      </c>
      <c r="L31" s="79">
        <f t="shared" si="13"/>
        <v>202.69200000000001</v>
      </c>
      <c r="M31" s="79">
        <f t="shared" si="13"/>
        <v>0</v>
      </c>
      <c r="N31" s="79">
        <f t="shared" si="13"/>
        <v>299.089</v>
      </c>
      <c r="O31" s="79">
        <f t="shared" si="13"/>
        <v>0</v>
      </c>
      <c r="P31" s="79">
        <f t="shared" si="13"/>
        <v>217.452</v>
      </c>
      <c r="Q31" s="79">
        <f t="shared" si="13"/>
        <v>0</v>
      </c>
      <c r="R31" s="79">
        <f t="shared" si="13"/>
        <v>217.453</v>
      </c>
      <c r="S31" s="79">
        <f t="shared" si="13"/>
        <v>0</v>
      </c>
      <c r="T31" s="79">
        <f t="shared" si="13"/>
        <v>299.08799999999997</v>
      </c>
      <c r="U31" s="79">
        <f t="shared" si="13"/>
        <v>0</v>
      </c>
      <c r="V31" s="79">
        <f t="shared" si="13"/>
        <v>108.72499999999999</v>
      </c>
      <c r="W31" s="79">
        <f t="shared" si="13"/>
        <v>0</v>
      </c>
      <c r="X31" s="79">
        <f t="shared" si="13"/>
        <v>108.72800000000001</v>
      </c>
      <c r="Y31" s="79">
        <f t="shared" si="13"/>
        <v>0</v>
      </c>
      <c r="Z31" s="79">
        <f t="shared" si="13"/>
        <v>149.66</v>
      </c>
      <c r="AA31" s="79">
        <f t="shared" si="13"/>
        <v>0</v>
      </c>
      <c r="AB31" s="79">
        <f t="shared" si="13"/>
        <v>0</v>
      </c>
      <c r="AC31" s="79">
        <f t="shared" si="13"/>
        <v>0</v>
      </c>
      <c r="AD31" s="79">
        <f t="shared" si="13"/>
        <v>0</v>
      </c>
      <c r="AE31" s="79">
        <f t="shared" si="13"/>
        <v>0</v>
      </c>
      <c r="AF31" s="235"/>
      <c r="AG31" s="124">
        <f t="shared" si="1"/>
        <v>1835.1</v>
      </c>
      <c r="AH31" s="199">
        <f t="shared" si="2"/>
        <v>232.21299999999999</v>
      </c>
      <c r="AI31" s="124">
        <f t="shared" si="3"/>
        <v>14.34</v>
      </c>
    </row>
    <row r="32" spans="1:35" s="34" customFormat="1" ht="21.75" customHeight="1">
      <c r="A32" s="96" t="s">
        <v>104</v>
      </c>
      <c r="B32" s="81">
        <f>H32+J32+L32+N32+P32+R32+T32+V32+X32+Z32+AB32+AD32</f>
        <v>954.50000000000011</v>
      </c>
      <c r="C32" s="78">
        <f>H32+J32</f>
        <v>63.636000000000003</v>
      </c>
      <c r="D32" s="78">
        <v>0</v>
      </c>
      <c r="E32" s="78">
        <f>I32+K32</f>
        <v>0</v>
      </c>
      <c r="F32" s="101">
        <f>E32/B32</f>
        <v>0</v>
      </c>
      <c r="G32" s="101">
        <v>0</v>
      </c>
      <c r="H32" s="104"/>
      <c r="I32" s="103"/>
      <c r="J32" s="105">
        <f>63636/1000</f>
        <v>63.636000000000003</v>
      </c>
      <c r="K32" s="103"/>
      <c r="L32" s="105">
        <f>127272/1000</f>
        <v>127.27200000000001</v>
      </c>
      <c r="M32" s="103"/>
      <c r="N32" s="105">
        <f>190909/1000</f>
        <v>190.90899999999999</v>
      </c>
      <c r="O32" s="103"/>
      <c r="P32" s="105">
        <f>63636/1000</f>
        <v>63.636000000000003</v>
      </c>
      <c r="Q32" s="103"/>
      <c r="R32" s="105">
        <f>127272/1000</f>
        <v>127.27200000000001</v>
      </c>
      <c r="S32" s="103"/>
      <c r="T32" s="105">
        <f>190909/1000</f>
        <v>190.90899999999999</v>
      </c>
      <c r="U32" s="103"/>
      <c r="V32" s="105">
        <f>31815/1000</f>
        <v>31.815000000000001</v>
      </c>
      <c r="W32" s="103"/>
      <c r="X32" s="105">
        <f>63633/1000</f>
        <v>63.633000000000003</v>
      </c>
      <c r="Y32" s="103"/>
      <c r="Z32" s="105">
        <f>95418/1000</f>
        <v>95.418000000000006</v>
      </c>
      <c r="AA32" s="103"/>
      <c r="AB32" s="103"/>
      <c r="AC32" s="103"/>
      <c r="AD32" s="103"/>
      <c r="AE32" s="103"/>
      <c r="AF32" s="235"/>
      <c r="AG32" s="124">
        <f t="shared" si="1"/>
        <v>954.50000000000011</v>
      </c>
      <c r="AH32" s="199">
        <f t="shared" si="2"/>
        <v>63.636000000000003</v>
      </c>
      <c r="AI32" s="124">
        <f t="shared" si="3"/>
        <v>0</v>
      </c>
    </row>
    <row r="33" spans="1:35" s="34" customFormat="1" ht="22.5" customHeight="1">
      <c r="A33" s="96" t="s">
        <v>105</v>
      </c>
      <c r="B33" s="81">
        <f>H33+J33+L33+N33+P33+R33+T33+V33+X33+Z33+AB33+AD33</f>
        <v>880.6</v>
      </c>
      <c r="C33" s="78">
        <f>H33+J33</f>
        <v>168.577</v>
      </c>
      <c r="D33" s="78">
        <f>168577/1000</f>
        <v>168.577</v>
      </c>
      <c r="E33" s="78">
        <f>I33+K33</f>
        <v>14.34</v>
      </c>
      <c r="F33" s="101">
        <f>E33/B33</f>
        <v>1.6284351578469226E-2</v>
      </c>
      <c r="G33" s="101">
        <f>E33/C33</f>
        <v>8.5064985140321639E-2</v>
      </c>
      <c r="H33" s="103"/>
      <c r="I33" s="103"/>
      <c r="J33" s="105">
        <f>(129863+38714)/1000</f>
        <v>168.577</v>
      </c>
      <c r="K33" s="103">
        <v>14.34</v>
      </c>
      <c r="L33" s="105">
        <f>(36706+38714)/1000</f>
        <v>75.42</v>
      </c>
      <c r="M33" s="103"/>
      <c r="N33" s="105">
        <f>(54934+53246)/1000</f>
        <v>108.18</v>
      </c>
      <c r="O33" s="105"/>
      <c r="P33" s="105">
        <f>(115102+38714)/1000</f>
        <v>153.816</v>
      </c>
      <c r="Q33" s="103"/>
      <c r="R33" s="105">
        <f>(51467+38714)/1000</f>
        <v>90.180999999999997</v>
      </c>
      <c r="S33" s="103"/>
      <c r="T33" s="105">
        <f>(54933+53246)/1000</f>
        <v>108.179</v>
      </c>
      <c r="U33" s="105"/>
      <c r="V33" s="103">
        <f>(57550+19360)/1000</f>
        <v>76.91</v>
      </c>
      <c r="W33" s="105"/>
      <c r="X33" s="105">
        <f>(25732+19363)/1000</f>
        <v>45.094999999999999</v>
      </c>
      <c r="Y33" s="103"/>
      <c r="Z33" s="105">
        <f>(27613+26629)/1000</f>
        <v>54.241999999999997</v>
      </c>
      <c r="AA33" s="103"/>
      <c r="AB33" s="103"/>
      <c r="AC33" s="103"/>
      <c r="AD33" s="103"/>
      <c r="AE33" s="103"/>
      <c r="AF33" s="235"/>
      <c r="AG33" s="124">
        <f t="shared" si="1"/>
        <v>880.6</v>
      </c>
      <c r="AH33" s="199">
        <f t="shared" si="2"/>
        <v>168.577</v>
      </c>
      <c r="AI33" s="124">
        <f t="shared" si="3"/>
        <v>14.34</v>
      </c>
    </row>
    <row r="34" spans="1:35" s="34" customFormat="1" ht="89.25" customHeight="1">
      <c r="A34" s="107" t="s">
        <v>122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235"/>
      <c r="AG34" s="124">
        <f t="shared" si="1"/>
        <v>0</v>
      </c>
      <c r="AH34" s="199">
        <f t="shared" si="2"/>
        <v>0</v>
      </c>
      <c r="AI34" s="124">
        <f t="shared" si="3"/>
        <v>0</v>
      </c>
    </row>
    <row r="35" spans="1:35" s="34" customFormat="1" ht="22.5" customHeight="1">
      <c r="A35" s="96" t="s">
        <v>105</v>
      </c>
      <c r="B35" s="81">
        <f>H35+J35+L35+N35+P35+R35+T35+V35+X35+Z35+AB35+AD35</f>
        <v>52.5</v>
      </c>
      <c r="C35" s="78">
        <f>H35+J35</f>
        <v>21</v>
      </c>
      <c r="D35" s="78">
        <v>21</v>
      </c>
      <c r="E35" s="78">
        <f>I35+K35</f>
        <v>0</v>
      </c>
      <c r="F35" s="101">
        <f>E35/B35</f>
        <v>0</v>
      </c>
      <c r="G35" s="101">
        <v>0</v>
      </c>
      <c r="H35" s="103"/>
      <c r="I35" s="103"/>
      <c r="J35" s="104">
        <f>21000/1000</f>
        <v>21</v>
      </c>
      <c r="K35" s="103"/>
      <c r="L35" s="103"/>
      <c r="M35" s="103"/>
      <c r="N35" s="103"/>
      <c r="O35" s="103"/>
      <c r="P35" s="104">
        <f>21000/1000</f>
        <v>21</v>
      </c>
      <c r="Q35" s="103"/>
      <c r="R35" s="103"/>
      <c r="S35" s="103"/>
      <c r="T35" s="103"/>
      <c r="U35" s="103"/>
      <c r="V35" s="105">
        <f>10500/1000</f>
        <v>10.5</v>
      </c>
      <c r="W35" s="103"/>
      <c r="X35" s="103"/>
      <c r="Y35" s="103"/>
      <c r="Z35" s="103"/>
      <c r="AA35" s="103"/>
      <c r="AB35" s="103"/>
      <c r="AC35" s="103"/>
      <c r="AD35" s="103"/>
      <c r="AE35" s="103"/>
      <c r="AF35" s="236"/>
      <c r="AG35" s="124">
        <f t="shared" si="1"/>
        <v>52.5</v>
      </c>
      <c r="AH35" s="199">
        <f t="shared" si="2"/>
        <v>21</v>
      </c>
      <c r="AI35" s="124">
        <f t="shared" si="3"/>
        <v>0</v>
      </c>
    </row>
    <row r="36" spans="1:35" s="34" customFormat="1">
      <c r="A36" s="66" t="s">
        <v>25</v>
      </c>
      <c r="B36" s="67">
        <f>B37+B38</f>
        <v>1887.6000000000001</v>
      </c>
      <c r="C36" s="67">
        <f>C37+C38</f>
        <v>253.21299999999999</v>
      </c>
      <c r="D36" s="67">
        <f>D37+D38</f>
        <v>189.577</v>
      </c>
      <c r="E36" s="67">
        <f>E37+E38</f>
        <v>14.34</v>
      </c>
      <c r="F36" s="68">
        <f>E36/B36</f>
        <v>7.5969485060394144E-3</v>
      </c>
      <c r="G36" s="68">
        <f>E36/C36</f>
        <v>5.6632163435526614E-2</v>
      </c>
      <c r="H36" s="69">
        <f>H37+H38</f>
        <v>0</v>
      </c>
      <c r="I36" s="69">
        <f t="shared" ref="I36:AE36" si="14">I37+I38</f>
        <v>0</v>
      </c>
      <c r="J36" s="69">
        <f t="shared" si="14"/>
        <v>253.21299999999999</v>
      </c>
      <c r="K36" s="69">
        <f t="shared" si="14"/>
        <v>14.34</v>
      </c>
      <c r="L36" s="69">
        <f t="shared" si="14"/>
        <v>202.69200000000001</v>
      </c>
      <c r="M36" s="69">
        <f t="shared" si="14"/>
        <v>0</v>
      </c>
      <c r="N36" s="69">
        <f t="shared" si="14"/>
        <v>299.089</v>
      </c>
      <c r="O36" s="69">
        <f t="shared" si="14"/>
        <v>0</v>
      </c>
      <c r="P36" s="69">
        <f t="shared" si="14"/>
        <v>238.452</v>
      </c>
      <c r="Q36" s="69">
        <f t="shared" si="14"/>
        <v>0</v>
      </c>
      <c r="R36" s="69">
        <f t="shared" si="14"/>
        <v>217.453</v>
      </c>
      <c r="S36" s="69">
        <f t="shared" si="14"/>
        <v>0</v>
      </c>
      <c r="T36" s="69">
        <f t="shared" si="14"/>
        <v>299.08799999999997</v>
      </c>
      <c r="U36" s="69">
        <f t="shared" si="14"/>
        <v>0</v>
      </c>
      <c r="V36" s="69">
        <f t="shared" si="14"/>
        <v>119.22499999999999</v>
      </c>
      <c r="W36" s="69">
        <f t="shared" si="14"/>
        <v>0</v>
      </c>
      <c r="X36" s="69">
        <f t="shared" si="14"/>
        <v>108.72800000000001</v>
      </c>
      <c r="Y36" s="69">
        <f t="shared" si="14"/>
        <v>0</v>
      </c>
      <c r="Z36" s="69">
        <f t="shared" si="14"/>
        <v>149.66</v>
      </c>
      <c r="AA36" s="69">
        <f t="shared" si="14"/>
        <v>0</v>
      </c>
      <c r="AB36" s="69">
        <f t="shared" si="14"/>
        <v>0</v>
      </c>
      <c r="AC36" s="69">
        <f t="shared" si="14"/>
        <v>0</v>
      </c>
      <c r="AD36" s="69">
        <f t="shared" si="14"/>
        <v>0</v>
      </c>
      <c r="AE36" s="69">
        <f t="shared" si="14"/>
        <v>0</v>
      </c>
      <c r="AF36" s="69"/>
      <c r="AG36" s="124">
        <f t="shared" si="1"/>
        <v>1887.6</v>
      </c>
      <c r="AH36" s="199">
        <f t="shared" si="2"/>
        <v>253.21299999999999</v>
      </c>
      <c r="AI36" s="124">
        <f t="shared" si="3"/>
        <v>14.34</v>
      </c>
    </row>
    <row r="37" spans="1:35" s="34" customFormat="1" ht="20.25" customHeight="1">
      <c r="A37" s="70" t="s">
        <v>104</v>
      </c>
      <c r="B37" s="71">
        <f>B32</f>
        <v>954.50000000000011</v>
      </c>
      <c r="C37" s="72">
        <f>C32</f>
        <v>63.636000000000003</v>
      </c>
      <c r="D37" s="72">
        <f>D32</f>
        <v>0</v>
      </c>
      <c r="E37" s="72">
        <f>I37+K37+M37+O37+Q37+S37+U37+W37+Y37+AA37+AC37+AE37</f>
        <v>0</v>
      </c>
      <c r="F37" s="73">
        <f>E37/B37</f>
        <v>0</v>
      </c>
      <c r="G37" s="73">
        <v>0</v>
      </c>
      <c r="H37" s="72">
        <f>H32</f>
        <v>0</v>
      </c>
      <c r="I37" s="72">
        <f t="shared" ref="I37:AE37" si="15">I32</f>
        <v>0</v>
      </c>
      <c r="J37" s="72">
        <f t="shared" si="15"/>
        <v>63.636000000000003</v>
      </c>
      <c r="K37" s="72">
        <f t="shared" si="15"/>
        <v>0</v>
      </c>
      <c r="L37" s="72">
        <f t="shared" si="15"/>
        <v>127.27200000000001</v>
      </c>
      <c r="M37" s="72">
        <f t="shared" si="15"/>
        <v>0</v>
      </c>
      <c r="N37" s="72">
        <f t="shared" si="15"/>
        <v>190.90899999999999</v>
      </c>
      <c r="O37" s="72">
        <f t="shared" si="15"/>
        <v>0</v>
      </c>
      <c r="P37" s="72">
        <f t="shared" si="15"/>
        <v>63.636000000000003</v>
      </c>
      <c r="Q37" s="72">
        <f t="shared" si="15"/>
        <v>0</v>
      </c>
      <c r="R37" s="72">
        <f t="shared" si="15"/>
        <v>127.27200000000001</v>
      </c>
      <c r="S37" s="72">
        <f t="shared" si="15"/>
        <v>0</v>
      </c>
      <c r="T37" s="72">
        <f t="shared" si="15"/>
        <v>190.90899999999999</v>
      </c>
      <c r="U37" s="72">
        <f t="shared" si="15"/>
        <v>0</v>
      </c>
      <c r="V37" s="72">
        <f t="shared" si="15"/>
        <v>31.815000000000001</v>
      </c>
      <c r="W37" s="72">
        <f t="shared" si="15"/>
        <v>0</v>
      </c>
      <c r="X37" s="72">
        <f t="shared" si="15"/>
        <v>63.633000000000003</v>
      </c>
      <c r="Y37" s="72">
        <f t="shared" si="15"/>
        <v>0</v>
      </c>
      <c r="Z37" s="72">
        <f t="shared" si="15"/>
        <v>95.418000000000006</v>
      </c>
      <c r="AA37" s="72">
        <f t="shared" si="15"/>
        <v>0</v>
      </c>
      <c r="AB37" s="72">
        <f t="shared" si="15"/>
        <v>0</v>
      </c>
      <c r="AC37" s="72">
        <f t="shared" si="15"/>
        <v>0</v>
      </c>
      <c r="AD37" s="72">
        <f t="shared" si="15"/>
        <v>0</v>
      </c>
      <c r="AE37" s="72">
        <f t="shared" si="15"/>
        <v>0</v>
      </c>
      <c r="AF37" s="72"/>
      <c r="AG37" s="124">
        <f t="shared" si="1"/>
        <v>954.50000000000011</v>
      </c>
      <c r="AH37" s="199">
        <f t="shared" si="2"/>
        <v>63.636000000000003</v>
      </c>
      <c r="AI37" s="124">
        <f t="shared" si="3"/>
        <v>0</v>
      </c>
    </row>
    <row r="38" spans="1:35" s="34" customFormat="1">
      <c r="A38" s="74" t="s">
        <v>105</v>
      </c>
      <c r="B38" s="75">
        <f>B33+B35</f>
        <v>933.1</v>
      </c>
      <c r="C38" s="75">
        <f>C33+C35</f>
        <v>189.577</v>
      </c>
      <c r="D38" s="76">
        <f>D33+D35</f>
        <v>189.577</v>
      </c>
      <c r="E38" s="76">
        <f>I38+K38+M38+O38+Q38+S38+U38+W38+Y38+AA38+AC38+AE38</f>
        <v>14.34</v>
      </c>
      <c r="F38" s="77">
        <f>E38/B38</f>
        <v>1.5368127746222269E-2</v>
      </c>
      <c r="G38" s="77">
        <f>E38/C38</f>
        <v>7.5642087384018106E-2</v>
      </c>
      <c r="H38" s="76">
        <f>H33+H35</f>
        <v>0</v>
      </c>
      <c r="I38" s="76">
        <f t="shared" ref="I38:AE38" si="16">I33+I35</f>
        <v>0</v>
      </c>
      <c r="J38" s="76">
        <f t="shared" si="16"/>
        <v>189.577</v>
      </c>
      <c r="K38" s="76">
        <f t="shared" si="16"/>
        <v>14.34</v>
      </c>
      <c r="L38" s="76">
        <f t="shared" si="16"/>
        <v>75.42</v>
      </c>
      <c r="M38" s="76">
        <f t="shared" si="16"/>
        <v>0</v>
      </c>
      <c r="N38" s="76">
        <f t="shared" si="16"/>
        <v>108.18</v>
      </c>
      <c r="O38" s="76">
        <f t="shared" si="16"/>
        <v>0</v>
      </c>
      <c r="P38" s="76">
        <f t="shared" si="16"/>
        <v>174.816</v>
      </c>
      <c r="Q38" s="76">
        <f t="shared" si="16"/>
        <v>0</v>
      </c>
      <c r="R38" s="76">
        <f t="shared" si="16"/>
        <v>90.180999999999997</v>
      </c>
      <c r="S38" s="76">
        <f t="shared" si="16"/>
        <v>0</v>
      </c>
      <c r="T38" s="76">
        <f t="shared" si="16"/>
        <v>108.179</v>
      </c>
      <c r="U38" s="76">
        <f t="shared" si="16"/>
        <v>0</v>
      </c>
      <c r="V38" s="76">
        <f t="shared" si="16"/>
        <v>87.41</v>
      </c>
      <c r="W38" s="76">
        <f t="shared" si="16"/>
        <v>0</v>
      </c>
      <c r="X38" s="76">
        <f t="shared" si="16"/>
        <v>45.094999999999999</v>
      </c>
      <c r="Y38" s="76">
        <f t="shared" si="16"/>
        <v>0</v>
      </c>
      <c r="Z38" s="76">
        <f t="shared" si="16"/>
        <v>54.241999999999997</v>
      </c>
      <c r="AA38" s="76">
        <f t="shared" si="16"/>
        <v>0</v>
      </c>
      <c r="AB38" s="76">
        <f t="shared" si="16"/>
        <v>0</v>
      </c>
      <c r="AC38" s="76">
        <f t="shared" si="16"/>
        <v>0</v>
      </c>
      <c r="AD38" s="76">
        <f t="shared" si="16"/>
        <v>0</v>
      </c>
      <c r="AE38" s="76">
        <f t="shared" si="16"/>
        <v>0</v>
      </c>
      <c r="AF38" s="76"/>
      <c r="AG38" s="124">
        <f t="shared" si="1"/>
        <v>933.1</v>
      </c>
      <c r="AH38" s="199">
        <f t="shared" si="2"/>
        <v>189.577</v>
      </c>
      <c r="AI38" s="124">
        <f t="shared" si="3"/>
        <v>14.34</v>
      </c>
    </row>
    <row r="39" spans="1:35" s="34" customFormat="1" ht="72.75" customHeight="1">
      <c r="A39" s="132" t="s">
        <v>130</v>
      </c>
      <c r="B39" s="142"/>
      <c r="C39" s="139"/>
      <c r="D39" s="139"/>
      <c r="E39" s="139"/>
      <c r="F39" s="140"/>
      <c r="G39" s="140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41"/>
      <c r="AF39" s="234"/>
      <c r="AG39" s="124">
        <f t="shared" si="1"/>
        <v>0</v>
      </c>
      <c r="AH39" s="199">
        <f t="shared" si="2"/>
        <v>0</v>
      </c>
      <c r="AI39" s="124">
        <f t="shared" si="3"/>
        <v>0</v>
      </c>
    </row>
    <row r="40" spans="1:35" s="34" customFormat="1" ht="33.75" hidden="1" customHeight="1">
      <c r="A40" s="107" t="s">
        <v>120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35"/>
      <c r="AG40" s="124">
        <f t="shared" si="1"/>
        <v>0</v>
      </c>
      <c r="AH40" s="199">
        <f t="shared" si="2"/>
        <v>0</v>
      </c>
      <c r="AI40" s="124">
        <f t="shared" si="3"/>
        <v>0</v>
      </c>
    </row>
    <row r="41" spans="1:35" s="34" customFormat="1" ht="22.5" hidden="1" customHeight="1">
      <c r="A41" s="96" t="s">
        <v>105</v>
      </c>
      <c r="B41" s="81">
        <f>H41+J41+L41+N41+P41+R41+T41+V41+X41+Z41+AB41+AD41</f>
        <v>0</v>
      </c>
      <c r="C41" s="78">
        <f>H41+J41+L41</f>
        <v>0</v>
      </c>
      <c r="D41" s="78"/>
      <c r="E41" s="78">
        <f>I41+K41+M41+O41+Q41+S41+U41+W41+Y41+AA41+AC41+AE41</f>
        <v>0</v>
      </c>
      <c r="F41" s="101" t="e">
        <f>E41/B41</f>
        <v>#DIV/0!</v>
      </c>
      <c r="G41" s="101" t="e">
        <f>E41/C41</f>
        <v>#DIV/0!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235"/>
      <c r="AG41" s="124">
        <f t="shared" si="1"/>
        <v>0</v>
      </c>
      <c r="AH41" s="199">
        <f t="shared" si="2"/>
        <v>0</v>
      </c>
      <c r="AI41" s="124">
        <f t="shared" si="3"/>
        <v>0</v>
      </c>
    </row>
    <row r="42" spans="1:35" s="34" customFormat="1" ht="89.25" hidden="1" customHeight="1">
      <c r="A42" s="107" t="s">
        <v>122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235"/>
      <c r="AG42" s="124">
        <f t="shared" si="1"/>
        <v>0</v>
      </c>
      <c r="AH42" s="199">
        <f t="shared" si="2"/>
        <v>0</v>
      </c>
      <c r="AI42" s="124">
        <f t="shared" si="3"/>
        <v>0</v>
      </c>
    </row>
    <row r="43" spans="1:35" s="34" customFormat="1" ht="22.5" hidden="1" customHeight="1">
      <c r="A43" s="96" t="s">
        <v>105</v>
      </c>
      <c r="B43" s="81">
        <f>H43+J43+L43+N43+P43+R43+T43+V43+X43+Z43+AB43+AD43</f>
        <v>0</v>
      </c>
      <c r="C43" s="78">
        <f>H43+J43+L43</f>
        <v>0</v>
      </c>
      <c r="D43" s="78"/>
      <c r="E43" s="78">
        <f>I43+K43+M43+O43+Q43+S43+U43+W43+Y43+AA43+AC43+AE43</f>
        <v>0</v>
      </c>
      <c r="F43" s="101" t="e">
        <f>E43/B43</f>
        <v>#DIV/0!</v>
      </c>
      <c r="G43" s="101" t="e">
        <f>E43/C43</f>
        <v>#DIV/0!</v>
      </c>
      <c r="H43" s="103"/>
      <c r="I43" s="103"/>
      <c r="J43" s="104"/>
      <c r="K43" s="103"/>
      <c r="L43" s="103"/>
      <c r="M43" s="103"/>
      <c r="N43" s="103"/>
      <c r="O43" s="103"/>
      <c r="P43" s="104"/>
      <c r="Q43" s="103"/>
      <c r="R43" s="103"/>
      <c r="S43" s="103"/>
      <c r="T43" s="103"/>
      <c r="U43" s="103"/>
      <c r="V43" s="105"/>
      <c r="W43" s="103"/>
      <c r="X43" s="103"/>
      <c r="Y43" s="103"/>
      <c r="Z43" s="103"/>
      <c r="AA43" s="103"/>
      <c r="AB43" s="103"/>
      <c r="AC43" s="103"/>
      <c r="AD43" s="103"/>
      <c r="AE43" s="103"/>
      <c r="AF43" s="235"/>
      <c r="AG43" s="124">
        <f t="shared" si="1"/>
        <v>0</v>
      </c>
      <c r="AH43" s="199">
        <f t="shared" si="2"/>
        <v>0</v>
      </c>
      <c r="AI43" s="124">
        <f t="shared" si="3"/>
        <v>0</v>
      </c>
    </row>
    <row r="44" spans="1:35" s="34" customFormat="1" ht="33.75" customHeight="1">
      <c r="A44" s="107" t="s">
        <v>120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235"/>
      <c r="AG44" s="124">
        <f t="shared" si="1"/>
        <v>0</v>
      </c>
      <c r="AH44" s="199">
        <f t="shared" si="2"/>
        <v>0</v>
      </c>
      <c r="AI44" s="124">
        <f t="shared" si="3"/>
        <v>0</v>
      </c>
    </row>
    <row r="45" spans="1:35" s="34" customFormat="1" ht="22.5" customHeight="1">
      <c r="A45" s="96" t="s">
        <v>105</v>
      </c>
      <c r="B45" s="81">
        <f>H45+J45+L45+N45+P45+R45+T45+V45+X45+Z45+AB45+AD45</f>
        <v>1526.5562500000001</v>
      </c>
      <c r="C45" s="78">
        <f>H45+J45</f>
        <v>0</v>
      </c>
      <c r="D45" s="78"/>
      <c r="E45" s="78">
        <f>I45+K45</f>
        <v>0</v>
      </c>
      <c r="F45" s="101">
        <f>E45/B45</f>
        <v>0</v>
      </c>
      <c r="G45" s="101">
        <v>0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5">
        <f>508824.75/1000</f>
        <v>508.82474999999999</v>
      </c>
      <c r="S45" s="103"/>
      <c r="T45" s="105">
        <f>508824.75/1000</f>
        <v>508.82474999999999</v>
      </c>
      <c r="U45" s="103"/>
      <c r="V45" s="105">
        <f>508906.75/1000</f>
        <v>508.90674999999999</v>
      </c>
      <c r="W45" s="103"/>
      <c r="X45" s="103"/>
      <c r="Y45" s="103"/>
      <c r="Z45" s="103"/>
      <c r="AA45" s="103"/>
      <c r="AB45" s="103"/>
      <c r="AC45" s="103"/>
      <c r="AD45" s="103"/>
      <c r="AE45" s="103"/>
      <c r="AF45" s="235"/>
      <c r="AG45" s="124">
        <f t="shared" si="1"/>
        <v>1526.5562500000001</v>
      </c>
      <c r="AH45" s="199">
        <f t="shared" si="2"/>
        <v>0</v>
      </c>
      <c r="AI45" s="124">
        <f t="shared" si="3"/>
        <v>0</v>
      </c>
    </row>
    <row r="46" spans="1:35" s="34" customFormat="1" ht="89.25" customHeight="1">
      <c r="A46" s="107" t="s">
        <v>122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235"/>
      <c r="AG46" s="124">
        <f t="shared" si="1"/>
        <v>0</v>
      </c>
      <c r="AH46" s="199">
        <f t="shared" si="2"/>
        <v>0</v>
      </c>
      <c r="AI46" s="124">
        <f t="shared" si="3"/>
        <v>0</v>
      </c>
    </row>
    <row r="47" spans="1:35" s="34" customFormat="1" ht="22.5" customHeight="1">
      <c r="A47" s="96" t="s">
        <v>105</v>
      </c>
      <c r="B47" s="81">
        <f>H47+J47+L47+N47+P47+R47+T47+V47+X47+Z47+AB47+AD47</f>
        <v>272.34375</v>
      </c>
      <c r="C47" s="78">
        <f>H47+J47</f>
        <v>0</v>
      </c>
      <c r="D47" s="78"/>
      <c r="E47" s="78">
        <f>I47+K47</f>
        <v>0</v>
      </c>
      <c r="F47" s="101">
        <f>E47/B47</f>
        <v>0</v>
      </c>
      <c r="G47" s="101">
        <v>0</v>
      </c>
      <c r="H47" s="103"/>
      <c r="I47" s="103"/>
      <c r="J47" s="104"/>
      <c r="K47" s="103"/>
      <c r="L47" s="103"/>
      <c r="M47" s="103"/>
      <c r="N47" s="103">
        <f>45780/1000</f>
        <v>45.78</v>
      </c>
      <c r="O47" s="103"/>
      <c r="P47" s="104"/>
      <c r="Q47" s="103"/>
      <c r="R47" s="105">
        <f>75521.25/1000</f>
        <v>75.521249999999995</v>
      </c>
      <c r="S47" s="103"/>
      <c r="T47" s="105">
        <f>75521.25/1000</f>
        <v>75.521249999999995</v>
      </c>
      <c r="U47" s="103"/>
      <c r="V47" s="105">
        <f>75521.25/1000</f>
        <v>75.521249999999995</v>
      </c>
      <c r="W47" s="103"/>
      <c r="X47" s="103"/>
      <c r="Y47" s="103"/>
      <c r="Z47" s="103"/>
      <c r="AA47" s="103"/>
      <c r="AB47" s="103"/>
      <c r="AC47" s="103"/>
      <c r="AD47" s="103"/>
      <c r="AE47" s="103"/>
      <c r="AF47" s="236"/>
      <c r="AG47" s="124">
        <f t="shared" si="1"/>
        <v>272.34375</v>
      </c>
      <c r="AH47" s="199">
        <f t="shared" si="2"/>
        <v>0</v>
      </c>
      <c r="AI47" s="124">
        <f t="shared" si="3"/>
        <v>0</v>
      </c>
    </row>
    <row r="48" spans="1:35" s="34" customFormat="1">
      <c r="A48" s="66" t="s">
        <v>25</v>
      </c>
      <c r="B48" s="67">
        <f>B49</f>
        <v>1798.9</v>
      </c>
      <c r="C48" s="67">
        <f t="shared" ref="C48:AE48" si="17">C49</f>
        <v>0</v>
      </c>
      <c r="D48" s="67">
        <f t="shared" si="17"/>
        <v>0</v>
      </c>
      <c r="E48" s="67">
        <f>E49</f>
        <v>0</v>
      </c>
      <c r="F48" s="68">
        <f>E48/B48</f>
        <v>0</v>
      </c>
      <c r="G48" s="68">
        <v>0</v>
      </c>
      <c r="H48" s="67">
        <f>H49</f>
        <v>0</v>
      </c>
      <c r="I48" s="67">
        <f>I49</f>
        <v>0</v>
      </c>
      <c r="J48" s="67">
        <f>J49</f>
        <v>0</v>
      </c>
      <c r="K48" s="67">
        <f t="shared" si="17"/>
        <v>0</v>
      </c>
      <c r="L48" s="67">
        <f t="shared" si="17"/>
        <v>0</v>
      </c>
      <c r="M48" s="67">
        <f t="shared" si="17"/>
        <v>0</v>
      </c>
      <c r="N48" s="67">
        <f t="shared" si="17"/>
        <v>45.78</v>
      </c>
      <c r="O48" s="67">
        <f t="shared" si="17"/>
        <v>0</v>
      </c>
      <c r="P48" s="67">
        <f>P49</f>
        <v>0</v>
      </c>
      <c r="Q48" s="67">
        <f t="shared" si="17"/>
        <v>0</v>
      </c>
      <c r="R48" s="67">
        <f t="shared" si="17"/>
        <v>584.346</v>
      </c>
      <c r="S48" s="67">
        <f t="shared" si="17"/>
        <v>0</v>
      </c>
      <c r="T48" s="67">
        <f t="shared" si="17"/>
        <v>584.346</v>
      </c>
      <c r="U48" s="67">
        <f t="shared" si="17"/>
        <v>0</v>
      </c>
      <c r="V48" s="67">
        <f t="shared" si="17"/>
        <v>584.428</v>
      </c>
      <c r="W48" s="67">
        <f t="shared" si="17"/>
        <v>0</v>
      </c>
      <c r="X48" s="67">
        <f t="shared" si="17"/>
        <v>0</v>
      </c>
      <c r="Y48" s="67">
        <f t="shared" si="17"/>
        <v>0</v>
      </c>
      <c r="Z48" s="67">
        <f t="shared" si="17"/>
        <v>0</v>
      </c>
      <c r="AA48" s="67">
        <f t="shared" si="17"/>
        <v>0</v>
      </c>
      <c r="AB48" s="67">
        <f t="shared" si="17"/>
        <v>0</v>
      </c>
      <c r="AC48" s="67">
        <f t="shared" si="17"/>
        <v>0</v>
      </c>
      <c r="AD48" s="67">
        <f t="shared" si="17"/>
        <v>0</v>
      </c>
      <c r="AE48" s="67">
        <f t="shared" si="17"/>
        <v>0</v>
      </c>
      <c r="AF48" s="36"/>
      <c r="AG48" s="124">
        <f t="shared" si="1"/>
        <v>1798.9</v>
      </c>
      <c r="AH48" s="199">
        <f t="shared" si="2"/>
        <v>0</v>
      </c>
      <c r="AI48" s="124">
        <f t="shared" si="3"/>
        <v>0</v>
      </c>
    </row>
    <row r="49" spans="1:35" s="34" customFormat="1" ht="19.5" customHeight="1">
      <c r="A49" s="84" t="s">
        <v>105</v>
      </c>
      <c r="B49" s="75">
        <f>B45+B47</f>
        <v>1798.9</v>
      </c>
      <c r="C49" s="76">
        <f>C47+C45</f>
        <v>0</v>
      </c>
      <c r="D49" s="76">
        <f>D47+D45</f>
        <v>0</v>
      </c>
      <c r="E49" s="76">
        <f>E47+E45</f>
        <v>0</v>
      </c>
      <c r="F49" s="77">
        <f>E49/B49</f>
        <v>0</v>
      </c>
      <c r="G49" s="77">
        <v>0</v>
      </c>
      <c r="H49" s="76">
        <f>H47+H45</f>
        <v>0</v>
      </c>
      <c r="I49" s="76">
        <f>I47+I45</f>
        <v>0</v>
      </c>
      <c r="J49" s="76">
        <f>J47+J45</f>
        <v>0</v>
      </c>
      <c r="K49" s="76">
        <f t="shared" ref="K49:AE49" si="18">K47+K45</f>
        <v>0</v>
      </c>
      <c r="L49" s="76">
        <f t="shared" si="18"/>
        <v>0</v>
      </c>
      <c r="M49" s="76">
        <f t="shared" si="18"/>
        <v>0</v>
      </c>
      <c r="N49" s="76">
        <f t="shared" si="18"/>
        <v>45.78</v>
      </c>
      <c r="O49" s="76">
        <f t="shared" si="18"/>
        <v>0</v>
      </c>
      <c r="P49" s="76">
        <f t="shared" si="18"/>
        <v>0</v>
      </c>
      <c r="Q49" s="76">
        <f t="shared" si="18"/>
        <v>0</v>
      </c>
      <c r="R49" s="76">
        <f t="shared" si="18"/>
        <v>584.346</v>
      </c>
      <c r="S49" s="76">
        <f t="shared" si="18"/>
        <v>0</v>
      </c>
      <c r="T49" s="76">
        <f t="shared" si="18"/>
        <v>584.346</v>
      </c>
      <c r="U49" s="76">
        <f t="shared" si="18"/>
        <v>0</v>
      </c>
      <c r="V49" s="76">
        <f t="shared" si="18"/>
        <v>584.428</v>
      </c>
      <c r="W49" s="76">
        <f t="shared" si="18"/>
        <v>0</v>
      </c>
      <c r="X49" s="76">
        <f t="shared" si="18"/>
        <v>0</v>
      </c>
      <c r="Y49" s="76">
        <f t="shared" si="18"/>
        <v>0</v>
      </c>
      <c r="Z49" s="76">
        <f t="shared" si="18"/>
        <v>0</v>
      </c>
      <c r="AA49" s="76">
        <f t="shared" si="18"/>
        <v>0</v>
      </c>
      <c r="AB49" s="76">
        <f t="shared" si="18"/>
        <v>0</v>
      </c>
      <c r="AC49" s="76">
        <f t="shared" si="18"/>
        <v>0</v>
      </c>
      <c r="AD49" s="76">
        <f t="shared" si="18"/>
        <v>0</v>
      </c>
      <c r="AE49" s="76">
        <f t="shared" si="18"/>
        <v>0</v>
      </c>
      <c r="AF49" s="76"/>
      <c r="AG49" s="124">
        <f t="shared" si="1"/>
        <v>1798.9</v>
      </c>
      <c r="AH49" s="199">
        <f t="shared" si="2"/>
        <v>0</v>
      </c>
      <c r="AI49" s="124">
        <f t="shared" si="3"/>
        <v>0</v>
      </c>
    </row>
    <row r="50" spans="1:35" s="34" customFormat="1" ht="61.5" customHeight="1">
      <c r="A50" s="132" t="s">
        <v>118</v>
      </c>
      <c r="B50" s="142"/>
      <c r="C50" s="139"/>
      <c r="D50" s="139"/>
      <c r="E50" s="139"/>
      <c r="F50" s="140"/>
      <c r="G50" s="140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1"/>
      <c r="AF50" s="160" t="s">
        <v>196</v>
      </c>
      <c r="AG50" s="124">
        <f t="shared" si="1"/>
        <v>0</v>
      </c>
      <c r="AH50" s="199">
        <f t="shared" si="2"/>
        <v>0</v>
      </c>
      <c r="AI50" s="124">
        <f t="shared" si="3"/>
        <v>0</v>
      </c>
    </row>
    <row r="51" spans="1:35" s="34" customFormat="1">
      <c r="A51" s="66" t="s">
        <v>25</v>
      </c>
      <c r="B51" s="67">
        <f>B52</f>
        <v>0</v>
      </c>
      <c r="C51" s="67">
        <f t="shared" ref="C51:AE51" si="19">C52</f>
        <v>0</v>
      </c>
      <c r="D51" s="67">
        <f t="shared" si="19"/>
        <v>0</v>
      </c>
      <c r="E51" s="67">
        <f t="shared" si="19"/>
        <v>0</v>
      </c>
      <c r="F51" s="68">
        <f t="shared" si="19"/>
        <v>0</v>
      </c>
      <c r="G51" s="68">
        <f t="shared" si="19"/>
        <v>0</v>
      </c>
      <c r="H51" s="69">
        <f t="shared" si="19"/>
        <v>0</v>
      </c>
      <c r="I51" s="69">
        <f t="shared" si="19"/>
        <v>0</v>
      </c>
      <c r="J51" s="69">
        <f t="shared" si="19"/>
        <v>0</v>
      </c>
      <c r="K51" s="69">
        <f t="shared" si="19"/>
        <v>0</v>
      </c>
      <c r="L51" s="69">
        <f t="shared" si="19"/>
        <v>0</v>
      </c>
      <c r="M51" s="69">
        <f t="shared" si="19"/>
        <v>0</v>
      </c>
      <c r="N51" s="69">
        <f t="shared" si="19"/>
        <v>0</v>
      </c>
      <c r="O51" s="69">
        <f t="shared" si="19"/>
        <v>0</v>
      </c>
      <c r="P51" s="69">
        <f t="shared" si="19"/>
        <v>0</v>
      </c>
      <c r="Q51" s="69">
        <f t="shared" si="19"/>
        <v>0</v>
      </c>
      <c r="R51" s="69">
        <f t="shared" si="19"/>
        <v>0</v>
      </c>
      <c r="S51" s="69">
        <f t="shared" si="19"/>
        <v>0</v>
      </c>
      <c r="T51" s="69">
        <f t="shared" si="19"/>
        <v>0</v>
      </c>
      <c r="U51" s="69">
        <f t="shared" si="19"/>
        <v>0</v>
      </c>
      <c r="V51" s="69">
        <f t="shared" si="19"/>
        <v>0</v>
      </c>
      <c r="W51" s="69">
        <f t="shared" si="19"/>
        <v>0</v>
      </c>
      <c r="X51" s="69">
        <f t="shared" si="19"/>
        <v>0</v>
      </c>
      <c r="Y51" s="69">
        <f t="shared" si="19"/>
        <v>0</v>
      </c>
      <c r="Z51" s="69">
        <f t="shared" si="19"/>
        <v>0</v>
      </c>
      <c r="AA51" s="69">
        <f t="shared" si="19"/>
        <v>0</v>
      </c>
      <c r="AB51" s="69">
        <f t="shared" si="19"/>
        <v>0</v>
      </c>
      <c r="AC51" s="69">
        <f t="shared" si="19"/>
        <v>0</v>
      </c>
      <c r="AD51" s="69">
        <f t="shared" si="19"/>
        <v>0</v>
      </c>
      <c r="AE51" s="87">
        <f t="shared" si="19"/>
        <v>0</v>
      </c>
      <c r="AF51" s="36"/>
      <c r="AG51" s="124">
        <f t="shared" si="1"/>
        <v>0</v>
      </c>
      <c r="AH51" s="199">
        <f t="shared" si="2"/>
        <v>0</v>
      </c>
      <c r="AI51" s="124">
        <f t="shared" si="3"/>
        <v>0</v>
      </c>
    </row>
    <row r="52" spans="1:35" s="33" customFormat="1" ht="23.25" customHeight="1" thickBot="1">
      <c r="A52" s="110" t="s">
        <v>105</v>
      </c>
      <c r="B52" s="111">
        <f>H52+J52+L52+N52+P52+R52+T52+V52+X52+Z52+AB52+AD52</f>
        <v>0</v>
      </c>
      <c r="C52" s="113">
        <f>H52+J52+L52+N52+P52+R52+T52+V52</f>
        <v>0</v>
      </c>
      <c r="D52" s="113">
        <f>H52+J52+L52+N52+P52+R52+T52+V52</f>
        <v>0</v>
      </c>
      <c r="E52" s="113">
        <f>I52+K52+M52+O52+Q52+S52+U52+W52+Y52+AA52+AC52+AE52</f>
        <v>0</v>
      </c>
      <c r="F52" s="112"/>
      <c r="G52" s="112"/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/>
      <c r="AG52" s="124">
        <f t="shared" si="1"/>
        <v>0</v>
      </c>
      <c r="AH52" s="199">
        <f t="shared" si="2"/>
        <v>0</v>
      </c>
      <c r="AI52" s="124">
        <f t="shared" si="3"/>
        <v>0</v>
      </c>
    </row>
    <row r="53" spans="1:35" s="34" customFormat="1" ht="21.75" customHeight="1">
      <c r="A53" s="149" t="s">
        <v>106</v>
      </c>
      <c r="B53" s="150">
        <f>B54+B55</f>
        <v>14290.300000000001</v>
      </c>
      <c r="C53" s="150">
        <f>C54+C55</f>
        <v>400.92899999999997</v>
      </c>
      <c r="D53" s="150">
        <f>D54+D55</f>
        <v>323.29300000000001</v>
      </c>
      <c r="E53" s="150">
        <f t="shared" ref="E53:AC53" si="20">E54+E55</f>
        <v>144.26</v>
      </c>
      <c r="F53" s="151">
        <f>E53/B53</f>
        <v>1.0094959517994722E-2</v>
      </c>
      <c r="G53" s="151">
        <f>E53/C53</f>
        <v>0.3598143312157514</v>
      </c>
      <c r="H53" s="150">
        <f>H54+H55</f>
        <v>0</v>
      </c>
      <c r="I53" s="150">
        <f t="shared" si="20"/>
        <v>0</v>
      </c>
      <c r="J53" s="150">
        <f>J54+J55</f>
        <v>400.92899999999997</v>
      </c>
      <c r="K53" s="150">
        <f t="shared" si="20"/>
        <v>144.26</v>
      </c>
      <c r="L53" s="150">
        <f>L54+L55</f>
        <v>416.36699999999996</v>
      </c>
      <c r="M53" s="150">
        <f t="shared" si="20"/>
        <v>0</v>
      </c>
      <c r="N53" s="150">
        <f>N54+N55</f>
        <v>1101.0030000000002</v>
      </c>
      <c r="O53" s="150">
        <f t="shared" si="20"/>
        <v>0</v>
      </c>
      <c r="P53" s="150">
        <f>P54+P55</f>
        <v>415.21900000000005</v>
      </c>
      <c r="Q53" s="150">
        <f t="shared" si="20"/>
        <v>0</v>
      </c>
      <c r="R53" s="150">
        <f>R54+R55</f>
        <v>3737.3209999999999</v>
      </c>
      <c r="S53" s="150">
        <f t="shared" si="20"/>
        <v>0</v>
      </c>
      <c r="T53" s="150">
        <f>T54+T55</f>
        <v>3810.5930000000003</v>
      </c>
      <c r="U53" s="150">
        <f t="shared" si="20"/>
        <v>0</v>
      </c>
      <c r="V53" s="150">
        <f>V54+V55</f>
        <v>3623.0749999999998</v>
      </c>
      <c r="W53" s="150">
        <f t="shared" si="20"/>
        <v>0</v>
      </c>
      <c r="X53" s="150">
        <f>X54+X55</f>
        <v>284.85599999999999</v>
      </c>
      <c r="Y53" s="150">
        <f t="shared" si="20"/>
        <v>0</v>
      </c>
      <c r="Z53" s="150">
        <f>Z54+Z55</f>
        <v>324.81799999999998</v>
      </c>
      <c r="AA53" s="150">
        <f t="shared" si="20"/>
        <v>0</v>
      </c>
      <c r="AB53" s="150">
        <f>AB54+AB55</f>
        <v>176.119</v>
      </c>
      <c r="AC53" s="150">
        <f t="shared" si="20"/>
        <v>0</v>
      </c>
      <c r="AD53" s="150">
        <f>AD54+AD55</f>
        <v>0</v>
      </c>
      <c r="AE53" s="150">
        <f>AE54+AE55</f>
        <v>0</v>
      </c>
      <c r="AF53" s="152"/>
      <c r="AG53" s="124">
        <f t="shared" si="1"/>
        <v>14290.300000000001</v>
      </c>
      <c r="AH53" s="199">
        <f t="shared" si="2"/>
        <v>400.92899999999997</v>
      </c>
      <c r="AI53" s="124">
        <f t="shared" si="3"/>
        <v>144.26</v>
      </c>
    </row>
    <row r="54" spans="1:35" s="34" customFormat="1" ht="24" customHeight="1">
      <c r="A54" s="153" t="s">
        <v>104</v>
      </c>
      <c r="B54" s="71">
        <f>B23+B27+B37</f>
        <v>1907.9</v>
      </c>
      <c r="C54" s="72">
        <f>C23+C27+C37</f>
        <v>77.635999999999996</v>
      </c>
      <c r="D54" s="72">
        <f>D23+D27+D37</f>
        <v>0</v>
      </c>
      <c r="E54" s="72">
        <f>I54+K54</f>
        <v>0</v>
      </c>
      <c r="F54" s="73">
        <f>E54/B54</f>
        <v>0</v>
      </c>
      <c r="G54" s="73">
        <v>0</v>
      </c>
      <c r="H54" s="72">
        <f t="shared" ref="H54:AE54" si="21">H23+H27+H37</f>
        <v>0</v>
      </c>
      <c r="I54" s="72">
        <f t="shared" si="21"/>
        <v>0</v>
      </c>
      <c r="J54" s="72">
        <f t="shared" si="21"/>
        <v>77.635999999999996</v>
      </c>
      <c r="K54" s="72">
        <f t="shared" si="21"/>
        <v>0</v>
      </c>
      <c r="L54" s="72">
        <f t="shared" si="21"/>
        <v>142.672</v>
      </c>
      <c r="M54" s="72">
        <f t="shared" si="21"/>
        <v>0</v>
      </c>
      <c r="N54" s="72">
        <f t="shared" si="21"/>
        <v>207.709</v>
      </c>
      <c r="O54" s="72">
        <f t="shared" si="21"/>
        <v>0</v>
      </c>
      <c r="P54" s="72">
        <f t="shared" si="21"/>
        <v>80.436000000000007</v>
      </c>
      <c r="Q54" s="72">
        <f t="shared" si="21"/>
        <v>0</v>
      </c>
      <c r="R54" s="72">
        <f t="shared" si="21"/>
        <v>407.27199999999999</v>
      </c>
      <c r="S54" s="72">
        <f t="shared" si="21"/>
        <v>0</v>
      </c>
      <c r="T54" s="72">
        <f t="shared" si="21"/>
        <v>470.90899999999999</v>
      </c>
      <c r="U54" s="72">
        <f t="shared" si="21"/>
        <v>0</v>
      </c>
      <c r="V54" s="72">
        <f t="shared" si="21"/>
        <v>311.815</v>
      </c>
      <c r="W54" s="72">
        <f t="shared" si="21"/>
        <v>0</v>
      </c>
      <c r="X54" s="72">
        <f t="shared" si="21"/>
        <v>80.433000000000007</v>
      </c>
      <c r="Y54" s="72">
        <f t="shared" si="21"/>
        <v>0</v>
      </c>
      <c r="Z54" s="72">
        <f t="shared" si="21"/>
        <v>112.218</v>
      </c>
      <c r="AA54" s="72">
        <f t="shared" si="21"/>
        <v>0</v>
      </c>
      <c r="AB54" s="72">
        <f t="shared" si="21"/>
        <v>16.8</v>
      </c>
      <c r="AC54" s="72">
        <f t="shared" si="21"/>
        <v>0</v>
      </c>
      <c r="AD54" s="72">
        <f t="shared" si="21"/>
        <v>0</v>
      </c>
      <c r="AE54" s="72">
        <f t="shared" si="21"/>
        <v>0</v>
      </c>
      <c r="AF54" s="154"/>
      <c r="AG54" s="124">
        <f t="shared" si="1"/>
        <v>1907.9</v>
      </c>
      <c r="AH54" s="199">
        <f t="shared" si="2"/>
        <v>77.635999999999996</v>
      </c>
      <c r="AI54" s="124">
        <f t="shared" si="3"/>
        <v>0</v>
      </c>
    </row>
    <row r="55" spans="1:35" s="34" customFormat="1" ht="24" customHeight="1" thickBot="1">
      <c r="A55" s="155" t="s">
        <v>105</v>
      </c>
      <c r="B55" s="156">
        <f>B24+B28+B38+B49+B52</f>
        <v>12382.400000000001</v>
      </c>
      <c r="C55" s="156">
        <f>C24+C28+C38+C49+C52</f>
        <v>323.29300000000001</v>
      </c>
      <c r="D55" s="156">
        <f>D24+D28+D38+D49+D52</f>
        <v>323.29300000000001</v>
      </c>
      <c r="E55" s="156">
        <f>I55+K55</f>
        <v>144.26</v>
      </c>
      <c r="F55" s="157">
        <f>E55/B55</f>
        <v>1.1650407029331953E-2</v>
      </c>
      <c r="G55" s="157">
        <f>E55/C55</f>
        <v>0.4462206110246742</v>
      </c>
      <c r="H55" s="158">
        <f t="shared" ref="H55:AE55" si="22">H24+H28+H38+H49+H52</f>
        <v>0</v>
      </c>
      <c r="I55" s="158">
        <f t="shared" si="22"/>
        <v>0</v>
      </c>
      <c r="J55" s="158">
        <f t="shared" si="22"/>
        <v>323.29300000000001</v>
      </c>
      <c r="K55" s="158">
        <f t="shared" si="22"/>
        <v>144.26</v>
      </c>
      <c r="L55" s="158">
        <f t="shared" si="22"/>
        <v>273.69499999999999</v>
      </c>
      <c r="M55" s="158">
        <f t="shared" si="22"/>
        <v>0</v>
      </c>
      <c r="N55" s="158">
        <f t="shared" si="22"/>
        <v>893.2940000000001</v>
      </c>
      <c r="O55" s="158">
        <f t="shared" si="22"/>
        <v>0</v>
      </c>
      <c r="P55" s="158">
        <f t="shared" si="22"/>
        <v>334.78300000000002</v>
      </c>
      <c r="Q55" s="158">
        <f t="shared" si="22"/>
        <v>0</v>
      </c>
      <c r="R55" s="158">
        <f t="shared" si="22"/>
        <v>3330.049</v>
      </c>
      <c r="S55" s="158">
        <f t="shared" si="22"/>
        <v>0</v>
      </c>
      <c r="T55" s="158">
        <f t="shared" si="22"/>
        <v>3339.6840000000002</v>
      </c>
      <c r="U55" s="158">
        <f t="shared" si="22"/>
        <v>0</v>
      </c>
      <c r="V55" s="158">
        <f t="shared" si="22"/>
        <v>3311.2599999999998</v>
      </c>
      <c r="W55" s="158">
        <f t="shared" si="22"/>
        <v>0</v>
      </c>
      <c r="X55" s="158">
        <f t="shared" si="22"/>
        <v>204.423</v>
      </c>
      <c r="Y55" s="158">
        <f t="shared" si="22"/>
        <v>0</v>
      </c>
      <c r="Z55" s="158">
        <f t="shared" si="22"/>
        <v>212.6</v>
      </c>
      <c r="AA55" s="158">
        <f t="shared" si="22"/>
        <v>0</v>
      </c>
      <c r="AB55" s="158">
        <f t="shared" si="22"/>
        <v>159.31899999999999</v>
      </c>
      <c r="AC55" s="158">
        <f t="shared" si="22"/>
        <v>0</v>
      </c>
      <c r="AD55" s="158">
        <f t="shared" si="22"/>
        <v>0</v>
      </c>
      <c r="AE55" s="158">
        <f t="shared" si="22"/>
        <v>0</v>
      </c>
      <c r="AF55" s="159"/>
      <c r="AG55" s="124">
        <f t="shared" si="1"/>
        <v>12382.4</v>
      </c>
      <c r="AH55" s="199">
        <f t="shared" si="2"/>
        <v>323.29300000000001</v>
      </c>
      <c r="AI55" s="124">
        <f t="shared" si="3"/>
        <v>144.26</v>
      </c>
    </row>
    <row r="56" spans="1:35" s="34" customFormat="1" ht="89.25" customHeight="1">
      <c r="A56" s="144" t="s">
        <v>119</v>
      </c>
      <c r="B56" s="145"/>
      <c r="C56" s="146"/>
      <c r="D56" s="146"/>
      <c r="E56" s="146"/>
      <c r="F56" s="147"/>
      <c r="G56" s="147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8"/>
      <c r="AF56" s="146"/>
      <c r="AG56" s="124">
        <f t="shared" si="1"/>
        <v>0</v>
      </c>
      <c r="AH56" s="199">
        <f t="shared" si="2"/>
        <v>0</v>
      </c>
      <c r="AI56" s="124">
        <f t="shared" si="3"/>
        <v>0</v>
      </c>
    </row>
    <row r="57" spans="1:35" s="34" customFormat="1" ht="34.5" customHeight="1">
      <c r="A57" s="98" t="s">
        <v>124</v>
      </c>
      <c r="B57" s="81"/>
      <c r="C57" s="79"/>
      <c r="D57" s="79"/>
      <c r="E57" s="79"/>
      <c r="F57" s="80"/>
      <c r="G57" s="80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114"/>
      <c r="AF57" s="237" t="s">
        <v>142</v>
      </c>
      <c r="AG57" s="124">
        <f t="shared" si="1"/>
        <v>0</v>
      </c>
      <c r="AH57" s="199">
        <f t="shared" si="2"/>
        <v>0</v>
      </c>
      <c r="AI57" s="124">
        <f t="shared" si="3"/>
        <v>0</v>
      </c>
    </row>
    <row r="58" spans="1:35" s="34" customFormat="1" ht="33.75" customHeight="1">
      <c r="A58" s="107" t="s">
        <v>120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237"/>
      <c r="AG58" s="124">
        <f t="shared" si="1"/>
        <v>0</v>
      </c>
      <c r="AH58" s="199">
        <f t="shared" si="2"/>
        <v>0</v>
      </c>
      <c r="AI58" s="124">
        <f t="shared" si="3"/>
        <v>0</v>
      </c>
    </row>
    <row r="59" spans="1:35" s="34" customFormat="1" ht="15.75" customHeight="1">
      <c r="A59" s="95" t="s">
        <v>121</v>
      </c>
      <c r="B59" s="100">
        <f>B61+B60</f>
        <v>3595.3580999999995</v>
      </c>
      <c r="C59" s="100">
        <f>C61+C60</f>
        <v>0</v>
      </c>
      <c r="D59" s="100">
        <f>D61+D60</f>
        <v>0</v>
      </c>
      <c r="E59" s="100">
        <f>E61+E60</f>
        <v>0</v>
      </c>
      <c r="F59" s="99">
        <f>E59/B59</f>
        <v>0</v>
      </c>
      <c r="G59" s="99">
        <v>0</v>
      </c>
      <c r="H59" s="79">
        <f>H61+H60</f>
        <v>0</v>
      </c>
      <c r="I59" s="79">
        <f>I61+I60</f>
        <v>0</v>
      </c>
      <c r="J59" s="79">
        <f t="shared" ref="J59:AE59" si="23">J61+J60</f>
        <v>0</v>
      </c>
      <c r="K59" s="79">
        <f t="shared" si="23"/>
        <v>0</v>
      </c>
      <c r="L59" s="79">
        <f t="shared" si="23"/>
        <v>0</v>
      </c>
      <c r="M59" s="79">
        <f t="shared" si="23"/>
        <v>0</v>
      </c>
      <c r="N59" s="79">
        <f t="shared" si="23"/>
        <v>200.79249999999999</v>
      </c>
      <c r="O59" s="79">
        <f t="shared" si="23"/>
        <v>0</v>
      </c>
      <c r="P59" s="79">
        <f>P61+P60</f>
        <v>346.18560000000002</v>
      </c>
      <c r="Q59" s="79">
        <f t="shared" si="23"/>
        <v>0</v>
      </c>
      <c r="R59" s="79">
        <f t="shared" si="23"/>
        <v>533.67750000000001</v>
      </c>
      <c r="S59" s="79">
        <f t="shared" si="23"/>
        <v>0</v>
      </c>
      <c r="T59" s="79">
        <f t="shared" si="23"/>
        <v>927.36349999999993</v>
      </c>
      <c r="U59" s="79">
        <f t="shared" si="23"/>
        <v>0</v>
      </c>
      <c r="V59" s="79">
        <f t="shared" si="23"/>
        <v>843.34999999999991</v>
      </c>
      <c r="W59" s="79">
        <f t="shared" si="23"/>
        <v>0</v>
      </c>
      <c r="X59" s="79">
        <f t="shared" si="23"/>
        <v>396.40499999999997</v>
      </c>
      <c r="Y59" s="79">
        <f t="shared" si="23"/>
        <v>0</v>
      </c>
      <c r="Z59" s="79">
        <f t="shared" si="23"/>
        <v>281.32499999999999</v>
      </c>
      <c r="AA59" s="79">
        <f t="shared" si="23"/>
        <v>0</v>
      </c>
      <c r="AB59" s="79">
        <f t="shared" si="23"/>
        <v>66.259</v>
      </c>
      <c r="AC59" s="79">
        <f t="shared" si="23"/>
        <v>0</v>
      </c>
      <c r="AD59" s="79">
        <f t="shared" si="23"/>
        <v>0</v>
      </c>
      <c r="AE59" s="79">
        <f t="shared" si="23"/>
        <v>0</v>
      </c>
      <c r="AF59" s="237"/>
      <c r="AG59" s="124">
        <f t="shared" si="1"/>
        <v>3595.3580999999995</v>
      </c>
      <c r="AH59" s="199">
        <f t="shared" si="2"/>
        <v>0</v>
      </c>
      <c r="AI59" s="124">
        <f t="shared" si="3"/>
        <v>0</v>
      </c>
    </row>
    <row r="60" spans="1:35" s="34" customFormat="1" ht="21.75" customHeight="1">
      <c r="A60" s="96" t="s">
        <v>104</v>
      </c>
      <c r="B60" s="81">
        <f>H60+J60+L60+N60+P60+R60+T60+V60+X60+Z60+AB60+AD60</f>
        <v>1466.8</v>
      </c>
      <c r="C60" s="78">
        <f>H60+J60</f>
        <v>0</v>
      </c>
      <c r="D60" s="78"/>
      <c r="E60" s="78">
        <f>I60+K60</f>
        <v>0</v>
      </c>
      <c r="F60" s="101">
        <f>E60/B60</f>
        <v>0</v>
      </c>
      <c r="G60" s="101">
        <v>0</v>
      </c>
      <c r="H60" s="103"/>
      <c r="I60" s="103"/>
      <c r="J60" s="103"/>
      <c r="K60" s="103"/>
      <c r="L60" s="103"/>
      <c r="M60" s="103"/>
      <c r="N60" s="103">
        <f>138670/1000</f>
        <v>138.66999999999999</v>
      </c>
      <c r="O60" s="103"/>
      <c r="P60" s="105">
        <f>138669/1000</f>
        <v>138.66900000000001</v>
      </c>
      <c r="Q60" s="103"/>
      <c r="R60" s="105">
        <f>277340/1000</f>
        <v>277.33999999999997</v>
      </c>
      <c r="S60" s="105"/>
      <c r="T60" s="105">
        <f>480724/1000</f>
        <v>480.72399999999999</v>
      </c>
      <c r="U60" s="103"/>
      <c r="V60" s="105">
        <f>431397/1000</f>
        <v>431.39699999999999</v>
      </c>
      <c r="W60" s="103"/>
      <c r="X60" s="105"/>
      <c r="Y60" s="103"/>
      <c r="Z60" s="105"/>
      <c r="AA60" s="103"/>
      <c r="AB60" s="103"/>
      <c r="AC60" s="103"/>
      <c r="AD60" s="103"/>
      <c r="AE60" s="103"/>
      <c r="AF60" s="237"/>
      <c r="AG60" s="124">
        <f t="shared" si="1"/>
        <v>1466.8</v>
      </c>
      <c r="AH60" s="199">
        <f t="shared" si="2"/>
        <v>0</v>
      </c>
      <c r="AI60" s="124">
        <f t="shared" si="3"/>
        <v>0</v>
      </c>
    </row>
    <row r="61" spans="1:35" s="34" customFormat="1" ht="22.5" customHeight="1">
      <c r="A61" s="96" t="s">
        <v>105</v>
      </c>
      <c r="B61" s="81">
        <f>H61+J61+L61+N61+P61+R61+T61+V61+X61+Z61+AB61+AD61</f>
        <v>2128.5580999999997</v>
      </c>
      <c r="C61" s="78">
        <f>H61+J61</f>
        <v>0</v>
      </c>
      <c r="D61" s="78"/>
      <c r="E61" s="78">
        <f>I61+K61</f>
        <v>0</v>
      </c>
      <c r="F61" s="101">
        <f>E61/B61</f>
        <v>0</v>
      </c>
      <c r="G61" s="101">
        <v>0</v>
      </c>
      <c r="H61" s="103"/>
      <c r="I61" s="103"/>
      <c r="J61" s="103"/>
      <c r="K61" s="103"/>
      <c r="L61" s="103"/>
      <c r="M61" s="103"/>
      <c r="N61" s="105">
        <f>(40685+21437.5)/1000</f>
        <v>62.122500000000002</v>
      </c>
      <c r="O61" s="103"/>
      <c r="P61" s="105">
        <f>(186079+21437.6)/1000</f>
        <v>207.51660000000001</v>
      </c>
      <c r="Q61" s="103"/>
      <c r="R61" s="105">
        <f>(234900+21437.5)/1000</f>
        <v>256.33749999999998</v>
      </c>
      <c r="S61" s="103"/>
      <c r="T61" s="105">
        <f>(399477+47162.5)/1000</f>
        <v>446.6395</v>
      </c>
      <c r="U61" s="103"/>
      <c r="V61" s="105">
        <f>(369078+42875)/1000</f>
        <v>411.95299999999997</v>
      </c>
      <c r="W61" s="103"/>
      <c r="X61" s="105">
        <f>(353530+42875)/1000</f>
        <v>396.40499999999997</v>
      </c>
      <c r="Y61" s="103"/>
      <c r="Z61" s="105">
        <f>(247025+34300)/1000</f>
        <v>281.32499999999999</v>
      </c>
      <c r="AA61" s="103"/>
      <c r="AB61" s="105">
        <f>(57684+8575)/1000</f>
        <v>66.259</v>
      </c>
      <c r="AC61" s="103"/>
      <c r="AD61" s="103"/>
      <c r="AE61" s="103"/>
      <c r="AF61" s="237"/>
      <c r="AG61" s="124">
        <f t="shared" si="1"/>
        <v>2128.5580999999997</v>
      </c>
      <c r="AH61" s="199">
        <f t="shared" si="2"/>
        <v>0</v>
      </c>
      <c r="AI61" s="124">
        <f t="shared" si="3"/>
        <v>0</v>
      </c>
    </row>
    <row r="62" spans="1:35" s="34" customFormat="1" ht="89.25" customHeight="1">
      <c r="A62" s="107" t="s">
        <v>122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237"/>
      <c r="AG62" s="124">
        <f t="shared" si="1"/>
        <v>0</v>
      </c>
      <c r="AH62" s="199">
        <f t="shared" si="2"/>
        <v>0</v>
      </c>
      <c r="AI62" s="124">
        <f t="shared" si="3"/>
        <v>0</v>
      </c>
    </row>
    <row r="63" spans="1:35" s="34" customFormat="1" ht="22.5" customHeight="1">
      <c r="A63" s="96" t="s">
        <v>105</v>
      </c>
      <c r="B63" s="81">
        <f>H63+J63+L63+N63+P63+R63+T63+V63+X63+Z63+AB63+AD63</f>
        <v>236.642</v>
      </c>
      <c r="C63" s="105">
        <f>H63+J63</f>
        <v>0</v>
      </c>
      <c r="D63" s="123">
        <v>0</v>
      </c>
      <c r="E63" s="78">
        <f>I63+K63</f>
        <v>0</v>
      </c>
      <c r="F63" s="101">
        <f>E63/B63</f>
        <v>0</v>
      </c>
      <c r="G63" s="101">
        <v>0</v>
      </c>
      <c r="H63" s="103"/>
      <c r="I63" s="103"/>
      <c r="J63" s="103"/>
      <c r="K63" s="103"/>
      <c r="L63" s="105">
        <f>58142/1000</f>
        <v>58.142000000000003</v>
      </c>
      <c r="M63" s="103"/>
      <c r="N63" s="105">
        <f>17500/1000</f>
        <v>17.5</v>
      </c>
      <c r="O63" s="103"/>
      <c r="P63" s="105">
        <f>17500/1000</f>
        <v>17.5</v>
      </c>
      <c r="Q63" s="105"/>
      <c r="R63" s="105">
        <f>38500/1000</f>
        <v>38.5</v>
      </c>
      <c r="S63" s="103"/>
      <c r="T63" s="105">
        <f>35000/1000</f>
        <v>35</v>
      </c>
      <c r="U63" s="103"/>
      <c r="V63" s="105">
        <f>35000/1000</f>
        <v>35</v>
      </c>
      <c r="W63" s="103"/>
      <c r="X63" s="105">
        <f>28000/1000</f>
        <v>28</v>
      </c>
      <c r="Y63" s="103"/>
      <c r="Z63" s="105">
        <f>7000/1000</f>
        <v>7</v>
      </c>
      <c r="AA63" s="103"/>
      <c r="AB63" s="103"/>
      <c r="AC63" s="103"/>
      <c r="AD63" s="103"/>
      <c r="AE63" s="103"/>
      <c r="AF63" s="237"/>
      <c r="AG63" s="124">
        <f t="shared" si="1"/>
        <v>236.642</v>
      </c>
      <c r="AH63" s="199">
        <f t="shared" si="2"/>
        <v>0</v>
      </c>
      <c r="AI63" s="124">
        <f t="shared" si="3"/>
        <v>0</v>
      </c>
    </row>
    <row r="64" spans="1:35" s="34" customFormat="1" ht="22.5" customHeight="1">
      <c r="A64" s="90" t="s">
        <v>126</v>
      </c>
      <c r="B64" s="67">
        <f>B66+B65</f>
        <v>3832.0000999999993</v>
      </c>
      <c r="C64" s="67">
        <f>C66+C65</f>
        <v>0</v>
      </c>
      <c r="D64" s="67">
        <f>D66+D65</f>
        <v>0</v>
      </c>
      <c r="E64" s="67">
        <f>E66+E65</f>
        <v>0</v>
      </c>
      <c r="F64" s="68">
        <f>E64/B64</f>
        <v>0</v>
      </c>
      <c r="G64" s="68">
        <v>0</v>
      </c>
      <c r="H64" s="69">
        <f>H66+H65</f>
        <v>0</v>
      </c>
      <c r="I64" s="69">
        <f>I66+I65</f>
        <v>0</v>
      </c>
      <c r="J64" s="69">
        <f t="shared" ref="J64:AE64" si="24">J66+J65</f>
        <v>0</v>
      </c>
      <c r="K64" s="69">
        <f t="shared" si="24"/>
        <v>0</v>
      </c>
      <c r="L64" s="69">
        <f t="shared" si="24"/>
        <v>58.142000000000003</v>
      </c>
      <c r="M64" s="69">
        <f t="shared" si="24"/>
        <v>0</v>
      </c>
      <c r="N64" s="69">
        <f t="shared" si="24"/>
        <v>218.29249999999999</v>
      </c>
      <c r="O64" s="69">
        <f t="shared" si="24"/>
        <v>0</v>
      </c>
      <c r="P64" s="69">
        <f>P66+P65</f>
        <v>363.68560000000002</v>
      </c>
      <c r="Q64" s="69">
        <f t="shared" si="24"/>
        <v>0</v>
      </c>
      <c r="R64" s="69">
        <f t="shared" si="24"/>
        <v>572.17750000000001</v>
      </c>
      <c r="S64" s="69">
        <f t="shared" si="24"/>
        <v>0</v>
      </c>
      <c r="T64" s="69">
        <f t="shared" si="24"/>
        <v>962.36349999999993</v>
      </c>
      <c r="U64" s="69">
        <f t="shared" si="24"/>
        <v>0</v>
      </c>
      <c r="V64" s="69">
        <f t="shared" si="24"/>
        <v>878.34999999999991</v>
      </c>
      <c r="W64" s="69">
        <f t="shared" si="24"/>
        <v>0</v>
      </c>
      <c r="X64" s="69">
        <f t="shared" si="24"/>
        <v>424.40499999999997</v>
      </c>
      <c r="Y64" s="69">
        <f t="shared" si="24"/>
        <v>0</v>
      </c>
      <c r="Z64" s="69">
        <f t="shared" si="24"/>
        <v>288.32499999999999</v>
      </c>
      <c r="AA64" s="69">
        <f>AA66+AA65</f>
        <v>0</v>
      </c>
      <c r="AB64" s="69">
        <f t="shared" si="24"/>
        <v>66.259</v>
      </c>
      <c r="AC64" s="69">
        <f t="shared" si="24"/>
        <v>0</v>
      </c>
      <c r="AD64" s="69">
        <f t="shared" si="24"/>
        <v>0</v>
      </c>
      <c r="AE64" s="69">
        <f t="shared" si="24"/>
        <v>0</v>
      </c>
      <c r="AF64" s="237"/>
      <c r="AG64" s="124">
        <f t="shared" si="1"/>
        <v>3832.0001000000002</v>
      </c>
      <c r="AH64" s="199">
        <f t="shared" si="2"/>
        <v>0</v>
      </c>
      <c r="AI64" s="124">
        <f t="shared" si="3"/>
        <v>0</v>
      </c>
    </row>
    <row r="65" spans="1:35" s="34" customFormat="1" ht="22.5" customHeight="1">
      <c r="A65" s="96" t="s">
        <v>104</v>
      </c>
      <c r="B65" s="81">
        <f>H65+J65+L65+N65+P65+R65+T65+V65+X65+Z65+AB65+AD65</f>
        <v>1466.8</v>
      </c>
      <c r="C65" s="78">
        <f>C60</f>
        <v>0</v>
      </c>
      <c r="D65" s="78">
        <f>D60</f>
        <v>0</v>
      </c>
      <c r="E65" s="78">
        <f>E60</f>
        <v>0</v>
      </c>
      <c r="F65" s="101">
        <f>E65/B65</f>
        <v>0</v>
      </c>
      <c r="G65" s="101">
        <v>0</v>
      </c>
      <c r="H65" s="104">
        <f>H60</f>
        <v>0</v>
      </c>
      <c r="I65" s="104">
        <f t="shared" ref="I65:AE65" si="25">I60</f>
        <v>0</v>
      </c>
      <c r="J65" s="104">
        <f t="shared" si="25"/>
        <v>0</v>
      </c>
      <c r="K65" s="104">
        <f t="shared" si="25"/>
        <v>0</v>
      </c>
      <c r="L65" s="104">
        <f t="shared" si="25"/>
        <v>0</v>
      </c>
      <c r="M65" s="104">
        <f t="shared" si="25"/>
        <v>0</v>
      </c>
      <c r="N65" s="104">
        <f t="shared" si="25"/>
        <v>138.66999999999999</v>
      </c>
      <c r="O65" s="104">
        <f t="shared" si="25"/>
        <v>0</v>
      </c>
      <c r="P65" s="104">
        <f t="shared" si="25"/>
        <v>138.66900000000001</v>
      </c>
      <c r="Q65" s="104">
        <f t="shared" si="25"/>
        <v>0</v>
      </c>
      <c r="R65" s="104">
        <f t="shared" si="25"/>
        <v>277.33999999999997</v>
      </c>
      <c r="S65" s="104">
        <f t="shared" si="25"/>
        <v>0</v>
      </c>
      <c r="T65" s="104">
        <f t="shared" si="25"/>
        <v>480.72399999999999</v>
      </c>
      <c r="U65" s="104">
        <f t="shared" si="25"/>
        <v>0</v>
      </c>
      <c r="V65" s="104">
        <f t="shared" si="25"/>
        <v>431.39699999999999</v>
      </c>
      <c r="W65" s="104">
        <f t="shared" si="25"/>
        <v>0</v>
      </c>
      <c r="X65" s="104">
        <f t="shared" si="25"/>
        <v>0</v>
      </c>
      <c r="Y65" s="104">
        <f t="shared" si="25"/>
        <v>0</v>
      </c>
      <c r="Z65" s="104">
        <f t="shared" si="25"/>
        <v>0</v>
      </c>
      <c r="AA65" s="104">
        <f t="shared" si="25"/>
        <v>0</v>
      </c>
      <c r="AB65" s="104">
        <f t="shared" si="25"/>
        <v>0</v>
      </c>
      <c r="AC65" s="104">
        <f t="shared" si="25"/>
        <v>0</v>
      </c>
      <c r="AD65" s="104">
        <f t="shared" si="25"/>
        <v>0</v>
      </c>
      <c r="AE65" s="104">
        <f t="shared" si="25"/>
        <v>0</v>
      </c>
      <c r="AF65" s="237"/>
      <c r="AG65" s="124">
        <f t="shared" si="1"/>
        <v>1466.8</v>
      </c>
      <c r="AH65" s="199">
        <f t="shared" si="2"/>
        <v>0</v>
      </c>
      <c r="AI65" s="124">
        <f t="shared" si="3"/>
        <v>0</v>
      </c>
    </row>
    <row r="66" spans="1:35" s="34" customFormat="1" ht="22.5" customHeight="1">
      <c r="A66" s="96" t="s">
        <v>105</v>
      </c>
      <c r="B66" s="81">
        <f>B61+B63</f>
        <v>2365.2000999999996</v>
      </c>
      <c r="C66" s="78">
        <f>C61+C63</f>
        <v>0</v>
      </c>
      <c r="D66" s="78">
        <f>D61+D63</f>
        <v>0</v>
      </c>
      <c r="E66" s="78">
        <f>E61+E63</f>
        <v>0</v>
      </c>
      <c r="F66" s="101">
        <f>E66/B66</f>
        <v>0</v>
      </c>
      <c r="G66" s="101">
        <v>0</v>
      </c>
      <c r="H66" s="104">
        <f>H61+H63</f>
        <v>0</v>
      </c>
      <c r="I66" s="104">
        <f t="shared" ref="I66:AE66" si="26">I61+I63</f>
        <v>0</v>
      </c>
      <c r="J66" s="104">
        <f t="shared" si="26"/>
        <v>0</v>
      </c>
      <c r="K66" s="104">
        <f t="shared" si="26"/>
        <v>0</v>
      </c>
      <c r="L66" s="104">
        <f t="shared" si="26"/>
        <v>58.142000000000003</v>
      </c>
      <c r="M66" s="104">
        <f t="shared" si="26"/>
        <v>0</v>
      </c>
      <c r="N66" s="104">
        <f t="shared" si="26"/>
        <v>79.622500000000002</v>
      </c>
      <c r="O66" s="104">
        <f t="shared" si="26"/>
        <v>0</v>
      </c>
      <c r="P66" s="104">
        <f t="shared" si="26"/>
        <v>225.01660000000001</v>
      </c>
      <c r="Q66" s="104">
        <f t="shared" si="26"/>
        <v>0</v>
      </c>
      <c r="R66" s="104">
        <f t="shared" si="26"/>
        <v>294.83749999999998</v>
      </c>
      <c r="S66" s="104">
        <f t="shared" si="26"/>
        <v>0</v>
      </c>
      <c r="T66" s="104">
        <f t="shared" si="26"/>
        <v>481.6395</v>
      </c>
      <c r="U66" s="104">
        <f t="shared" si="26"/>
        <v>0</v>
      </c>
      <c r="V66" s="104">
        <f t="shared" si="26"/>
        <v>446.95299999999997</v>
      </c>
      <c r="W66" s="104">
        <f t="shared" si="26"/>
        <v>0</v>
      </c>
      <c r="X66" s="104">
        <f t="shared" si="26"/>
        <v>424.40499999999997</v>
      </c>
      <c r="Y66" s="104">
        <f t="shared" si="26"/>
        <v>0</v>
      </c>
      <c r="Z66" s="104">
        <f t="shared" si="26"/>
        <v>288.32499999999999</v>
      </c>
      <c r="AA66" s="104">
        <f t="shared" si="26"/>
        <v>0</v>
      </c>
      <c r="AB66" s="104">
        <f t="shared" si="26"/>
        <v>66.259</v>
      </c>
      <c r="AC66" s="104">
        <f t="shared" si="26"/>
        <v>0</v>
      </c>
      <c r="AD66" s="104">
        <f t="shared" si="26"/>
        <v>0</v>
      </c>
      <c r="AE66" s="104">
        <f t="shared" si="26"/>
        <v>0</v>
      </c>
      <c r="AF66" s="237"/>
      <c r="AG66" s="124">
        <f t="shared" si="1"/>
        <v>2365.2001</v>
      </c>
      <c r="AH66" s="199">
        <f t="shared" si="2"/>
        <v>0</v>
      </c>
      <c r="AI66" s="124">
        <f t="shared" si="3"/>
        <v>0</v>
      </c>
    </row>
    <row r="67" spans="1:35" s="34" customFormat="1" ht="22.5" customHeight="1">
      <c r="A67" s="98" t="s">
        <v>125</v>
      </c>
      <c r="B67" s="96"/>
      <c r="C67" s="96"/>
      <c r="D67" s="96"/>
      <c r="E67" s="96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237" t="s">
        <v>200</v>
      </c>
      <c r="AG67" s="124">
        <f t="shared" si="1"/>
        <v>0</v>
      </c>
      <c r="AH67" s="199">
        <f t="shared" si="2"/>
        <v>0</v>
      </c>
      <c r="AI67" s="124">
        <f t="shared" si="3"/>
        <v>0</v>
      </c>
    </row>
    <row r="68" spans="1:35" s="34" customFormat="1" ht="33" customHeight="1">
      <c r="A68" s="107" t="s">
        <v>120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237"/>
      <c r="AG68" s="124">
        <f t="shared" si="1"/>
        <v>0</v>
      </c>
      <c r="AH68" s="199">
        <f t="shared" si="2"/>
        <v>0</v>
      </c>
      <c r="AI68" s="124">
        <f t="shared" si="3"/>
        <v>0</v>
      </c>
    </row>
    <row r="69" spans="1:35" s="34" customFormat="1" ht="216.75" customHeight="1">
      <c r="A69" s="97" t="s">
        <v>105</v>
      </c>
      <c r="B69" s="81">
        <f>H69+J69+L69+N69+P69+R69+T69+V69+X69+Z69+AB69+AD69</f>
        <v>4705.5</v>
      </c>
      <c r="C69" s="78">
        <f>H69+J69</f>
        <v>470</v>
      </c>
      <c r="D69" s="78">
        <f>C69</f>
        <v>470</v>
      </c>
      <c r="E69" s="78">
        <f>I69+K69</f>
        <v>141.06</v>
      </c>
      <c r="F69" s="101">
        <f>E69/B69</f>
        <v>2.9977685686962068E-2</v>
      </c>
      <c r="G69" s="101">
        <f>E69/C69</f>
        <v>0.30012765957446808</v>
      </c>
      <c r="H69" s="81"/>
      <c r="I69" s="81"/>
      <c r="J69" s="81">
        <f>470000/1000</f>
        <v>470</v>
      </c>
      <c r="K69" s="81">
        <v>141.06</v>
      </c>
      <c r="L69" s="81">
        <f>470000/1000</f>
        <v>470</v>
      </c>
      <c r="M69" s="81"/>
      <c r="N69" s="81">
        <f>470000/1000</f>
        <v>470</v>
      </c>
      <c r="O69" s="81"/>
      <c r="P69" s="81">
        <f>450000/1000</f>
        <v>450</v>
      </c>
      <c r="Q69" s="81"/>
      <c r="R69" s="81">
        <f>450000/1000</f>
        <v>450</v>
      </c>
      <c r="S69" s="81"/>
      <c r="T69" s="81">
        <f>170000/1000</f>
        <v>170</v>
      </c>
      <c r="U69" s="81"/>
      <c r="V69" s="81">
        <f>200000/1000</f>
        <v>200</v>
      </c>
      <c r="W69" s="81"/>
      <c r="X69" s="81">
        <f>200000/1000</f>
        <v>200</v>
      </c>
      <c r="Y69" s="81"/>
      <c r="Z69" s="81">
        <f>470000/1000</f>
        <v>470</v>
      </c>
      <c r="AA69" s="81"/>
      <c r="AB69" s="81">
        <f>450000/1000</f>
        <v>450</v>
      </c>
      <c r="AC69" s="81"/>
      <c r="AD69" s="81">
        <f>905500/1000</f>
        <v>905.5</v>
      </c>
      <c r="AE69" s="81"/>
      <c r="AF69" s="237"/>
      <c r="AG69" s="124">
        <f t="shared" si="1"/>
        <v>4705.5</v>
      </c>
      <c r="AH69" s="199">
        <f t="shared" si="2"/>
        <v>470</v>
      </c>
      <c r="AI69" s="124">
        <f t="shared" si="3"/>
        <v>141.06</v>
      </c>
    </row>
    <row r="70" spans="1:35" s="34" customFormat="1">
      <c r="A70" s="66" t="s">
        <v>141</v>
      </c>
      <c r="B70" s="67">
        <f>B72+B71</f>
        <v>8537.5000999999993</v>
      </c>
      <c r="C70" s="67">
        <f>C72+C71</f>
        <v>470</v>
      </c>
      <c r="D70" s="67">
        <f>D72+D71</f>
        <v>470</v>
      </c>
      <c r="E70" s="67">
        <f>E72+E71</f>
        <v>141.06</v>
      </c>
      <c r="F70" s="68">
        <f>E70/B70</f>
        <v>1.6522400977775686E-2</v>
      </c>
      <c r="G70" s="68">
        <f>E70/C70</f>
        <v>0.30012765957446808</v>
      </c>
      <c r="H70" s="69">
        <f t="shared" ref="H70:AE70" si="27">H72+H71</f>
        <v>0</v>
      </c>
      <c r="I70" s="69">
        <f t="shared" si="27"/>
        <v>0</v>
      </c>
      <c r="J70" s="69">
        <f t="shared" si="27"/>
        <v>470</v>
      </c>
      <c r="K70" s="69">
        <f>K72+K71</f>
        <v>141.06</v>
      </c>
      <c r="L70" s="69">
        <f t="shared" si="27"/>
        <v>528.14200000000005</v>
      </c>
      <c r="M70" s="69">
        <f t="shared" si="27"/>
        <v>0</v>
      </c>
      <c r="N70" s="69">
        <f t="shared" si="27"/>
        <v>688.2924999999999</v>
      </c>
      <c r="O70" s="69">
        <f t="shared" si="27"/>
        <v>0</v>
      </c>
      <c r="P70" s="69">
        <f t="shared" si="27"/>
        <v>813.68560000000002</v>
      </c>
      <c r="Q70" s="69">
        <f t="shared" si="27"/>
        <v>0</v>
      </c>
      <c r="R70" s="69">
        <f t="shared" si="27"/>
        <v>1022.1775</v>
      </c>
      <c r="S70" s="69">
        <f t="shared" si="27"/>
        <v>0</v>
      </c>
      <c r="T70" s="69">
        <f>T72+T71</f>
        <v>1132.3634999999999</v>
      </c>
      <c r="U70" s="69">
        <f>U72+U71</f>
        <v>0</v>
      </c>
      <c r="V70" s="69">
        <f t="shared" si="27"/>
        <v>1078.3499999999999</v>
      </c>
      <c r="W70" s="69">
        <f t="shared" si="27"/>
        <v>0</v>
      </c>
      <c r="X70" s="69">
        <f t="shared" si="27"/>
        <v>624.40499999999997</v>
      </c>
      <c r="Y70" s="69">
        <f t="shared" si="27"/>
        <v>0</v>
      </c>
      <c r="Z70" s="69">
        <f t="shared" si="27"/>
        <v>758.32500000000005</v>
      </c>
      <c r="AA70" s="69">
        <f t="shared" si="27"/>
        <v>0</v>
      </c>
      <c r="AB70" s="69">
        <f t="shared" si="27"/>
        <v>516.25900000000001</v>
      </c>
      <c r="AC70" s="69">
        <f t="shared" si="27"/>
        <v>0</v>
      </c>
      <c r="AD70" s="69">
        <f t="shared" si="27"/>
        <v>905.5</v>
      </c>
      <c r="AE70" s="69">
        <f t="shared" si="27"/>
        <v>0</v>
      </c>
      <c r="AF70" s="69"/>
      <c r="AG70" s="124">
        <f t="shared" si="1"/>
        <v>8537.5000999999993</v>
      </c>
      <c r="AH70" s="199">
        <f t="shared" si="2"/>
        <v>470</v>
      </c>
      <c r="AI70" s="124">
        <f t="shared" si="3"/>
        <v>141.06</v>
      </c>
    </row>
    <row r="71" spans="1:35" s="34" customFormat="1">
      <c r="A71" s="86" t="s">
        <v>104</v>
      </c>
      <c r="B71" s="106">
        <f>B65</f>
        <v>1466.8</v>
      </c>
      <c r="C71" s="102">
        <f>C65</f>
        <v>0</v>
      </c>
      <c r="D71" s="102">
        <f>D65</f>
        <v>0</v>
      </c>
      <c r="E71" s="102">
        <f>E65</f>
        <v>0</v>
      </c>
      <c r="F71" s="73">
        <f>E71/B71</f>
        <v>0</v>
      </c>
      <c r="G71" s="73">
        <v>0</v>
      </c>
      <c r="H71" s="106">
        <f>H65</f>
        <v>0</v>
      </c>
      <c r="I71" s="106">
        <f t="shared" ref="I71:AE71" si="28">I65</f>
        <v>0</v>
      </c>
      <c r="J71" s="106">
        <f>J65</f>
        <v>0</v>
      </c>
      <c r="K71" s="106">
        <f t="shared" si="28"/>
        <v>0</v>
      </c>
      <c r="L71" s="106">
        <f t="shared" ref="L71:AA71" si="29">L65</f>
        <v>0</v>
      </c>
      <c r="M71" s="106">
        <f t="shared" si="29"/>
        <v>0</v>
      </c>
      <c r="N71" s="106">
        <f t="shared" si="29"/>
        <v>138.66999999999999</v>
      </c>
      <c r="O71" s="106">
        <f t="shared" si="29"/>
        <v>0</v>
      </c>
      <c r="P71" s="106">
        <f t="shared" si="29"/>
        <v>138.66900000000001</v>
      </c>
      <c r="Q71" s="106">
        <f t="shared" si="29"/>
        <v>0</v>
      </c>
      <c r="R71" s="106">
        <f t="shared" si="29"/>
        <v>277.33999999999997</v>
      </c>
      <c r="S71" s="106">
        <f t="shared" si="29"/>
        <v>0</v>
      </c>
      <c r="T71" s="106">
        <f t="shared" si="29"/>
        <v>480.72399999999999</v>
      </c>
      <c r="U71" s="106">
        <f t="shared" si="29"/>
        <v>0</v>
      </c>
      <c r="V71" s="106">
        <f t="shared" si="29"/>
        <v>431.39699999999999</v>
      </c>
      <c r="W71" s="106">
        <f t="shared" si="29"/>
        <v>0</v>
      </c>
      <c r="X71" s="106">
        <f t="shared" si="29"/>
        <v>0</v>
      </c>
      <c r="Y71" s="106">
        <f t="shared" si="29"/>
        <v>0</v>
      </c>
      <c r="Z71" s="106">
        <f t="shared" si="29"/>
        <v>0</v>
      </c>
      <c r="AA71" s="106">
        <f t="shared" si="29"/>
        <v>0</v>
      </c>
      <c r="AB71" s="106">
        <f t="shared" si="28"/>
        <v>0</v>
      </c>
      <c r="AC71" s="106">
        <f t="shared" si="28"/>
        <v>0</v>
      </c>
      <c r="AD71" s="106">
        <f t="shared" si="28"/>
        <v>0</v>
      </c>
      <c r="AE71" s="106">
        <f t="shared" si="28"/>
        <v>0</v>
      </c>
      <c r="AF71" s="102"/>
      <c r="AG71" s="124">
        <f t="shared" si="1"/>
        <v>1466.8</v>
      </c>
      <c r="AH71" s="199">
        <f t="shared" si="2"/>
        <v>0</v>
      </c>
      <c r="AI71" s="124">
        <f t="shared" si="3"/>
        <v>0</v>
      </c>
    </row>
    <row r="72" spans="1:35" s="33" customFormat="1" ht="26.25" customHeight="1">
      <c r="A72" s="84" t="s">
        <v>105</v>
      </c>
      <c r="B72" s="75">
        <f>B66+B69</f>
        <v>7070.7001</v>
      </c>
      <c r="C72" s="75">
        <f>C66+C69</f>
        <v>470</v>
      </c>
      <c r="D72" s="75">
        <f>D66+D69</f>
        <v>470</v>
      </c>
      <c r="E72" s="75">
        <f>E66+E69</f>
        <v>141.06</v>
      </c>
      <c r="F72" s="77">
        <f>E72/B72</f>
        <v>1.9949933953499175E-2</v>
      </c>
      <c r="G72" s="77">
        <f>E72/C72</f>
        <v>0.30012765957446808</v>
      </c>
      <c r="H72" s="75">
        <f t="shared" ref="H72:AE72" si="30">H66+H69</f>
        <v>0</v>
      </c>
      <c r="I72" s="75">
        <f t="shared" si="30"/>
        <v>0</v>
      </c>
      <c r="J72" s="75">
        <f t="shared" si="30"/>
        <v>470</v>
      </c>
      <c r="K72" s="75">
        <f t="shared" si="30"/>
        <v>141.06</v>
      </c>
      <c r="L72" s="75">
        <f t="shared" si="30"/>
        <v>528.14200000000005</v>
      </c>
      <c r="M72" s="75">
        <f t="shared" si="30"/>
        <v>0</v>
      </c>
      <c r="N72" s="75">
        <f t="shared" si="30"/>
        <v>549.62249999999995</v>
      </c>
      <c r="O72" s="75">
        <f t="shared" si="30"/>
        <v>0</v>
      </c>
      <c r="P72" s="75">
        <f t="shared" si="30"/>
        <v>675.01660000000004</v>
      </c>
      <c r="Q72" s="75">
        <f t="shared" si="30"/>
        <v>0</v>
      </c>
      <c r="R72" s="75">
        <f t="shared" si="30"/>
        <v>744.83749999999998</v>
      </c>
      <c r="S72" s="75">
        <f t="shared" si="30"/>
        <v>0</v>
      </c>
      <c r="T72" s="75">
        <f t="shared" si="30"/>
        <v>651.6395</v>
      </c>
      <c r="U72" s="75">
        <f t="shared" si="30"/>
        <v>0</v>
      </c>
      <c r="V72" s="75">
        <f t="shared" si="30"/>
        <v>646.95299999999997</v>
      </c>
      <c r="W72" s="75">
        <f t="shared" si="30"/>
        <v>0</v>
      </c>
      <c r="X72" s="75">
        <f t="shared" si="30"/>
        <v>624.40499999999997</v>
      </c>
      <c r="Y72" s="75">
        <f t="shared" si="30"/>
        <v>0</v>
      </c>
      <c r="Z72" s="75">
        <f t="shared" si="30"/>
        <v>758.32500000000005</v>
      </c>
      <c r="AA72" s="75">
        <f t="shared" si="30"/>
        <v>0</v>
      </c>
      <c r="AB72" s="75">
        <f t="shared" si="30"/>
        <v>516.25900000000001</v>
      </c>
      <c r="AC72" s="75">
        <f t="shared" si="30"/>
        <v>0</v>
      </c>
      <c r="AD72" s="75">
        <f t="shared" si="30"/>
        <v>905.5</v>
      </c>
      <c r="AE72" s="75">
        <f t="shared" si="30"/>
        <v>0</v>
      </c>
      <c r="AF72" s="75"/>
      <c r="AG72" s="124">
        <f t="shared" si="1"/>
        <v>7070.7001</v>
      </c>
      <c r="AH72" s="199">
        <f t="shared" si="2"/>
        <v>470</v>
      </c>
      <c r="AI72" s="124">
        <f t="shared" si="3"/>
        <v>141.06</v>
      </c>
    </row>
    <row r="73" spans="1:35" s="34" customFormat="1" ht="122.25" customHeight="1">
      <c r="A73" s="132" t="s">
        <v>134</v>
      </c>
      <c r="B73" s="142"/>
      <c r="C73" s="139"/>
      <c r="D73" s="139"/>
      <c r="E73" s="139"/>
      <c r="F73" s="140"/>
      <c r="G73" s="140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41"/>
      <c r="AF73" s="143" t="s">
        <v>143</v>
      </c>
      <c r="AG73" s="124">
        <f t="shared" ref="AG73:AG98" si="31">H73+J73+L73+N73+P73+R73+T73+V73+X73+Z73+AB73+AD73</f>
        <v>0</v>
      </c>
      <c r="AH73" s="199">
        <f t="shared" ref="AH73:AH98" si="32">H73+J73</f>
        <v>0</v>
      </c>
      <c r="AI73" s="124">
        <f t="shared" ref="AI73:AI98" si="33">I73+K73</f>
        <v>0</v>
      </c>
    </row>
    <row r="74" spans="1:35" s="34" customFormat="1">
      <c r="A74" s="66" t="s">
        <v>25</v>
      </c>
      <c r="B74" s="67">
        <f>B75</f>
        <v>0</v>
      </c>
      <c r="C74" s="67">
        <f>C75</f>
        <v>0</v>
      </c>
      <c r="D74" s="67">
        <f>D75</f>
        <v>0</v>
      </c>
      <c r="E74" s="67">
        <f t="shared" ref="E74:AE74" si="34">E75</f>
        <v>0</v>
      </c>
      <c r="F74" s="68">
        <f t="shared" si="34"/>
        <v>0</v>
      </c>
      <c r="G74" s="68">
        <v>0</v>
      </c>
      <c r="H74" s="67">
        <f t="shared" si="34"/>
        <v>0</v>
      </c>
      <c r="I74" s="67">
        <f t="shared" si="34"/>
        <v>0</v>
      </c>
      <c r="J74" s="67">
        <f t="shared" si="34"/>
        <v>0</v>
      </c>
      <c r="K74" s="67">
        <f t="shared" si="34"/>
        <v>0</v>
      </c>
      <c r="L74" s="67">
        <f t="shared" si="34"/>
        <v>0</v>
      </c>
      <c r="M74" s="67">
        <f t="shared" si="34"/>
        <v>0</v>
      </c>
      <c r="N74" s="67">
        <f t="shared" si="34"/>
        <v>0</v>
      </c>
      <c r="O74" s="67">
        <f t="shared" si="34"/>
        <v>0</v>
      </c>
      <c r="P74" s="67">
        <f t="shared" si="34"/>
        <v>0</v>
      </c>
      <c r="Q74" s="67">
        <f t="shared" si="34"/>
        <v>0</v>
      </c>
      <c r="R74" s="67">
        <f t="shared" si="34"/>
        <v>0</v>
      </c>
      <c r="S74" s="67">
        <f t="shared" si="34"/>
        <v>0</v>
      </c>
      <c r="T74" s="67">
        <f t="shared" si="34"/>
        <v>0</v>
      </c>
      <c r="U74" s="67">
        <f t="shared" si="34"/>
        <v>0</v>
      </c>
      <c r="V74" s="67">
        <f t="shared" si="34"/>
        <v>0</v>
      </c>
      <c r="W74" s="67">
        <f t="shared" si="34"/>
        <v>0</v>
      </c>
      <c r="X74" s="67">
        <f t="shared" si="34"/>
        <v>0</v>
      </c>
      <c r="Y74" s="67">
        <f t="shared" si="34"/>
        <v>0</v>
      </c>
      <c r="Z74" s="67">
        <f t="shared" si="34"/>
        <v>0</v>
      </c>
      <c r="AA74" s="67">
        <f t="shared" si="34"/>
        <v>0</v>
      </c>
      <c r="AB74" s="67">
        <f t="shared" si="34"/>
        <v>0</v>
      </c>
      <c r="AC74" s="67">
        <f t="shared" si="34"/>
        <v>0</v>
      </c>
      <c r="AD74" s="67">
        <f t="shared" si="34"/>
        <v>0</v>
      </c>
      <c r="AE74" s="67">
        <f t="shared" si="34"/>
        <v>0</v>
      </c>
      <c r="AF74" s="67"/>
      <c r="AG74" s="124">
        <f t="shared" si="31"/>
        <v>0</v>
      </c>
      <c r="AH74" s="199">
        <f t="shared" si="32"/>
        <v>0</v>
      </c>
      <c r="AI74" s="124">
        <f t="shared" si="33"/>
        <v>0</v>
      </c>
    </row>
    <row r="75" spans="1:35" s="34" customFormat="1" ht="21" customHeight="1">
      <c r="A75" s="70" t="s">
        <v>104</v>
      </c>
      <c r="B75" s="71">
        <f>H75+J75+L75+N75+P75+R75+T75+V75+X75+Z75+AB75+AD75</f>
        <v>0</v>
      </c>
      <c r="C75" s="72">
        <f>H75+J75+L75+N75+P75+R75+T75+V75+X75</f>
        <v>0</v>
      </c>
      <c r="D75" s="72">
        <f>H75+J75+L75+N75+P75+R75+T75+V75</f>
        <v>0</v>
      </c>
      <c r="E75" s="72">
        <f>I75+K75+M75+O75+Q75+S75+U75+W75+Y75+AA75+AC75+AE75</f>
        <v>0</v>
      </c>
      <c r="F75" s="73">
        <v>0</v>
      </c>
      <c r="G75" s="73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/>
      <c r="AG75" s="124">
        <f t="shared" si="31"/>
        <v>0</v>
      </c>
      <c r="AH75" s="199">
        <f t="shared" si="32"/>
        <v>0</v>
      </c>
      <c r="AI75" s="124">
        <f t="shared" si="33"/>
        <v>0</v>
      </c>
    </row>
    <row r="76" spans="1:35" s="34" customFormat="1" ht="51" customHeight="1">
      <c r="A76" s="89" t="s">
        <v>115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37"/>
      <c r="AG76" s="124">
        <f t="shared" si="31"/>
        <v>0</v>
      </c>
      <c r="AH76" s="199">
        <f t="shared" si="32"/>
        <v>0</v>
      </c>
      <c r="AI76" s="124">
        <f t="shared" si="33"/>
        <v>0</v>
      </c>
    </row>
    <row r="77" spans="1:35" s="34" customFormat="1">
      <c r="A77" s="66" t="s">
        <v>25</v>
      </c>
      <c r="B77" s="67">
        <f>B78+B79</f>
        <v>3028.9999999999995</v>
      </c>
      <c r="C77" s="67">
        <f>C78+C79</f>
        <v>773.68034</v>
      </c>
      <c r="D77" s="67">
        <f>D78+D79</f>
        <v>849</v>
      </c>
      <c r="E77" s="67">
        <f>E78+E79</f>
        <v>769.95750999999996</v>
      </c>
      <c r="F77" s="68">
        <f>E77/B77</f>
        <v>0.25419528227137672</v>
      </c>
      <c r="G77" s="68">
        <f>E77/C77</f>
        <v>0.99518815483924528</v>
      </c>
      <c r="H77" s="67">
        <f t="shared" ref="H77" si="35">H78+H79</f>
        <v>524.64462000000003</v>
      </c>
      <c r="I77" s="67">
        <f t="shared" ref="I77" si="36">I78+I79</f>
        <v>484.70751000000001</v>
      </c>
      <c r="J77" s="67">
        <f t="shared" ref="J77" si="37">J78+J79</f>
        <v>249.03572</v>
      </c>
      <c r="K77" s="67">
        <f t="shared" ref="K77" si="38">K78+K79</f>
        <v>285.25</v>
      </c>
      <c r="L77" s="67">
        <f t="shared" ref="L77" si="39">L78+L79</f>
        <v>97.228719999999996</v>
      </c>
      <c r="M77" s="67">
        <f t="shared" ref="M77" si="40">M78+M79</f>
        <v>0</v>
      </c>
      <c r="N77" s="67">
        <f t="shared" ref="N77" si="41">N78+N79</f>
        <v>208.62572</v>
      </c>
      <c r="O77" s="67">
        <f t="shared" ref="O77" si="42">O78+O79</f>
        <v>0</v>
      </c>
      <c r="P77" s="67">
        <f t="shared" ref="P77" si="43">P78+P79</f>
        <v>294.76371999999998</v>
      </c>
      <c r="Q77" s="67">
        <f t="shared" ref="Q77" si="44">Q78+Q79</f>
        <v>0</v>
      </c>
      <c r="R77" s="67">
        <f t="shared" ref="R77" si="45">R78+R79</f>
        <v>147.68472</v>
      </c>
      <c r="S77" s="67">
        <f t="shared" ref="S77" si="46">S78+S79</f>
        <v>0</v>
      </c>
      <c r="T77" s="67">
        <f t="shared" ref="T77" si="47">T78+T79</f>
        <v>455.31071999999995</v>
      </c>
      <c r="U77" s="67">
        <f t="shared" ref="U77" si="48">U78+U79</f>
        <v>0</v>
      </c>
      <c r="V77" s="67">
        <f t="shared" ref="V77" si="49">V78+V79</f>
        <v>176.35172</v>
      </c>
      <c r="W77" s="67">
        <f t="shared" ref="W77" si="50">W78+W79</f>
        <v>0</v>
      </c>
      <c r="X77" s="67">
        <f t="shared" ref="X77" si="51">X78+X79</f>
        <v>234.16872000000001</v>
      </c>
      <c r="Y77" s="67">
        <f t="shared" ref="Y77" si="52">Y78+Y79</f>
        <v>0</v>
      </c>
      <c r="Z77" s="67">
        <f t="shared" ref="Z77" si="53">Z78+Z79</f>
        <v>226.32571999999999</v>
      </c>
      <c r="AA77" s="67">
        <f t="shared" ref="AA77" si="54">AA78+AA79</f>
        <v>0</v>
      </c>
      <c r="AB77" s="67">
        <f t="shared" ref="AB77" si="55">AB78+AB79</f>
        <v>127.69172</v>
      </c>
      <c r="AC77" s="67">
        <f t="shared" ref="AC77" si="56">AC78+AC79</f>
        <v>0</v>
      </c>
      <c r="AD77" s="67">
        <f t="shared" ref="AD77" si="57">AD78+AD79</f>
        <v>287.16818000000001</v>
      </c>
      <c r="AE77" s="67">
        <f>AE78+AE79</f>
        <v>0</v>
      </c>
      <c r="AF77" s="67"/>
      <c r="AG77" s="124">
        <f t="shared" si="31"/>
        <v>3028.9999999999995</v>
      </c>
      <c r="AH77" s="199">
        <f t="shared" si="32"/>
        <v>773.68034</v>
      </c>
      <c r="AI77" s="124">
        <f t="shared" si="33"/>
        <v>769.95750999999996</v>
      </c>
    </row>
    <row r="78" spans="1:35" s="34" customFormat="1">
      <c r="A78" s="70" t="s">
        <v>104</v>
      </c>
      <c r="B78" s="71">
        <f>B82</f>
        <v>3028.9999999999995</v>
      </c>
      <c r="C78" s="71">
        <f t="shared" ref="C78:AE78" si="58">C82</f>
        <v>773.68034</v>
      </c>
      <c r="D78" s="71">
        <f t="shared" si="58"/>
        <v>849</v>
      </c>
      <c r="E78" s="71">
        <f t="shared" si="58"/>
        <v>769.95750999999996</v>
      </c>
      <c r="F78" s="115">
        <f>E78/B78</f>
        <v>0.25419528227137672</v>
      </c>
      <c r="G78" s="115">
        <f>E78/C78</f>
        <v>0.99518815483924528</v>
      </c>
      <c r="H78" s="71">
        <f t="shared" si="58"/>
        <v>524.64462000000003</v>
      </c>
      <c r="I78" s="71">
        <f t="shared" si="58"/>
        <v>484.70751000000001</v>
      </c>
      <c r="J78" s="71">
        <f t="shared" si="58"/>
        <v>249.03572</v>
      </c>
      <c r="K78" s="71">
        <f t="shared" si="58"/>
        <v>285.25</v>
      </c>
      <c r="L78" s="71">
        <f t="shared" si="58"/>
        <v>97.228719999999996</v>
      </c>
      <c r="M78" s="71">
        <f t="shared" si="58"/>
        <v>0</v>
      </c>
      <c r="N78" s="71">
        <f t="shared" si="58"/>
        <v>208.62572</v>
      </c>
      <c r="O78" s="71">
        <f t="shared" si="58"/>
        <v>0</v>
      </c>
      <c r="P78" s="71">
        <f t="shared" si="58"/>
        <v>294.76371999999998</v>
      </c>
      <c r="Q78" s="71">
        <f t="shared" si="58"/>
        <v>0</v>
      </c>
      <c r="R78" s="71">
        <f t="shared" si="58"/>
        <v>147.68472</v>
      </c>
      <c r="S78" s="71">
        <f t="shared" si="58"/>
        <v>0</v>
      </c>
      <c r="T78" s="71">
        <f t="shared" si="58"/>
        <v>455.31071999999995</v>
      </c>
      <c r="U78" s="71">
        <f t="shared" si="58"/>
        <v>0</v>
      </c>
      <c r="V78" s="71">
        <f t="shared" si="58"/>
        <v>176.35172</v>
      </c>
      <c r="W78" s="71">
        <f t="shared" si="58"/>
        <v>0</v>
      </c>
      <c r="X78" s="71">
        <f t="shared" si="58"/>
        <v>234.16872000000001</v>
      </c>
      <c r="Y78" s="71">
        <f t="shared" si="58"/>
        <v>0</v>
      </c>
      <c r="Z78" s="71">
        <f t="shared" si="58"/>
        <v>226.32571999999999</v>
      </c>
      <c r="AA78" s="71">
        <f t="shared" si="58"/>
        <v>0</v>
      </c>
      <c r="AB78" s="71">
        <f t="shared" si="58"/>
        <v>127.69172</v>
      </c>
      <c r="AC78" s="71">
        <f t="shared" si="58"/>
        <v>0</v>
      </c>
      <c r="AD78" s="71">
        <f t="shared" si="58"/>
        <v>287.16818000000001</v>
      </c>
      <c r="AE78" s="71">
        <f t="shared" si="58"/>
        <v>0</v>
      </c>
      <c r="AF78" s="71"/>
      <c r="AG78" s="124">
        <f t="shared" si="31"/>
        <v>3028.9999999999995</v>
      </c>
      <c r="AH78" s="199">
        <f t="shared" si="32"/>
        <v>773.68034</v>
      </c>
      <c r="AI78" s="124">
        <f t="shared" si="33"/>
        <v>769.95750999999996</v>
      </c>
    </row>
    <row r="79" spans="1:35" s="34" customFormat="1">
      <c r="A79" s="74" t="s">
        <v>105</v>
      </c>
      <c r="B79" s="75">
        <f>B85</f>
        <v>0</v>
      </c>
      <c r="C79" s="75">
        <f t="shared" ref="C79:AE79" si="59">C85</f>
        <v>0</v>
      </c>
      <c r="D79" s="75">
        <f t="shared" si="59"/>
        <v>0</v>
      </c>
      <c r="E79" s="75">
        <f t="shared" si="59"/>
        <v>0</v>
      </c>
      <c r="F79" s="116">
        <v>0</v>
      </c>
      <c r="G79" s="116">
        <v>0</v>
      </c>
      <c r="H79" s="75">
        <f t="shared" si="59"/>
        <v>0</v>
      </c>
      <c r="I79" s="75">
        <f t="shared" si="59"/>
        <v>0</v>
      </c>
      <c r="J79" s="75">
        <f t="shared" si="59"/>
        <v>0</v>
      </c>
      <c r="K79" s="75">
        <f t="shared" si="59"/>
        <v>0</v>
      </c>
      <c r="L79" s="75">
        <f t="shared" si="59"/>
        <v>0</v>
      </c>
      <c r="M79" s="75">
        <f t="shared" si="59"/>
        <v>0</v>
      </c>
      <c r="N79" s="75">
        <f t="shared" si="59"/>
        <v>0</v>
      </c>
      <c r="O79" s="75">
        <f t="shared" si="59"/>
        <v>0</v>
      </c>
      <c r="P79" s="75">
        <f t="shared" si="59"/>
        <v>0</v>
      </c>
      <c r="Q79" s="75">
        <f t="shared" si="59"/>
        <v>0</v>
      </c>
      <c r="R79" s="75">
        <f t="shared" si="59"/>
        <v>0</v>
      </c>
      <c r="S79" s="75">
        <f t="shared" si="59"/>
        <v>0</v>
      </c>
      <c r="T79" s="75">
        <f t="shared" si="59"/>
        <v>0</v>
      </c>
      <c r="U79" s="75">
        <f t="shared" si="59"/>
        <v>0</v>
      </c>
      <c r="V79" s="75">
        <f t="shared" si="59"/>
        <v>0</v>
      </c>
      <c r="W79" s="75">
        <f t="shared" si="59"/>
        <v>0</v>
      </c>
      <c r="X79" s="75">
        <f t="shared" si="59"/>
        <v>0</v>
      </c>
      <c r="Y79" s="75">
        <f t="shared" si="59"/>
        <v>0</v>
      </c>
      <c r="Z79" s="75">
        <f t="shared" si="59"/>
        <v>0</v>
      </c>
      <c r="AA79" s="75">
        <f t="shared" si="59"/>
        <v>0</v>
      </c>
      <c r="AB79" s="75">
        <f t="shared" si="59"/>
        <v>0</v>
      </c>
      <c r="AC79" s="75">
        <f t="shared" si="59"/>
        <v>0</v>
      </c>
      <c r="AD79" s="75">
        <f t="shared" si="59"/>
        <v>0</v>
      </c>
      <c r="AE79" s="75">
        <f t="shared" si="59"/>
        <v>0</v>
      </c>
      <c r="AF79" s="75"/>
      <c r="AG79" s="124">
        <f t="shared" si="31"/>
        <v>0</v>
      </c>
      <c r="AH79" s="199">
        <f t="shared" si="32"/>
        <v>0</v>
      </c>
      <c r="AI79" s="124">
        <f t="shared" si="33"/>
        <v>0</v>
      </c>
    </row>
    <row r="80" spans="1:35" s="34" customFormat="1" ht="100.5" customHeight="1">
      <c r="A80" s="128" t="s">
        <v>135</v>
      </c>
      <c r="B80" s="64"/>
      <c r="C80" s="129"/>
      <c r="D80" s="129"/>
      <c r="E80" s="129"/>
      <c r="F80" s="130"/>
      <c r="G80" s="130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31"/>
      <c r="AF80" s="237" t="s">
        <v>197</v>
      </c>
      <c r="AG80" s="124">
        <f t="shared" si="31"/>
        <v>0</v>
      </c>
      <c r="AH80" s="199">
        <f t="shared" si="32"/>
        <v>0</v>
      </c>
      <c r="AI80" s="124">
        <f t="shared" si="33"/>
        <v>0</v>
      </c>
    </row>
    <row r="81" spans="1:35" s="34" customFormat="1">
      <c r="A81" s="66" t="s">
        <v>25</v>
      </c>
      <c r="B81" s="67">
        <f>B82</f>
        <v>3028.9999999999995</v>
      </c>
      <c r="C81" s="67">
        <f>C82</f>
        <v>773.68034</v>
      </c>
      <c r="D81" s="67">
        <f>D82</f>
        <v>849</v>
      </c>
      <c r="E81" s="67">
        <f>E82</f>
        <v>769.95750999999996</v>
      </c>
      <c r="F81" s="68">
        <f>E81/B81</f>
        <v>0.25419528227137672</v>
      </c>
      <c r="G81" s="68">
        <f>E81/C81</f>
        <v>0.99518815483924528</v>
      </c>
      <c r="H81" s="67">
        <f t="shared" ref="H81:AE81" si="60">H82</f>
        <v>524.64462000000003</v>
      </c>
      <c r="I81" s="67">
        <f t="shared" si="60"/>
        <v>484.70751000000001</v>
      </c>
      <c r="J81" s="67">
        <f t="shared" si="60"/>
        <v>249.03572</v>
      </c>
      <c r="K81" s="67">
        <f t="shared" si="60"/>
        <v>285.25</v>
      </c>
      <c r="L81" s="67">
        <f t="shared" si="60"/>
        <v>97.228719999999996</v>
      </c>
      <c r="M81" s="67">
        <f t="shared" si="60"/>
        <v>0</v>
      </c>
      <c r="N81" s="67">
        <f t="shared" si="60"/>
        <v>208.62572</v>
      </c>
      <c r="O81" s="67">
        <f t="shared" si="60"/>
        <v>0</v>
      </c>
      <c r="P81" s="67">
        <f t="shared" si="60"/>
        <v>294.76371999999998</v>
      </c>
      <c r="Q81" s="67">
        <f t="shared" si="60"/>
        <v>0</v>
      </c>
      <c r="R81" s="67">
        <f t="shared" si="60"/>
        <v>147.68472</v>
      </c>
      <c r="S81" s="67">
        <f t="shared" si="60"/>
        <v>0</v>
      </c>
      <c r="T81" s="67">
        <f t="shared" si="60"/>
        <v>455.31071999999995</v>
      </c>
      <c r="U81" s="67">
        <f t="shared" si="60"/>
        <v>0</v>
      </c>
      <c r="V81" s="67">
        <f t="shared" si="60"/>
        <v>176.35172</v>
      </c>
      <c r="W81" s="67">
        <f t="shared" si="60"/>
        <v>0</v>
      </c>
      <c r="X81" s="67">
        <f t="shared" si="60"/>
        <v>234.16872000000001</v>
      </c>
      <c r="Y81" s="67">
        <f t="shared" si="60"/>
        <v>0</v>
      </c>
      <c r="Z81" s="67">
        <f t="shared" si="60"/>
        <v>226.32571999999999</v>
      </c>
      <c r="AA81" s="67">
        <f t="shared" si="60"/>
        <v>0</v>
      </c>
      <c r="AB81" s="67">
        <f t="shared" si="60"/>
        <v>127.69172</v>
      </c>
      <c r="AC81" s="67">
        <f t="shared" si="60"/>
        <v>0</v>
      </c>
      <c r="AD81" s="67">
        <f t="shared" si="60"/>
        <v>287.16818000000001</v>
      </c>
      <c r="AE81" s="67">
        <f t="shared" si="60"/>
        <v>0</v>
      </c>
      <c r="AF81" s="237"/>
      <c r="AG81" s="124">
        <f t="shared" si="31"/>
        <v>3028.9999999999995</v>
      </c>
      <c r="AH81" s="199">
        <f t="shared" si="32"/>
        <v>773.68034</v>
      </c>
      <c r="AI81" s="124">
        <f t="shared" si="33"/>
        <v>769.95750999999996</v>
      </c>
    </row>
    <row r="82" spans="1:35" s="34" customFormat="1" ht="38.25" customHeight="1">
      <c r="A82" s="86" t="s">
        <v>104</v>
      </c>
      <c r="B82" s="71">
        <f>H82+J82+L82+N82+P82+R82+T82+V82+X82+Z82+AB82+AD82</f>
        <v>3028.9999999999995</v>
      </c>
      <c r="C82" s="72">
        <f>H82+J82</f>
        <v>773.68034</v>
      </c>
      <c r="D82" s="72">
        <v>849</v>
      </c>
      <c r="E82" s="72">
        <f>I82+K82</f>
        <v>769.95750999999996</v>
      </c>
      <c r="F82" s="73">
        <f>E82/B82</f>
        <v>0.25419528227137672</v>
      </c>
      <c r="G82" s="73">
        <f>E82/C82</f>
        <v>0.99518815483924528</v>
      </c>
      <c r="H82" s="72">
        <f>524644.62/1000</f>
        <v>524.64462000000003</v>
      </c>
      <c r="I82" s="72">
        <f>484707.51/1000</f>
        <v>484.70751000000001</v>
      </c>
      <c r="J82" s="72">
        <f>249035.72/1000</f>
        <v>249.03572</v>
      </c>
      <c r="K82" s="72">
        <v>285.25</v>
      </c>
      <c r="L82" s="72">
        <f>97228.72/1000</f>
        <v>97.228719999999996</v>
      </c>
      <c r="M82" s="72"/>
      <c r="N82" s="72">
        <f>208625.72/1000</f>
        <v>208.62572</v>
      </c>
      <c r="O82" s="72"/>
      <c r="P82" s="72">
        <f>294763.72/1000</f>
        <v>294.76371999999998</v>
      </c>
      <c r="Q82" s="72"/>
      <c r="R82" s="72">
        <f>147684.72/1000</f>
        <v>147.68472</v>
      </c>
      <c r="S82" s="72"/>
      <c r="T82" s="72">
        <f>455310.72/1000</f>
        <v>455.31071999999995</v>
      </c>
      <c r="U82" s="72"/>
      <c r="V82" s="72">
        <f>176351.72/1000</f>
        <v>176.35172</v>
      </c>
      <c r="W82" s="72"/>
      <c r="X82" s="72">
        <f>234168.72/1000</f>
        <v>234.16872000000001</v>
      </c>
      <c r="Y82" s="72"/>
      <c r="Z82" s="72">
        <f>226325.72/1000</f>
        <v>226.32571999999999</v>
      </c>
      <c r="AA82" s="72"/>
      <c r="AB82" s="72">
        <f>127691.72/1000</f>
        <v>127.69172</v>
      </c>
      <c r="AC82" s="72"/>
      <c r="AD82" s="72">
        <f>287168.18/1000</f>
        <v>287.16818000000001</v>
      </c>
      <c r="AE82" s="72"/>
      <c r="AF82" s="237"/>
      <c r="AG82" s="124">
        <f t="shared" si="31"/>
        <v>3028.9999999999995</v>
      </c>
      <c r="AH82" s="199">
        <f t="shared" si="32"/>
        <v>773.68034</v>
      </c>
      <c r="AI82" s="124">
        <f t="shared" si="33"/>
        <v>769.95750999999996</v>
      </c>
    </row>
    <row r="83" spans="1:35" s="57" customFormat="1" ht="92.25" customHeight="1">
      <c r="A83" s="128" t="s">
        <v>136</v>
      </c>
      <c r="B83" s="64">
        <v>0</v>
      </c>
      <c r="C83" s="65">
        <v>0</v>
      </c>
      <c r="D83" s="129"/>
      <c r="E83" s="129">
        <v>0</v>
      </c>
      <c r="F83" s="130">
        <v>0</v>
      </c>
      <c r="G83" s="130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0</v>
      </c>
      <c r="W83" s="129">
        <v>0</v>
      </c>
      <c r="X83" s="129">
        <v>0</v>
      </c>
      <c r="Y83" s="129">
        <v>0</v>
      </c>
      <c r="Z83" s="129">
        <v>0</v>
      </c>
      <c r="AA83" s="129">
        <v>0</v>
      </c>
      <c r="AB83" s="129">
        <v>0</v>
      </c>
      <c r="AC83" s="129">
        <v>0</v>
      </c>
      <c r="AD83" s="129">
        <v>0</v>
      </c>
      <c r="AE83" s="131"/>
      <c r="AF83" s="58"/>
      <c r="AG83" s="124">
        <f t="shared" si="31"/>
        <v>0</v>
      </c>
      <c r="AH83" s="199">
        <f t="shared" si="32"/>
        <v>0</v>
      </c>
      <c r="AI83" s="124">
        <f t="shared" si="33"/>
        <v>0</v>
      </c>
    </row>
    <row r="84" spans="1:35" s="57" customFormat="1">
      <c r="A84" s="66" t="s">
        <v>25</v>
      </c>
      <c r="B84" s="67">
        <f>B85</f>
        <v>0</v>
      </c>
      <c r="C84" s="67">
        <f t="shared" ref="C84:E84" si="61">C85</f>
        <v>0</v>
      </c>
      <c r="D84" s="67">
        <f t="shared" si="61"/>
        <v>0</v>
      </c>
      <c r="E84" s="67">
        <f t="shared" si="61"/>
        <v>0</v>
      </c>
      <c r="F84" s="68">
        <v>0</v>
      </c>
      <c r="G84" s="68">
        <v>0</v>
      </c>
      <c r="H84" s="67">
        <f>H85</f>
        <v>0</v>
      </c>
      <c r="I84" s="67">
        <f t="shared" ref="I84:AD84" si="62">I85</f>
        <v>0</v>
      </c>
      <c r="J84" s="67">
        <f t="shared" si="62"/>
        <v>0</v>
      </c>
      <c r="K84" s="67">
        <f t="shared" si="62"/>
        <v>0</v>
      </c>
      <c r="L84" s="67">
        <f t="shared" si="62"/>
        <v>0</v>
      </c>
      <c r="M84" s="67">
        <f t="shared" si="62"/>
        <v>0</v>
      </c>
      <c r="N84" s="67">
        <f>N85</f>
        <v>0</v>
      </c>
      <c r="O84" s="67">
        <f t="shared" si="62"/>
        <v>0</v>
      </c>
      <c r="P84" s="67">
        <f t="shared" si="62"/>
        <v>0</v>
      </c>
      <c r="Q84" s="67">
        <f t="shared" si="62"/>
        <v>0</v>
      </c>
      <c r="R84" s="67">
        <f t="shared" si="62"/>
        <v>0</v>
      </c>
      <c r="S84" s="67">
        <f t="shared" si="62"/>
        <v>0</v>
      </c>
      <c r="T84" s="67">
        <f t="shared" si="62"/>
        <v>0</v>
      </c>
      <c r="U84" s="67">
        <f t="shared" si="62"/>
        <v>0</v>
      </c>
      <c r="V84" s="67">
        <f t="shared" si="62"/>
        <v>0</v>
      </c>
      <c r="W84" s="67">
        <f t="shared" si="62"/>
        <v>0</v>
      </c>
      <c r="X84" s="67">
        <f t="shared" si="62"/>
        <v>0</v>
      </c>
      <c r="Y84" s="67">
        <f t="shared" si="62"/>
        <v>0</v>
      </c>
      <c r="Z84" s="67">
        <f t="shared" si="62"/>
        <v>0</v>
      </c>
      <c r="AA84" s="67">
        <f t="shared" si="62"/>
        <v>0</v>
      </c>
      <c r="AB84" s="67">
        <f t="shared" si="62"/>
        <v>0</v>
      </c>
      <c r="AC84" s="67">
        <f t="shared" si="62"/>
        <v>0</v>
      </c>
      <c r="AD84" s="67">
        <f t="shared" si="62"/>
        <v>0</v>
      </c>
      <c r="AE84" s="88">
        <f t="shared" ref="AE84" si="63">AE85</f>
        <v>0</v>
      </c>
      <c r="AF84" s="38"/>
      <c r="AG84" s="124">
        <f t="shared" si="31"/>
        <v>0</v>
      </c>
      <c r="AH84" s="199">
        <f t="shared" si="32"/>
        <v>0</v>
      </c>
      <c r="AI84" s="124">
        <f t="shared" si="33"/>
        <v>0</v>
      </c>
    </row>
    <row r="85" spans="1:35" s="57" customFormat="1" ht="18.75" customHeight="1">
      <c r="A85" s="74" t="s">
        <v>105</v>
      </c>
      <c r="B85" s="75">
        <f>H85+J85+L85+N85+P85+R85+T85+V85+X85+Z85+AB85+AD85</f>
        <v>0</v>
      </c>
      <c r="C85" s="76">
        <f>H85+J85+L85+N85+P85+R85+T85+V85</f>
        <v>0</v>
      </c>
      <c r="D85" s="76"/>
      <c r="E85" s="76">
        <f>I85+K85+M85+O85+Q85+S85+U85+W85+Y85+AA85+AC85+AE85</f>
        <v>0</v>
      </c>
      <c r="F85" s="77">
        <v>0</v>
      </c>
      <c r="G85" s="77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/>
      <c r="AG85" s="124">
        <f t="shared" si="31"/>
        <v>0</v>
      </c>
      <c r="AH85" s="199">
        <f t="shared" si="32"/>
        <v>0</v>
      </c>
      <c r="AI85" s="124">
        <f t="shared" si="33"/>
        <v>0</v>
      </c>
    </row>
    <row r="86" spans="1:35" s="34" customFormat="1" ht="75" customHeight="1">
      <c r="A86" s="132" t="s">
        <v>137</v>
      </c>
      <c r="B86" s="142"/>
      <c r="C86" s="139"/>
      <c r="D86" s="139"/>
      <c r="E86" s="139"/>
      <c r="F86" s="140"/>
      <c r="G86" s="140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41"/>
      <c r="AF86" s="127" t="s">
        <v>144</v>
      </c>
      <c r="AG86" s="124">
        <f t="shared" si="31"/>
        <v>0</v>
      </c>
      <c r="AH86" s="199">
        <f t="shared" si="32"/>
        <v>0</v>
      </c>
      <c r="AI86" s="124">
        <f t="shared" si="33"/>
        <v>0</v>
      </c>
    </row>
    <row r="87" spans="1:35" s="34" customFormat="1">
      <c r="A87" s="66" t="s">
        <v>25</v>
      </c>
      <c r="B87" s="67">
        <f>B88</f>
        <v>0</v>
      </c>
      <c r="C87" s="67">
        <f>C88</f>
        <v>0</v>
      </c>
      <c r="D87" s="67">
        <f>D88</f>
        <v>0</v>
      </c>
      <c r="E87" s="67">
        <f>E88</f>
        <v>0</v>
      </c>
      <c r="F87" s="68">
        <f t="shared" ref="F87:AE87" si="64">F88</f>
        <v>0</v>
      </c>
      <c r="G87" s="68">
        <v>0</v>
      </c>
      <c r="H87" s="67">
        <f t="shared" si="64"/>
        <v>0</v>
      </c>
      <c r="I87" s="67">
        <f t="shared" si="64"/>
        <v>0</v>
      </c>
      <c r="J87" s="67">
        <f t="shared" si="64"/>
        <v>0</v>
      </c>
      <c r="K87" s="67">
        <f t="shared" si="64"/>
        <v>0</v>
      </c>
      <c r="L87" s="67">
        <f t="shared" si="64"/>
        <v>0</v>
      </c>
      <c r="M87" s="67">
        <f t="shared" si="64"/>
        <v>0</v>
      </c>
      <c r="N87" s="67">
        <f t="shared" si="64"/>
        <v>0</v>
      </c>
      <c r="O87" s="67">
        <f t="shared" si="64"/>
        <v>0</v>
      </c>
      <c r="P87" s="67">
        <f t="shared" si="64"/>
        <v>0</v>
      </c>
      <c r="Q87" s="67">
        <f t="shared" si="64"/>
        <v>0</v>
      </c>
      <c r="R87" s="67">
        <f t="shared" si="64"/>
        <v>0</v>
      </c>
      <c r="S87" s="67">
        <f t="shared" si="64"/>
        <v>0</v>
      </c>
      <c r="T87" s="67">
        <f t="shared" si="64"/>
        <v>0</v>
      </c>
      <c r="U87" s="67">
        <f t="shared" si="64"/>
        <v>0</v>
      </c>
      <c r="V87" s="67">
        <f t="shared" si="64"/>
        <v>0</v>
      </c>
      <c r="W87" s="67">
        <f t="shared" si="64"/>
        <v>0</v>
      </c>
      <c r="X87" s="67">
        <f t="shared" si="64"/>
        <v>0</v>
      </c>
      <c r="Y87" s="67">
        <f t="shared" si="64"/>
        <v>0</v>
      </c>
      <c r="Z87" s="67">
        <f t="shared" si="64"/>
        <v>0</v>
      </c>
      <c r="AA87" s="67">
        <f t="shared" si="64"/>
        <v>0</v>
      </c>
      <c r="AB87" s="67">
        <f t="shared" si="64"/>
        <v>0</v>
      </c>
      <c r="AC87" s="67">
        <f t="shared" si="64"/>
        <v>0</v>
      </c>
      <c r="AD87" s="67">
        <f t="shared" si="64"/>
        <v>0</v>
      </c>
      <c r="AE87" s="88">
        <f t="shared" si="64"/>
        <v>0</v>
      </c>
      <c r="AF87" s="38"/>
      <c r="AG87" s="124">
        <f t="shared" si="31"/>
        <v>0</v>
      </c>
      <c r="AH87" s="199">
        <f t="shared" si="32"/>
        <v>0</v>
      </c>
      <c r="AI87" s="124">
        <f t="shared" si="33"/>
        <v>0</v>
      </c>
    </row>
    <row r="88" spans="1:35" s="34" customFormat="1" ht="27.75" customHeight="1">
      <c r="A88" s="74" t="s">
        <v>105</v>
      </c>
      <c r="B88" s="75">
        <f>H88+J88+L88+N88+P88+R88+T88+V88+X88+Z88+AB88+AD88</f>
        <v>0</v>
      </c>
      <c r="C88" s="76">
        <f>H88+J88+L88+N88+P88+R88+T88+V88+X88</f>
        <v>0</v>
      </c>
      <c r="D88" s="76"/>
      <c r="E88" s="76">
        <f>I88+K88+M88+O88+Q88+S88+U88+W88+Y88+AA88+AC88+AE88</f>
        <v>0</v>
      </c>
      <c r="F88" s="77">
        <v>0</v>
      </c>
      <c r="G88" s="77">
        <v>0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124">
        <f t="shared" si="31"/>
        <v>0</v>
      </c>
      <c r="AH88" s="199">
        <f t="shared" si="32"/>
        <v>0</v>
      </c>
      <c r="AI88" s="124">
        <f t="shared" si="33"/>
        <v>0</v>
      </c>
    </row>
    <row r="89" spans="1:35" s="34" customFormat="1" ht="186.75" customHeight="1">
      <c r="A89" s="132" t="s">
        <v>138</v>
      </c>
      <c r="B89" s="142"/>
      <c r="C89" s="139"/>
      <c r="D89" s="139"/>
      <c r="E89" s="139"/>
      <c r="F89" s="140"/>
      <c r="G89" s="140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41"/>
      <c r="AF89" s="125" t="s">
        <v>198</v>
      </c>
      <c r="AG89" s="124">
        <f t="shared" si="31"/>
        <v>0</v>
      </c>
      <c r="AH89" s="199">
        <f t="shared" si="32"/>
        <v>0</v>
      </c>
      <c r="AI89" s="124">
        <f t="shared" si="33"/>
        <v>0</v>
      </c>
    </row>
    <row r="90" spans="1:35" s="34" customFormat="1">
      <c r="A90" s="66" t="s">
        <v>25</v>
      </c>
      <c r="B90" s="67">
        <f>B91</f>
        <v>0</v>
      </c>
      <c r="C90" s="67">
        <f>C91</f>
        <v>0</v>
      </c>
      <c r="D90" s="67">
        <f>D91</f>
        <v>0</v>
      </c>
      <c r="E90" s="67">
        <f>E91</f>
        <v>0</v>
      </c>
      <c r="F90" s="68">
        <f t="shared" ref="F90:AE90" si="65">F91</f>
        <v>0</v>
      </c>
      <c r="G90" s="68">
        <v>0</v>
      </c>
      <c r="H90" s="67">
        <f t="shared" si="65"/>
        <v>0</v>
      </c>
      <c r="I90" s="67">
        <f t="shared" si="65"/>
        <v>0</v>
      </c>
      <c r="J90" s="67">
        <f t="shared" si="65"/>
        <v>0</v>
      </c>
      <c r="K90" s="67">
        <f t="shared" si="65"/>
        <v>0</v>
      </c>
      <c r="L90" s="67">
        <f t="shared" si="65"/>
        <v>0</v>
      </c>
      <c r="M90" s="67">
        <f t="shared" si="65"/>
        <v>0</v>
      </c>
      <c r="N90" s="67">
        <f t="shared" si="65"/>
        <v>0</v>
      </c>
      <c r="O90" s="67">
        <f t="shared" si="65"/>
        <v>0</v>
      </c>
      <c r="P90" s="67">
        <f t="shared" si="65"/>
        <v>0</v>
      </c>
      <c r="Q90" s="67">
        <f t="shared" si="65"/>
        <v>0</v>
      </c>
      <c r="R90" s="67">
        <f t="shared" si="65"/>
        <v>0</v>
      </c>
      <c r="S90" s="67">
        <f t="shared" si="65"/>
        <v>0</v>
      </c>
      <c r="T90" s="67">
        <f t="shared" si="65"/>
        <v>0</v>
      </c>
      <c r="U90" s="67">
        <f t="shared" si="65"/>
        <v>0</v>
      </c>
      <c r="V90" s="67">
        <f t="shared" si="65"/>
        <v>0</v>
      </c>
      <c r="W90" s="67">
        <f t="shared" si="65"/>
        <v>0</v>
      </c>
      <c r="X90" s="67">
        <f t="shared" si="65"/>
        <v>0</v>
      </c>
      <c r="Y90" s="67">
        <f t="shared" si="65"/>
        <v>0</v>
      </c>
      <c r="Z90" s="67">
        <f t="shared" si="65"/>
        <v>0</v>
      </c>
      <c r="AA90" s="67">
        <f t="shared" si="65"/>
        <v>0</v>
      </c>
      <c r="AB90" s="67">
        <f t="shared" si="65"/>
        <v>0</v>
      </c>
      <c r="AC90" s="67">
        <f t="shared" si="65"/>
        <v>0</v>
      </c>
      <c r="AD90" s="67">
        <f t="shared" si="65"/>
        <v>0</v>
      </c>
      <c r="AE90" s="67">
        <f t="shared" si="65"/>
        <v>0</v>
      </c>
      <c r="AF90" s="38"/>
      <c r="AG90" s="124">
        <f t="shared" si="31"/>
        <v>0</v>
      </c>
      <c r="AH90" s="199">
        <f t="shared" si="32"/>
        <v>0</v>
      </c>
      <c r="AI90" s="124">
        <f t="shared" si="33"/>
        <v>0</v>
      </c>
    </row>
    <row r="91" spans="1:35" s="34" customFormat="1" ht="22.5" customHeight="1">
      <c r="A91" s="74" t="s">
        <v>105</v>
      </c>
      <c r="B91" s="75">
        <f>H91+J91+L91+N91+P91+R91+T91+V91+X91+Z91+AB91+AD91</f>
        <v>0</v>
      </c>
      <c r="C91" s="76">
        <f>H91+J91+L91+N91+P91+R91+T91+V91+X91</f>
        <v>0</v>
      </c>
      <c r="D91" s="76"/>
      <c r="E91" s="76">
        <f>I91+K91+M91+O91+Q91+S91+U91+W91+Y91+AA91+AC91+AE91</f>
        <v>0</v>
      </c>
      <c r="F91" s="77">
        <v>0</v>
      </c>
      <c r="G91" s="77">
        <v>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124">
        <f t="shared" si="31"/>
        <v>0</v>
      </c>
      <c r="AH91" s="199">
        <f t="shared" si="32"/>
        <v>0</v>
      </c>
      <c r="AI91" s="124">
        <f t="shared" si="33"/>
        <v>0</v>
      </c>
    </row>
    <row r="92" spans="1:35" s="34" customFormat="1" ht="67.5" customHeight="1">
      <c r="A92" s="89" t="s">
        <v>139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124">
        <f t="shared" si="31"/>
        <v>0</v>
      </c>
      <c r="AH92" s="199">
        <f t="shared" si="32"/>
        <v>0</v>
      </c>
      <c r="AI92" s="124">
        <f t="shared" si="33"/>
        <v>0</v>
      </c>
    </row>
    <row r="93" spans="1:35" s="34" customFormat="1" ht="90.75" customHeight="1">
      <c r="A93" s="132" t="s">
        <v>140</v>
      </c>
      <c r="B93" s="142"/>
      <c r="C93" s="139"/>
      <c r="D93" s="139"/>
      <c r="E93" s="139"/>
      <c r="F93" s="140"/>
      <c r="G93" s="140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41"/>
      <c r="AF93" s="143" t="s">
        <v>143</v>
      </c>
      <c r="AG93" s="124">
        <f t="shared" si="31"/>
        <v>0</v>
      </c>
      <c r="AH93" s="199">
        <f t="shared" si="32"/>
        <v>0</v>
      </c>
      <c r="AI93" s="124">
        <f t="shared" si="33"/>
        <v>0</v>
      </c>
    </row>
    <row r="94" spans="1:35" s="34" customFormat="1">
      <c r="A94" s="66" t="s">
        <v>25</v>
      </c>
      <c r="B94" s="67">
        <f>B95</f>
        <v>0</v>
      </c>
      <c r="C94" s="67">
        <f>C95</f>
        <v>0</v>
      </c>
      <c r="D94" s="67">
        <f>D95</f>
        <v>0</v>
      </c>
      <c r="E94" s="67">
        <f>E95</f>
        <v>0</v>
      </c>
      <c r="F94" s="68">
        <v>0</v>
      </c>
      <c r="G94" s="68">
        <v>0</v>
      </c>
      <c r="H94" s="67">
        <f t="shared" ref="H94:AE94" si="66">H95</f>
        <v>0</v>
      </c>
      <c r="I94" s="67">
        <f t="shared" si="66"/>
        <v>0</v>
      </c>
      <c r="J94" s="67">
        <f t="shared" si="66"/>
        <v>0</v>
      </c>
      <c r="K94" s="67">
        <f t="shared" si="66"/>
        <v>0</v>
      </c>
      <c r="L94" s="67">
        <f t="shared" si="66"/>
        <v>0</v>
      </c>
      <c r="M94" s="67">
        <f t="shared" si="66"/>
        <v>0</v>
      </c>
      <c r="N94" s="67">
        <f t="shared" si="66"/>
        <v>0</v>
      </c>
      <c r="O94" s="67">
        <f t="shared" si="66"/>
        <v>0</v>
      </c>
      <c r="P94" s="67">
        <f t="shared" si="66"/>
        <v>0</v>
      </c>
      <c r="Q94" s="67">
        <f t="shared" si="66"/>
        <v>0</v>
      </c>
      <c r="R94" s="67">
        <f t="shared" si="66"/>
        <v>0</v>
      </c>
      <c r="S94" s="67">
        <f t="shared" si="66"/>
        <v>0</v>
      </c>
      <c r="T94" s="67">
        <f t="shared" si="66"/>
        <v>0</v>
      </c>
      <c r="U94" s="67">
        <f t="shared" si="66"/>
        <v>0</v>
      </c>
      <c r="V94" s="67">
        <f t="shared" si="66"/>
        <v>0</v>
      </c>
      <c r="W94" s="67">
        <f t="shared" si="66"/>
        <v>0</v>
      </c>
      <c r="X94" s="67">
        <f t="shared" si="66"/>
        <v>0</v>
      </c>
      <c r="Y94" s="67">
        <f t="shared" si="66"/>
        <v>0</v>
      </c>
      <c r="Z94" s="67">
        <f t="shared" si="66"/>
        <v>0</v>
      </c>
      <c r="AA94" s="67">
        <f t="shared" si="66"/>
        <v>0</v>
      </c>
      <c r="AB94" s="67">
        <f t="shared" si="66"/>
        <v>0</v>
      </c>
      <c r="AC94" s="67">
        <f t="shared" si="66"/>
        <v>0</v>
      </c>
      <c r="AD94" s="67">
        <f t="shared" si="66"/>
        <v>0</v>
      </c>
      <c r="AE94" s="67">
        <f t="shared" si="66"/>
        <v>0</v>
      </c>
      <c r="AF94" s="67"/>
      <c r="AG94" s="124">
        <f t="shared" si="31"/>
        <v>0</v>
      </c>
      <c r="AH94" s="199">
        <f t="shared" si="32"/>
        <v>0</v>
      </c>
      <c r="AI94" s="124">
        <f t="shared" si="33"/>
        <v>0</v>
      </c>
    </row>
    <row r="95" spans="1:35" s="34" customFormat="1" ht="20.25" customHeight="1">
      <c r="A95" s="70" t="s">
        <v>104</v>
      </c>
      <c r="B95" s="71">
        <f>H95+J95+L95+N95+P95+R95+T95+V95+X95+Z95+AB95+AD95</f>
        <v>0</v>
      </c>
      <c r="C95" s="72">
        <f>H95+J95+L95+N95+P95+R95+T95+V95+X95+Z95+AB95</f>
        <v>0</v>
      </c>
      <c r="D95" s="72">
        <v>0</v>
      </c>
      <c r="E95" s="72">
        <f>I95+K95+M95+O95+Q95+S95+U95+W95+Y95+AA95+AC95+AE95</f>
        <v>0</v>
      </c>
      <c r="F95" s="73">
        <v>0</v>
      </c>
      <c r="G95" s="73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/>
      <c r="U95" s="72"/>
      <c r="V95" s="72">
        <v>0</v>
      </c>
      <c r="W95" s="72">
        <v>0</v>
      </c>
      <c r="X95" s="72">
        <v>0</v>
      </c>
      <c r="Y95" s="72">
        <v>0</v>
      </c>
      <c r="Z95" s="72"/>
      <c r="AA95" s="72"/>
      <c r="AB95" s="72"/>
      <c r="AC95" s="72">
        <v>0</v>
      </c>
      <c r="AD95" s="72">
        <v>0</v>
      </c>
      <c r="AE95" s="72">
        <v>0</v>
      </c>
      <c r="AF95" s="72"/>
      <c r="AG95" s="124">
        <f t="shared" si="31"/>
        <v>0</v>
      </c>
      <c r="AH95" s="199">
        <f t="shared" si="32"/>
        <v>0</v>
      </c>
      <c r="AI95" s="124">
        <f t="shared" si="33"/>
        <v>0</v>
      </c>
    </row>
    <row r="96" spans="1:35" s="39" customFormat="1" ht="25.5" customHeight="1">
      <c r="A96" s="66" t="s">
        <v>107</v>
      </c>
      <c r="B96" s="67">
        <f>B97+B98</f>
        <v>25856.8001</v>
      </c>
      <c r="C96" s="67">
        <f>C97+C98</f>
        <v>1644.60934</v>
      </c>
      <c r="D96" s="67">
        <f t="shared" ref="D96:AE96" si="67">D97+D98</f>
        <v>1642.2930000000001</v>
      </c>
      <c r="E96" s="67">
        <f t="shared" si="67"/>
        <v>1055.2775099999999</v>
      </c>
      <c r="F96" s="68">
        <f>E96/B96</f>
        <v>4.0812378404085657E-2</v>
      </c>
      <c r="G96" s="68">
        <f>E96/C96</f>
        <v>0.64165846826578277</v>
      </c>
      <c r="H96" s="67">
        <f t="shared" si="67"/>
        <v>524.64462000000003</v>
      </c>
      <c r="I96" s="67">
        <f t="shared" si="67"/>
        <v>484.70751000000001</v>
      </c>
      <c r="J96" s="67">
        <f t="shared" si="67"/>
        <v>1119.9647199999999</v>
      </c>
      <c r="K96" s="67">
        <f t="shared" si="67"/>
        <v>570.56999999999994</v>
      </c>
      <c r="L96" s="67">
        <f t="shared" si="67"/>
        <v>1041.7377200000001</v>
      </c>
      <c r="M96" s="67">
        <f t="shared" si="67"/>
        <v>0</v>
      </c>
      <c r="N96" s="67">
        <f t="shared" si="67"/>
        <v>1997.9212200000002</v>
      </c>
      <c r="O96" s="67">
        <f t="shared" si="67"/>
        <v>0</v>
      </c>
      <c r="P96" s="67">
        <f t="shared" si="67"/>
        <v>1523.66832</v>
      </c>
      <c r="Q96" s="67">
        <f t="shared" si="67"/>
        <v>0</v>
      </c>
      <c r="R96" s="67">
        <f t="shared" si="67"/>
        <v>4907.1832199999999</v>
      </c>
      <c r="S96" s="67">
        <f t="shared" si="67"/>
        <v>0</v>
      </c>
      <c r="T96" s="67">
        <f t="shared" si="67"/>
        <v>5398.2672200000006</v>
      </c>
      <c r="U96" s="67">
        <f t="shared" si="67"/>
        <v>0</v>
      </c>
      <c r="V96" s="67">
        <f t="shared" si="67"/>
        <v>4877.7767199999998</v>
      </c>
      <c r="W96" s="67">
        <f t="shared" si="67"/>
        <v>0</v>
      </c>
      <c r="X96" s="67">
        <f t="shared" si="67"/>
        <v>1143.4297200000001</v>
      </c>
      <c r="Y96" s="67">
        <f t="shared" si="67"/>
        <v>0</v>
      </c>
      <c r="Z96" s="67">
        <f t="shared" si="67"/>
        <v>1309.4687200000001</v>
      </c>
      <c r="AA96" s="67">
        <f t="shared" si="67"/>
        <v>0</v>
      </c>
      <c r="AB96" s="67">
        <f t="shared" si="67"/>
        <v>820.06971999999996</v>
      </c>
      <c r="AC96" s="67">
        <f t="shared" si="67"/>
        <v>0</v>
      </c>
      <c r="AD96" s="67">
        <f t="shared" si="67"/>
        <v>1192.6681800000001</v>
      </c>
      <c r="AE96" s="67">
        <f t="shared" si="67"/>
        <v>0</v>
      </c>
      <c r="AF96" s="38"/>
      <c r="AG96" s="124">
        <f t="shared" si="31"/>
        <v>25856.800100000004</v>
      </c>
      <c r="AH96" s="199">
        <f t="shared" si="32"/>
        <v>1644.60934</v>
      </c>
      <c r="AI96" s="124">
        <f t="shared" si="33"/>
        <v>1055.2775099999999</v>
      </c>
    </row>
    <row r="97" spans="1:43" s="34" customFormat="1" ht="24" customHeight="1">
      <c r="A97" s="70" t="s">
        <v>104</v>
      </c>
      <c r="B97" s="71">
        <f>B11+B78+B95</f>
        <v>6403.6999999999989</v>
      </c>
      <c r="C97" s="71">
        <f t="shared" ref="C97:AE97" si="68">C11+C78+C95</f>
        <v>851.31633999999997</v>
      </c>
      <c r="D97" s="71">
        <f t="shared" si="68"/>
        <v>849</v>
      </c>
      <c r="E97" s="71">
        <f t="shared" si="68"/>
        <v>769.95750999999996</v>
      </c>
      <c r="F97" s="115">
        <f>E97/B97</f>
        <v>0.12023634929806207</v>
      </c>
      <c r="G97" s="115">
        <f>E97/C97</f>
        <v>0.90443172980798181</v>
      </c>
      <c r="H97" s="71">
        <f t="shared" si="68"/>
        <v>524.64462000000003</v>
      </c>
      <c r="I97" s="71">
        <f t="shared" si="68"/>
        <v>484.70751000000001</v>
      </c>
      <c r="J97" s="71">
        <f t="shared" si="68"/>
        <v>326.67171999999999</v>
      </c>
      <c r="K97" s="71">
        <f t="shared" si="68"/>
        <v>285.25</v>
      </c>
      <c r="L97" s="71">
        <f t="shared" si="68"/>
        <v>239.90071999999998</v>
      </c>
      <c r="M97" s="71">
        <f t="shared" si="68"/>
        <v>0</v>
      </c>
      <c r="N97" s="71">
        <f t="shared" si="68"/>
        <v>555.00472000000002</v>
      </c>
      <c r="O97" s="71">
        <f t="shared" si="68"/>
        <v>0</v>
      </c>
      <c r="P97" s="71">
        <f t="shared" si="68"/>
        <v>513.86871999999994</v>
      </c>
      <c r="Q97" s="71">
        <f t="shared" si="68"/>
        <v>0</v>
      </c>
      <c r="R97" s="71">
        <f t="shared" si="68"/>
        <v>832.29671999999994</v>
      </c>
      <c r="S97" s="71">
        <f t="shared" si="68"/>
        <v>0</v>
      </c>
      <c r="T97" s="71">
        <f t="shared" si="68"/>
        <v>1406.94372</v>
      </c>
      <c r="U97" s="71">
        <f t="shared" si="68"/>
        <v>0</v>
      </c>
      <c r="V97" s="71">
        <f t="shared" si="68"/>
        <v>919.56371999999999</v>
      </c>
      <c r="W97" s="71">
        <f t="shared" si="68"/>
        <v>0</v>
      </c>
      <c r="X97" s="71">
        <f t="shared" si="68"/>
        <v>314.60172</v>
      </c>
      <c r="Y97" s="71">
        <f t="shared" si="68"/>
        <v>0</v>
      </c>
      <c r="Z97" s="71">
        <f t="shared" si="68"/>
        <v>338.54372000000001</v>
      </c>
      <c r="AA97" s="71">
        <f t="shared" si="68"/>
        <v>0</v>
      </c>
      <c r="AB97" s="71">
        <f t="shared" si="68"/>
        <v>144.49172000000002</v>
      </c>
      <c r="AC97" s="71">
        <f t="shared" si="68"/>
        <v>0</v>
      </c>
      <c r="AD97" s="71">
        <f t="shared" si="68"/>
        <v>287.16818000000001</v>
      </c>
      <c r="AE97" s="71">
        <f t="shared" si="68"/>
        <v>0</v>
      </c>
      <c r="AF97" s="71"/>
      <c r="AG97" s="124">
        <f t="shared" si="31"/>
        <v>6403.6999999999989</v>
      </c>
      <c r="AH97" s="199">
        <f t="shared" si="32"/>
        <v>851.31634000000008</v>
      </c>
      <c r="AI97" s="124">
        <f t="shared" si="33"/>
        <v>769.95750999999996</v>
      </c>
    </row>
    <row r="98" spans="1:43" s="34" customFormat="1" ht="24" customHeight="1">
      <c r="A98" s="74" t="s">
        <v>105</v>
      </c>
      <c r="B98" s="75">
        <f>B12+B79</f>
        <v>19453.100100000003</v>
      </c>
      <c r="C98" s="75">
        <f t="shared" ref="C98:AE98" si="69">C12+C79</f>
        <v>793.29300000000001</v>
      </c>
      <c r="D98" s="75">
        <f t="shared" si="69"/>
        <v>793.29300000000001</v>
      </c>
      <c r="E98" s="75">
        <f t="shared" si="69"/>
        <v>285.32</v>
      </c>
      <c r="F98" s="116">
        <f>E98/B98</f>
        <v>1.4667070982686197E-2</v>
      </c>
      <c r="G98" s="116">
        <f>E98/C98</f>
        <v>0.3596653443305311</v>
      </c>
      <c r="H98" s="75">
        <f t="shared" si="69"/>
        <v>0</v>
      </c>
      <c r="I98" s="75">
        <f t="shared" si="69"/>
        <v>0</v>
      </c>
      <c r="J98" s="75">
        <f t="shared" si="69"/>
        <v>793.29300000000001</v>
      </c>
      <c r="K98" s="75">
        <f t="shared" si="69"/>
        <v>285.32</v>
      </c>
      <c r="L98" s="75">
        <f t="shared" si="69"/>
        <v>801.83699999999999</v>
      </c>
      <c r="M98" s="75">
        <f t="shared" si="69"/>
        <v>0</v>
      </c>
      <c r="N98" s="75">
        <f t="shared" si="69"/>
        <v>1442.9165</v>
      </c>
      <c r="O98" s="75">
        <f t="shared" si="69"/>
        <v>0</v>
      </c>
      <c r="P98" s="75">
        <f t="shared" si="69"/>
        <v>1009.7996000000001</v>
      </c>
      <c r="Q98" s="75">
        <f t="shared" si="69"/>
        <v>0</v>
      </c>
      <c r="R98" s="75">
        <f t="shared" si="69"/>
        <v>4074.8865000000001</v>
      </c>
      <c r="S98" s="75">
        <f t="shared" si="69"/>
        <v>0</v>
      </c>
      <c r="T98" s="75">
        <f t="shared" si="69"/>
        <v>3991.3235000000004</v>
      </c>
      <c r="U98" s="75">
        <f t="shared" si="69"/>
        <v>0</v>
      </c>
      <c r="V98" s="75">
        <f t="shared" si="69"/>
        <v>3958.2129999999997</v>
      </c>
      <c r="W98" s="75">
        <f t="shared" si="69"/>
        <v>0</v>
      </c>
      <c r="X98" s="75">
        <f t="shared" si="69"/>
        <v>828.82799999999997</v>
      </c>
      <c r="Y98" s="75">
        <f t="shared" si="69"/>
        <v>0</v>
      </c>
      <c r="Z98" s="75">
        <f t="shared" si="69"/>
        <v>970.92500000000007</v>
      </c>
      <c r="AA98" s="75">
        <f t="shared" si="69"/>
        <v>0</v>
      </c>
      <c r="AB98" s="75">
        <f t="shared" si="69"/>
        <v>675.57799999999997</v>
      </c>
      <c r="AC98" s="75">
        <f t="shared" si="69"/>
        <v>0</v>
      </c>
      <c r="AD98" s="75">
        <f t="shared" si="69"/>
        <v>905.5</v>
      </c>
      <c r="AE98" s="75">
        <f t="shared" si="69"/>
        <v>0</v>
      </c>
      <c r="AF98" s="75"/>
      <c r="AG98" s="124">
        <f t="shared" si="31"/>
        <v>19453.100100000003</v>
      </c>
      <c r="AH98" s="199">
        <f t="shared" si="32"/>
        <v>793.29300000000001</v>
      </c>
      <c r="AI98" s="124">
        <f t="shared" si="33"/>
        <v>285.32</v>
      </c>
    </row>
    <row r="99" spans="1:43" s="34" customFormat="1">
      <c r="A99" s="40"/>
      <c r="B99" s="40"/>
      <c r="C99" s="41"/>
      <c r="D99" s="41"/>
      <c r="E99" s="42"/>
      <c r="F99" s="42"/>
      <c r="G99" s="4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4"/>
      <c r="AH99" s="35"/>
    </row>
    <row r="100" spans="1:43" s="34" customFormat="1" ht="42" customHeight="1">
      <c r="A100" s="121" t="s">
        <v>131</v>
      </c>
      <c r="B100" s="242"/>
      <c r="C100" s="242"/>
      <c r="D100" s="243" t="s">
        <v>132</v>
      </c>
      <c r="E100" s="244"/>
      <c r="F100" s="244"/>
      <c r="G100" s="244"/>
      <c r="H100" s="245"/>
      <c r="I100" s="245"/>
      <c r="J100" s="245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4"/>
      <c r="AH100" s="35"/>
    </row>
    <row r="101" spans="1:43" ht="15.75" customHeight="1">
      <c r="B101" s="53" t="s">
        <v>108</v>
      </c>
      <c r="D101" s="246" t="s">
        <v>109</v>
      </c>
      <c r="E101" s="246"/>
      <c r="F101" s="246"/>
      <c r="G101" s="56"/>
      <c r="H101" s="247"/>
      <c r="I101" s="247"/>
      <c r="J101" s="247"/>
      <c r="M101" s="33"/>
      <c r="N101" s="33"/>
      <c r="U101" s="46"/>
      <c r="AA101" s="55"/>
      <c r="AB101" s="55"/>
      <c r="AC101" s="55"/>
      <c r="AD101" s="47"/>
    </row>
    <row r="102" spans="1:43" ht="15.75" customHeight="1">
      <c r="A102" s="46"/>
      <c r="B102" s="45"/>
      <c r="E102" s="46"/>
      <c r="F102" s="47"/>
      <c r="G102" s="47"/>
      <c r="H102" s="48"/>
      <c r="I102" s="49"/>
      <c r="M102" s="33"/>
      <c r="N102" s="33"/>
      <c r="R102" s="50"/>
      <c r="S102" s="19"/>
      <c r="U102" s="46"/>
      <c r="V102" s="20"/>
      <c r="W102" s="20"/>
      <c r="X102" s="20"/>
      <c r="Y102" s="20"/>
      <c r="AA102" s="20"/>
      <c r="AB102" s="33"/>
      <c r="AC102" s="55"/>
      <c r="AD102" s="47"/>
      <c r="AE102" s="20"/>
      <c r="AF102" s="19"/>
      <c r="AG102" s="19"/>
      <c r="AH102" s="51"/>
      <c r="AI102" s="19"/>
      <c r="AJ102" s="19"/>
      <c r="AK102" s="19"/>
      <c r="AL102" s="19"/>
      <c r="AM102" s="19"/>
      <c r="AN102" s="19"/>
      <c r="AO102" s="19"/>
      <c r="AP102" s="19"/>
      <c r="AQ102" s="18"/>
    </row>
    <row r="103" spans="1:43" ht="18.75" customHeight="1">
      <c r="A103" s="241" t="s">
        <v>110</v>
      </c>
      <c r="B103" s="241"/>
      <c r="C103" s="241"/>
      <c r="D103" s="241"/>
      <c r="E103" s="241"/>
      <c r="F103" s="241"/>
      <c r="G103" s="241"/>
      <c r="H103" s="241"/>
      <c r="U103" s="52"/>
      <c r="Y103" s="52"/>
    </row>
    <row r="104" spans="1:43" ht="15.75" customHeight="1">
      <c r="A104" s="18" t="s">
        <v>128</v>
      </c>
    </row>
    <row r="105" spans="1:43" ht="15.75" customHeight="1">
      <c r="A105" s="59"/>
    </row>
    <row r="106" spans="1:43" ht="15.75" customHeight="1"/>
    <row r="107" spans="1:43" ht="15.75" customHeight="1"/>
    <row r="108" spans="1:43" ht="15.75" customHeight="1">
      <c r="F108" s="20"/>
      <c r="G108" s="20"/>
    </row>
    <row r="109" spans="1:43" ht="15.75" customHeight="1"/>
  </sheetData>
  <mergeCells count="33">
    <mergeCell ref="A103:H103"/>
    <mergeCell ref="AF80:AF82"/>
    <mergeCell ref="B100:C100"/>
    <mergeCell ref="D100:G100"/>
    <mergeCell ref="H100:J100"/>
    <mergeCell ref="D101:F101"/>
    <mergeCell ref="H101:J101"/>
    <mergeCell ref="X5:Y5"/>
    <mergeCell ref="Z5:AA5"/>
    <mergeCell ref="AB5:AC5"/>
    <mergeCell ref="AD5:AE5"/>
    <mergeCell ref="AF5:AF6"/>
    <mergeCell ref="AF39:AF47"/>
    <mergeCell ref="AF57:AF66"/>
    <mergeCell ref="AF67:AF69"/>
    <mergeCell ref="AF13:AF21"/>
    <mergeCell ref="AF29:AF35"/>
    <mergeCell ref="V5:W5"/>
    <mergeCell ref="A2:AC2"/>
    <mergeCell ref="A3:AC3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fitToWidth="0" orientation="landscape" r:id="rId1"/>
  <rowBreaks count="1" manualBreakCount="1">
    <brk id="75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3:AB85"/>
  <sheetViews>
    <sheetView workbookViewId="0">
      <selection activeCell="D7" sqref="D7"/>
    </sheetView>
  </sheetViews>
  <sheetFormatPr defaultRowHeight="12.75"/>
  <cols>
    <col min="1" max="2" width="0.42578125" style="1" customWidth="1"/>
    <col min="3" max="3" width="15.28515625" style="1" customWidth="1"/>
    <col min="4" max="4" width="98.7109375" style="1" customWidth="1"/>
    <col min="5" max="5" width="28.42578125" style="1" customWidth="1"/>
    <col min="6" max="6" width="25.140625" style="1" customWidth="1"/>
    <col min="7" max="7" width="16.42578125" style="175" customWidth="1"/>
    <col min="8" max="8" width="13.42578125" style="175" customWidth="1"/>
    <col min="9" max="9" width="13" style="175" customWidth="1"/>
    <col min="10" max="10" width="12.5703125" style="1" customWidth="1"/>
    <col min="11" max="16384" width="9.140625" style="1"/>
  </cols>
  <sheetData>
    <row r="3" spans="3:10" ht="15">
      <c r="G3" s="161"/>
      <c r="H3" s="161"/>
      <c r="I3" s="161"/>
      <c r="J3" s="162" t="s">
        <v>149</v>
      </c>
    </row>
    <row r="4" spans="3:10" ht="15" customHeight="1">
      <c r="G4" s="249" t="s">
        <v>150</v>
      </c>
      <c r="H4" s="249"/>
      <c r="I4" s="249"/>
      <c r="J4" s="249"/>
    </row>
    <row r="5" spans="3:10" ht="15" customHeight="1">
      <c r="G5" s="161"/>
      <c r="H5" s="249" t="s">
        <v>69</v>
      </c>
      <c r="I5" s="249"/>
      <c r="J5" s="249"/>
    </row>
    <row r="7" spans="3:10" s="4" customFormat="1" ht="15">
      <c r="C7" s="163"/>
      <c r="D7" s="163"/>
      <c r="E7" s="250" t="s">
        <v>151</v>
      </c>
      <c r="F7" s="250"/>
      <c r="G7" s="250"/>
      <c r="H7" s="250"/>
      <c r="I7" s="250"/>
      <c r="J7" s="250"/>
    </row>
    <row r="8" spans="3:10" s="4" customFormat="1" ht="15" customHeight="1">
      <c r="C8" s="163"/>
      <c r="D8" s="163"/>
      <c r="E8" s="250" t="s">
        <v>152</v>
      </c>
      <c r="F8" s="250"/>
      <c r="G8" s="250"/>
      <c r="H8" s="250"/>
      <c r="I8" s="250"/>
      <c r="J8" s="250"/>
    </row>
    <row r="9" spans="3:10" s="4" customFormat="1">
      <c r="C9" s="163"/>
      <c r="D9" s="163"/>
      <c r="E9" s="163"/>
      <c r="F9" s="164"/>
      <c r="G9" s="163"/>
      <c r="H9" s="251"/>
      <c r="I9" s="251"/>
      <c r="J9" s="251"/>
    </row>
    <row r="10" spans="3:10" s="4" customFormat="1">
      <c r="C10" s="163"/>
      <c r="D10" s="163"/>
      <c r="E10" s="163"/>
      <c r="F10" s="164"/>
      <c r="G10" s="163"/>
      <c r="H10" s="165"/>
      <c r="I10" s="165"/>
      <c r="J10" s="165"/>
    </row>
    <row r="11" spans="3:10" s="4" customFormat="1" ht="18" customHeight="1">
      <c r="C11" s="248" t="s">
        <v>153</v>
      </c>
      <c r="D11" s="248"/>
      <c r="E11" s="248"/>
      <c r="F11" s="248"/>
      <c r="G11" s="248"/>
      <c r="H11" s="248"/>
      <c r="I11" s="248"/>
      <c r="J11" s="248"/>
    </row>
    <row r="12" spans="3:10" s="4" customFormat="1" ht="18" customHeight="1">
      <c r="C12" s="248" t="s">
        <v>154</v>
      </c>
      <c r="D12" s="248"/>
      <c r="E12" s="248"/>
      <c r="F12" s="248"/>
      <c r="G12" s="248"/>
      <c r="H12" s="248"/>
      <c r="I12" s="248"/>
      <c r="J12" s="248"/>
    </row>
    <row r="13" spans="3:10" s="4" customFormat="1" ht="20.25" customHeight="1">
      <c r="C13" s="166"/>
      <c r="D13" s="166"/>
      <c r="E13" s="166"/>
      <c r="F13" s="166"/>
      <c r="G13" s="166"/>
      <c r="H13" s="166"/>
      <c r="I13" s="166"/>
      <c r="J13" s="166"/>
    </row>
    <row r="14" spans="3:10" s="4" customFormat="1" ht="31.5" customHeight="1">
      <c r="C14" s="252" t="s">
        <v>155</v>
      </c>
      <c r="D14" s="252" t="s">
        <v>156</v>
      </c>
      <c r="E14" s="252" t="s">
        <v>157</v>
      </c>
      <c r="F14" s="252" t="s">
        <v>2</v>
      </c>
      <c r="G14" s="252" t="s">
        <v>158</v>
      </c>
      <c r="H14" s="252"/>
      <c r="I14" s="252"/>
      <c r="J14" s="252"/>
    </row>
    <row r="15" spans="3:10" s="4" customFormat="1" ht="15" customHeight="1">
      <c r="C15" s="252"/>
      <c r="D15" s="252"/>
      <c r="E15" s="252"/>
      <c r="F15" s="252"/>
      <c r="G15" s="252" t="s">
        <v>3</v>
      </c>
      <c r="H15" s="253"/>
      <c r="I15" s="253"/>
      <c r="J15" s="254"/>
    </row>
    <row r="16" spans="3:10" s="4" customFormat="1" ht="18.75" customHeight="1">
      <c r="C16" s="252"/>
      <c r="D16" s="252"/>
      <c r="E16" s="252"/>
      <c r="F16" s="252"/>
      <c r="G16" s="252"/>
      <c r="H16" s="167">
        <v>2018</v>
      </c>
      <c r="I16" s="167">
        <v>2019</v>
      </c>
      <c r="J16" s="167">
        <v>2020</v>
      </c>
    </row>
    <row r="17" spans="3:11" s="4" customFormat="1">
      <c r="C17" s="168">
        <v>1</v>
      </c>
      <c r="D17" s="168">
        <v>2</v>
      </c>
      <c r="E17" s="168">
        <v>3</v>
      </c>
      <c r="F17" s="168">
        <v>4</v>
      </c>
      <c r="G17" s="168">
        <v>5</v>
      </c>
      <c r="H17" s="168">
        <v>6</v>
      </c>
      <c r="I17" s="168">
        <v>7</v>
      </c>
      <c r="J17" s="168">
        <v>8</v>
      </c>
    </row>
    <row r="18" spans="3:11" s="163" customFormat="1" ht="24.75" customHeight="1">
      <c r="C18" s="255" t="s">
        <v>58</v>
      </c>
      <c r="D18" s="256"/>
      <c r="E18" s="256"/>
      <c r="F18" s="256"/>
      <c r="G18" s="256"/>
      <c r="H18" s="256"/>
      <c r="I18" s="256"/>
      <c r="J18" s="257"/>
    </row>
    <row r="19" spans="3:11" s="163" customFormat="1" ht="18.75" customHeight="1">
      <c r="C19" s="258" t="s">
        <v>31</v>
      </c>
      <c r="D19" s="260" t="s">
        <v>159</v>
      </c>
      <c r="E19" s="263"/>
      <c r="F19" s="169" t="s">
        <v>3</v>
      </c>
      <c r="G19" s="170">
        <f>G20+G21</f>
        <v>68480.100000000006</v>
      </c>
      <c r="H19" s="170">
        <f>H20+H21</f>
        <v>22827.800000000003</v>
      </c>
      <c r="I19" s="170">
        <f>I20+I21</f>
        <v>22827.100000000002</v>
      </c>
      <c r="J19" s="170">
        <f>J20+J21</f>
        <v>22825.199999999997</v>
      </c>
    </row>
    <row r="20" spans="3:11" s="163" customFormat="1" ht="55.5" customHeight="1">
      <c r="C20" s="259"/>
      <c r="D20" s="261"/>
      <c r="E20" s="263"/>
      <c r="F20" s="171" t="s">
        <v>160</v>
      </c>
      <c r="G20" s="172">
        <f>H20+I20+J20</f>
        <v>10124.099999999999</v>
      </c>
      <c r="H20" s="172">
        <f>H23+H26+H29+H40+H34</f>
        <v>3374.7</v>
      </c>
      <c r="I20" s="172">
        <f>I23+I26+I29+I40+I34</f>
        <v>3374.7</v>
      </c>
      <c r="J20" s="172">
        <f>J23+J26+J29+J40+J34</f>
        <v>3374.7</v>
      </c>
    </row>
    <row r="21" spans="3:11" s="163" customFormat="1" ht="16.5" customHeight="1">
      <c r="C21" s="259"/>
      <c r="D21" s="262"/>
      <c r="E21" s="263"/>
      <c r="F21" s="171" t="s">
        <v>161</v>
      </c>
      <c r="G21" s="172">
        <f>H21+I21+J21</f>
        <v>58356</v>
      </c>
      <c r="H21" s="172">
        <f>H24+H27+H30+H31+H36+H39</f>
        <v>19453.100000000002</v>
      </c>
      <c r="I21" s="172">
        <f>I24+I27+I30+I31+I36+I39</f>
        <v>19452.400000000001</v>
      </c>
      <c r="J21" s="172">
        <f>J24+J27+J30+J31+J36+J39</f>
        <v>19450.499999999996</v>
      </c>
    </row>
    <row r="22" spans="3:11" s="4" customFormat="1" ht="18" customHeight="1">
      <c r="C22" s="264" t="s">
        <v>162</v>
      </c>
      <c r="D22" s="265" t="s">
        <v>163</v>
      </c>
      <c r="E22" s="266" t="s">
        <v>164</v>
      </c>
      <c r="F22" s="171" t="s">
        <v>3</v>
      </c>
      <c r="G22" s="172">
        <f>G23+G24</f>
        <v>28245.9</v>
      </c>
      <c r="H22" s="172">
        <f>H23+H24</f>
        <v>9414.7999999999993</v>
      </c>
      <c r="I22" s="172">
        <f t="shared" ref="I22:J22" si="0">I23+I24</f>
        <v>9416.2000000000007</v>
      </c>
      <c r="J22" s="172">
        <f t="shared" si="0"/>
        <v>9414.9</v>
      </c>
    </row>
    <row r="23" spans="3:11" s="4" customFormat="1" ht="20.25" customHeight="1">
      <c r="C23" s="264"/>
      <c r="D23" s="265"/>
      <c r="E23" s="266"/>
      <c r="F23" s="171" t="s">
        <v>165</v>
      </c>
      <c r="G23" s="172">
        <f>H23+I23+J23</f>
        <v>2520</v>
      </c>
      <c r="H23" s="172">
        <v>840</v>
      </c>
      <c r="I23" s="172">
        <v>840</v>
      </c>
      <c r="J23" s="172">
        <v>840</v>
      </c>
    </row>
    <row r="24" spans="3:11" s="4" customFormat="1" ht="20.25" customHeight="1">
      <c r="C24" s="264"/>
      <c r="D24" s="265"/>
      <c r="E24" s="266"/>
      <c r="F24" s="171" t="s">
        <v>161</v>
      </c>
      <c r="G24" s="172">
        <f>H24+I24+J24</f>
        <v>25725.9</v>
      </c>
      <c r="H24" s="172">
        <f>(7942.1+52.7+580)</f>
        <v>8574.7999999999993</v>
      </c>
      <c r="I24" s="172">
        <f>7943.5+52.7+580</f>
        <v>8576.2000000000007</v>
      </c>
      <c r="J24" s="172">
        <f>7942.2+52.7+580</f>
        <v>8574.9</v>
      </c>
    </row>
    <row r="25" spans="3:11" s="4" customFormat="1" ht="18.75" customHeight="1">
      <c r="C25" s="264" t="s">
        <v>166</v>
      </c>
      <c r="D25" s="265" t="s">
        <v>167</v>
      </c>
      <c r="E25" s="266" t="s">
        <v>164</v>
      </c>
      <c r="F25" s="171" t="s">
        <v>3</v>
      </c>
      <c r="G25" s="172">
        <f>G26+G27</f>
        <v>3565.8</v>
      </c>
      <c r="H25" s="172">
        <f t="shared" ref="H25:J25" si="1">H26+H27</f>
        <v>1189</v>
      </c>
      <c r="I25" s="172">
        <f t="shared" si="1"/>
        <v>1188.4000000000001</v>
      </c>
      <c r="J25" s="172">
        <f t="shared" si="1"/>
        <v>1188.4000000000001</v>
      </c>
    </row>
    <row r="26" spans="3:11" s="4" customFormat="1" ht="23.25" customHeight="1">
      <c r="C26" s="264"/>
      <c r="D26" s="265"/>
      <c r="E26" s="266"/>
      <c r="F26" s="171" t="s">
        <v>165</v>
      </c>
      <c r="G26" s="172">
        <f>H26+I26+J26</f>
        <v>340.20000000000005</v>
      </c>
      <c r="H26" s="172">
        <v>113.4</v>
      </c>
      <c r="I26" s="172">
        <v>113.4</v>
      </c>
      <c r="J26" s="172">
        <v>113.4</v>
      </c>
    </row>
    <row r="27" spans="3:11" s="4" customFormat="1" ht="21.75" customHeight="1">
      <c r="C27" s="264"/>
      <c r="D27" s="265"/>
      <c r="E27" s="266"/>
      <c r="F27" s="171" t="s">
        <v>161</v>
      </c>
      <c r="G27" s="172">
        <f>H27+I27+J27</f>
        <v>3225.6</v>
      </c>
      <c r="H27" s="172">
        <f>1075.6</f>
        <v>1075.5999999999999</v>
      </c>
      <c r="I27" s="172">
        <f>1075</f>
        <v>1075</v>
      </c>
      <c r="J27" s="172">
        <f>1075</f>
        <v>1075</v>
      </c>
    </row>
    <row r="28" spans="3:11" s="4" customFormat="1" ht="22.5" customHeight="1">
      <c r="C28" s="264" t="s">
        <v>168</v>
      </c>
      <c r="D28" s="265" t="s">
        <v>12</v>
      </c>
      <c r="E28" s="266" t="s">
        <v>164</v>
      </c>
      <c r="F28" s="171" t="s">
        <v>3</v>
      </c>
      <c r="G28" s="172">
        <f t="shared" ref="G28:J28" si="2">G29+G30</f>
        <v>5662.5</v>
      </c>
      <c r="H28" s="172">
        <f t="shared" si="2"/>
        <v>1887.6</v>
      </c>
      <c r="I28" s="172">
        <f t="shared" si="2"/>
        <v>1887.5</v>
      </c>
      <c r="J28" s="172">
        <f t="shared" si="2"/>
        <v>1887.4</v>
      </c>
    </row>
    <row r="29" spans="3:11" s="4" customFormat="1" ht="19.5" customHeight="1">
      <c r="C29" s="264"/>
      <c r="D29" s="265"/>
      <c r="E29" s="266"/>
      <c r="F29" s="171" t="s">
        <v>165</v>
      </c>
      <c r="G29" s="172">
        <f>H29+I29+J29</f>
        <v>2863.5</v>
      </c>
      <c r="H29" s="172">
        <f>954.54-0.04</f>
        <v>954.5</v>
      </c>
      <c r="I29" s="172">
        <f t="shared" ref="I29:J29" si="3">954.54-0.04</f>
        <v>954.5</v>
      </c>
      <c r="J29" s="172">
        <f t="shared" si="3"/>
        <v>954.5</v>
      </c>
      <c r="K29" s="8"/>
    </row>
    <row r="30" spans="3:11" s="4" customFormat="1" ht="21" customHeight="1">
      <c r="C30" s="264"/>
      <c r="D30" s="265"/>
      <c r="E30" s="266"/>
      <c r="F30" s="171" t="s">
        <v>161</v>
      </c>
      <c r="G30" s="172">
        <f>H30+I30+J30</f>
        <v>2799</v>
      </c>
      <c r="H30" s="172">
        <f>880.6+52.5</f>
        <v>933.1</v>
      </c>
      <c r="I30" s="172">
        <f>880.5+52.5</f>
        <v>933</v>
      </c>
      <c r="J30" s="172">
        <f>880.4+52.5</f>
        <v>932.9</v>
      </c>
    </row>
    <row r="31" spans="3:11" s="4" customFormat="1" ht="56.25" customHeight="1">
      <c r="C31" s="173" t="s">
        <v>169</v>
      </c>
      <c r="D31" s="171" t="s">
        <v>170</v>
      </c>
      <c r="E31" s="168" t="s">
        <v>164</v>
      </c>
      <c r="F31" s="171" t="s">
        <v>171</v>
      </c>
      <c r="G31" s="172">
        <f>H31+I31+J31</f>
        <v>5397</v>
      </c>
      <c r="H31" s="172">
        <f>1526.6+272.3</f>
        <v>1798.8999999999999</v>
      </c>
      <c r="I31" s="172">
        <f>1799.2</f>
        <v>1799.2</v>
      </c>
      <c r="J31" s="172">
        <f>1526.6+272.3</f>
        <v>1798.8999999999999</v>
      </c>
    </row>
    <row r="32" spans="3:11" s="4" customFormat="1" ht="56.25" customHeight="1">
      <c r="C32" s="173" t="s">
        <v>172</v>
      </c>
      <c r="D32" s="171" t="s">
        <v>15</v>
      </c>
      <c r="E32" s="168" t="s">
        <v>164</v>
      </c>
      <c r="F32" s="266" t="s">
        <v>16</v>
      </c>
      <c r="G32" s="266"/>
      <c r="H32" s="266"/>
      <c r="I32" s="266"/>
      <c r="J32" s="266"/>
    </row>
    <row r="33" spans="3:11" s="4" customFormat="1" ht="16.5" customHeight="1">
      <c r="C33" s="276" t="s">
        <v>173</v>
      </c>
      <c r="D33" s="278" t="s">
        <v>174</v>
      </c>
      <c r="E33" s="273"/>
      <c r="F33" s="171" t="s">
        <v>3</v>
      </c>
      <c r="G33" s="174">
        <f>G34+G35</f>
        <v>25608.9</v>
      </c>
      <c r="H33" s="174">
        <f t="shared" ref="H33:J33" si="4">H34+H35</f>
        <v>8537.5</v>
      </c>
      <c r="I33" s="174">
        <f t="shared" si="4"/>
        <v>8535.7999999999993</v>
      </c>
      <c r="J33" s="174">
        <f t="shared" si="4"/>
        <v>8535.5999999999985</v>
      </c>
    </row>
    <row r="34" spans="3:11" s="4" customFormat="1" ht="18" customHeight="1">
      <c r="C34" s="277"/>
      <c r="D34" s="279"/>
      <c r="E34" s="274"/>
      <c r="F34" s="171" t="s">
        <v>165</v>
      </c>
      <c r="G34" s="172">
        <f>H34+I34+J34</f>
        <v>4400.3999999999996</v>
      </c>
      <c r="H34" s="174">
        <f t="shared" ref="H34:J34" si="5">H38</f>
        <v>1466.8</v>
      </c>
      <c r="I34" s="174">
        <f t="shared" si="5"/>
        <v>1466.8</v>
      </c>
      <c r="J34" s="174">
        <f t="shared" si="5"/>
        <v>1466.8</v>
      </c>
    </row>
    <row r="35" spans="3:11" s="4" customFormat="1" ht="18.75" customHeight="1">
      <c r="C35" s="277"/>
      <c r="D35" s="279"/>
      <c r="E35" s="275"/>
      <c r="F35" s="171" t="s">
        <v>161</v>
      </c>
      <c r="G35" s="172">
        <f>H35+I35+J35</f>
        <v>21208.5</v>
      </c>
      <c r="H35" s="174">
        <f t="shared" ref="H35:J35" si="6">H36+H39</f>
        <v>7070.7</v>
      </c>
      <c r="I35" s="174">
        <f t="shared" si="6"/>
        <v>7069</v>
      </c>
      <c r="J35" s="174">
        <f t="shared" si="6"/>
        <v>7068.7999999999993</v>
      </c>
    </row>
    <row r="36" spans="3:11" ht="57.75" customHeight="1">
      <c r="C36" s="277"/>
      <c r="D36" s="279"/>
      <c r="E36" s="168" t="s">
        <v>65</v>
      </c>
      <c r="F36" s="171" t="s">
        <v>161</v>
      </c>
      <c r="G36" s="172">
        <f>H36+I36+J36</f>
        <v>14116.5</v>
      </c>
      <c r="H36" s="172">
        <f>4705.5</f>
        <v>4705.5</v>
      </c>
      <c r="I36" s="172">
        <f t="shared" ref="I36:J36" si="7">4705.5</f>
        <v>4705.5</v>
      </c>
      <c r="J36" s="172">
        <f t="shared" si="7"/>
        <v>4705.5</v>
      </c>
    </row>
    <row r="37" spans="3:11" ht="18" customHeight="1">
      <c r="C37" s="277"/>
      <c r="D37" s="279"/>
      <c r="E37" s="273" t="s">
        <v>175</v>
      </c>
      <c r="F37" s="171" t="s">
        <v>3</v>
      </c>
      <c r="G37" s="172">
        <f>G39+G38</f>
        <v>11492.4</v>
      </c>
      <c r="H37" s="172">
        <f t="shared" ref="H37:J37" si="8">H39+H38</f>
        <v>3832</v>
      </c>
      <c r="I37" s="172">
        <f t="shared" si="8"/>
        <v>3830.3</v>
      </c>
      <c r="J37" s="172">
        <f t="shared" si="8"/>
        <v>3830.0999999999995</v>
      </c>
    </row>
    <row r="38" spans="3:11" ht="18.75" customHeight="1">
      <c r="C38" s="277"/>
      <c r="D38" s="279"/>
      <c r="E38" s="274"/>
      <c r="F38" s="171" t="s">
        <v>165</v>
      </c>
      <c r="G38" s="172">
        <f>H38+I38+J38</f>
        <v>4400.3999999999996</v>
      </c>
      <c r="H38" s="172">
        <v>1466.8</v>
      </c>
      <c r="I38" s="172">
        <v>1466.8</v>
      </c>
      <c r="J38" s="172">
        <v>1466.8</v>
      </c>
    </row>
    <row r="39" spans="3:11" ht="21" customHeight="1">
      <c r="C39" s="277"/>
      <c r="D39" s="279"/>
      <c r="E39" s="274"/>
      <c r="F39" s="171" t="s">
        <v>161</v>
      </c>
      <c r="G39" s="172">
        <f>H39+I39+J39</f>
        <v>7092</v>
      </c>
      <c r="H39" s="172">
        <f>2128.6+236.6</f>
        <v>2365.1999999999998</v>
      </c>
      <c r="I39" s="172">
        <f>2126.9+236.6</f>
        <v>2363.5</v>
      </c>
      <c r="J39" s="172">
        <f>2126.7+236.6</f>
        <v>2363.2999999999997</v>
      </c>
    </row>
    <row r="40" spans="3:11" s="175" customFormat="1" ht="43.5" customHeight="1">
      <c r="C40" s="173" t="s">
        <v>176</v>
      </c>
      <c r="D40" s="171" t="s">
        <v>177</v>
      </c>
      <c r="E40" s="168" t="s">
        <v>53</v>
      </c>
      <c r="F40" s="171" t="s">
        <v>104</v>
      </c>
      <c r="G40" s="172">
        <f>H40+I40+J40</f>
        <v>0</v>
      </c>
      <c r="H40" s="172">
        <v>0</v>
      </c>
      <c r="I40" s="172">
        <v>0</v>
      </c>
      <c r="J40" s="172">
        <v>0</v>
      </c>
    </row>
    <row r="41" spans="3:11" ht="20.25" customHeight="1">
      <c r="C41" s="263"/>
      <c r="D41" s="280" t="s">
        <v>21</v>
      </c>
      <c r="E41" s="266"/>
      <c r="F41" s="169" t="s">
        <v>3</v>
      </c>
      <c r="G41" s="170">
        <f>G42+G43</f>
        <v>68480.100000000006</v>
      </c>
      <c r="H41" s="170">
        <f>H42+H43</f>
        <v>22827.800000000003</v>
      </c>
      <c r="I41" s="170">
        <f>I42+I43</f>
        <v>22827.100000000002</v>
      </c>
      <c r="J41" s="170">
        <f>J42+J43</f>
        <v>22825.199999999997</v>
      </c>
      <c r="K41" s="175"/>
    </row>
    <row r="42" spans="3:11" ht="24" customHeight="1">
      <c r="C42" s="263"/>
      <c r="D42" s="280"/>
      <c r="E42" s="266"/>
      <c r="F42" s="171" t="s">
        <v>165</v>
      </c>
      <c r="G42" s="172">
        <f>H42+I42+J42</f>
        <v>10124.099999999999</v>
      </c>
      <c r="H42" s="172">
        <f t="shared" ref="H42:J42" si="9">H20</f>
        <v>3374.7</v>
      </c>
      <c r="I42" s="172">
        <f t="shared" si="9"/>
        <v>3374.7</v>
      </c>
      <c r="J42" s="172">
        <f t="shared" si="9"/>
        <v>3374.7</v>
      </c>
      <c r="K42" s="175"/>
    </row>
    <row r="43" spans="3:11" ht="19.5" customHeight="1">
      <c r="C43" s="263"/>
      <c r="D43" s="280"/>
      <c r="E43" s="266"/>
      <c r="F43" s="171" t="s">
        <v>161</v>
      </c>
      <c r="G43" s="172">
        <f>H43+I43+J43</f>
        <v>58356</v>
      </c>
      <c r="H43" s="172">
        <f>H21</f>
        <v>19453.100000000002</v>
      </c>
      <c r="I43" s="172">
        <f>I21</f>
        <v>19452.400000000001</v>
      </c>
      <c r="J43" s="172">
        <f>J21</f>
        <v>19450.499999999996</v>
      </c>
      <c r="K43" s="175"/>
    </row>
    <row r="44" spans="3:11" ht="26.25" customHeight="1">
      <c r="C44" s="255" t="s">
        <v>178</v>
      </c>
      <c r="D44" s="256"/>
      <c r="E44" s="256"/>
      <c r="F44" s="256"/>
      <c r="G44" s="256"/>
      <c r="H44" s="256"/>
      <c r="I44" s="256"/>
      <c r="J44" s="257"/>
    </row>
    <row r="45" spans="3:11" ht="42.75" customHeight="1">
      <c r="C45" s="276" t="s">
        <v>38</v>
      </c>
      <c r="D45" s="282" t="s">
        <v>179</v>
      </c>
      <c r="E45" s="168"/>
      <c r="F45" s="169" t="s">
        <v>165</v>
      </c>
      <c r="G45" s="170">
        <f>H45+I45+J45</f>
        <v>9087</v>
      </c>
      <c r="H45" s="176">
        <f>H46+H47</f>
        <v>3029</v>
      </c>
      <c r="I45" s="176">
        <f t="shared" ref="I45:J45" si="10">I46+I47</f>
        <v>3029</v>
      </c>
      <c r="J45" s="176">
        <f t="shared" si="10"/>
        <v>3029</v>
      </c>
    </row>
    <row r="46" spans="3:11" ht="46.5" customHeight="1">
      <c r="C46" s="277"/>
      <c r="D46" s="283"/>
      <c r="E46" s="168" t="s">
        <v>22</v>
      </c>
      <c r="F46" s="171" t="s">
        <v>165</v>
      </c>
      <c r="G46" s="172">
        <f>H46+I46+J46</f>
        <v>8723.0999999999985</v>
      </c>
      <c r="H46" s="174">
        <v>2907.7</v>
      </c>
      <c r="I46" s="174">
        <v>2907.7</v>
      </c>
      <c r="J46" s="174">
        <v>2907.7</v>
      </c>
    </row>
    <row r="47" spans="3:11" ht="74.25" customHeight="1">
      <c r="C47" s="281"/>
      <c r="D47" s="284"/>
      <c r="E47" s="168" t="s">
        <v>180</v>
      </c>
      <c r="F47" s="171" t="s">
        <v>165</v>
      </c>
      <c r="G47" s="172">
        <f>H47+I47+J47</f>
        <v>363.9</v>
      </c>
      <c r="H47" s="174">
        <v>121.3</v>
      </c>
      <c r="I47" s="174">
        <v>121.3</v>
      </c>
      <c r="J47" s="174">
        <v>121.3</v>
      </c>
    </row>
    <row r="48" spans="3:11" ht="30.75" hidden="1" customHeight="1">
      <c r="C48" s="177"/>
      <c r="D48" s="178" t="s">
        <v>181</v>
      </c>
      <c r="E48" s="179" t="s">
        <v>22</v>
      </c>
      <c r="F48" s="168" t="s">
        <v>161</v>
      </c>
      <c r="G48" s="172" t="e">
        <f>H48+I48+J48+#REF!</f>
        <v>#REF!</v>
      </c>
      <c r="H48" s="174">
        <v>0</v>
      </c>
      <c r="I48" s="174">
        <v>0</v>
      </c>
      <c r="J48" s="174">
        <v>0</v>
      </c>
    </row>
    <row r="49" spans="3:28" ht="43.5" customHeight="1">
      <c r="C49" s="177" t="s">
        <v>182</v>
      </c>
      <c r="D49" s="180" t="s">
        <v>183</v>
      </c>
      <c r="E49" s="181"/>
      <c r="F49" s="169" t="s">
        <v>161</v>
      </c>
      <c r="G49" s="170">
        <f>H49+I49+J49</f>
        <v>0</v>
      </c>
      <c r="H49" s="170">
        <f>H48</f>
        <v>0</v>
      </c>
      <c r="I49" s="170">
        <f>I48</f>
        <v>0</v>
      </c>
      <c r="J49" s="170">
        <f>J48</f>
        <v>0</v>
      </c>
    </row>
    <row r="50" spans="3:28" ht="41.25" customHeight="1">
      <c r="C50" s="173" t="s">
        <v>184</v>
      </c>
      <c r="D50" s="171" t="s">
        <v>77</v>
      </c>
      <c r="E50" s="168" t="s">
        <v>22</v>
      </c>
      <c r="F50" s="266" t="s">
        <v>16</v>
      </c>
      <c r="G50" s="266"/>
      <c r="H50" s="266"/>
      <c r="I50" s="266"/>
      <c r="J50" s="266"/>
    </row>
    <row r="51" spans="3:28" ht="48.75" customHeight="1">
      <c r="C51" s="173" t="s">
        <v>185</v>
      </c>
      <c r="D51" s="171" t="s">
        <v>186</v>
      </c>
      <c r="E51" s="168" t="s">
        <v>22</v>
      </c>
      <c r="F51" s="266" t="s">
        <v>16</v>
      </c>
      <c r="G51" s="266"/>
      <c r="H51" s="266"/>
      <c r="I51" s="266"/>
      <c r="J51" s="266"/>
    </row>
    <row r="52" spans="3:28" ht="15.75" customHeight="1">
      <c r="C52" s="267"/>
      <c r="D52" s="270" t="s">
        <v>27</v>
      </c>
      <c r="E52" s="273"/>
      <c r="F52" s="169" t="s">
        <v>3</v>
      </c>
      <c r="G52" s="182">
        <f>G53+G54</f>
        <v>9087</v>
      </c>
      <c r="H52" s="182">
        <f t="shared" ref="H52:J52" si="11">H53+H54</f>
        <v>3029</v>
      </c>
      <c r="I52" s="182">
        <f t="shared" si="11"/>
        <v>3029</v>
      </c>
      <c r="J52" s="182">
        <f t="shared" si="11"/>
        <v>3029</v>
      </c>
    </row>
    <row r="53" spans="3:28" ht="19.5" customHeight="1">
      <c r="C53" s="268"/>
      <c r="D53" s="271"/>
      <c r="E53" s="274"/>
      <c r="F53" s="171" t="s">
        <v>165</v>
      </c>
      <c r="G53" s="183">
        <f>H53+I53+J53</f>
        <v>9087</v>
      </c>
      <c r="H53" s="184">
        <f>H45</f>
        <v>3029</v>
      </c>
      <c r="I53" s="184">
        <f>I45</f>
        <v>3029</v>
      </c>
      <c r="J53" s="184">
        <f>J45</f>
        <v>3029</v>
      </c>
    </row>
    <row r="54" spans="3:28" ht="18.75" customHeight="1">
      <c r="C54" s="269"/>
      <c r="D54" s="272"/>
      <c r="E54" s="275"/>
      <c r="F54" s="171" t="s">
        <v>161</v>
      </c>
      <c r="G54" s="183">
        <f>H54+I54+J54</f>
        <v>0</v>
      </c>
      <c r="H54" s="184">
        <f>H49</f>
        <v>0</v>
      </c>
      <c r="I54" s="184">
        <f>I49</f>
        <v>0</v>
      </c>
      <c r="J54" s="184">
        <f>J49</f>
        <v>0</v>
      </c>
    </row>
    <row r="55" spans="3:28" ht="26.25" customHeight="1">
      <c r="C55" s="255" t="s">
        <v>139</v>
      </c>
      <c r="D55" s="256"/>
      <c r="E55" s="256"/>
      <c r="F55" s="256"/>
      <c r="G55" s="256"/>
      <c r="H55" s="256"/>
      <c r="I55" s="256"/>
      <c r="J55" s="257"/>
    </row>
    <row r="56" spans="3:28" ht="33.75" customHeight="1">
      <c r="C56" s="276" t="s">
        <v>39</v>
      </c>
      <c r="D56" s="282" t="s">
        <v>187</v>
      </c>
      <c r="E56" s="179"/>
      <c r="F56" s="185" t="s">
        <v>165</v>
      </c>
      <c r="G56" s="170">
        <f>H56+I56+J56</f>
        <v>0</v>
      </c>
      <c r="H56" s="186">
        <f t="shared" ref="H56:J56" si="12">H57+H58+H59</f>
        <v>0</v>
      </c>
      <c r="I56" s="186">
        <f t="shared" si="12"/>
        <v>0</v>
      </c>
      <c r="J56" s="186">
        <f t="shared" si="12"/>
        <v>0</v>
      </c>
    </row>
    <row r="57" spans="3:28" s="188" customFormat="1" ht="42" customHeight="1">
      <c r="C57" s="277"/>
      <c r="D57" s="283"/>
      <c r="E57" s="168" t="s">
        <v>53</v>
      </c>
      <c r="F57" s="171" t="s">
        <v>165</v>
      </c>
      <c r="G57" s="170">
        <f>H57+I57+J57</f>
        <v>0</v>
      </c>
      <c r="H57" s="176">
        <v>0</v>
      </c>
      <c r="I57" s="176">
        <v>0</v>
      </c>
      <c r="J57" s="176">
        <v>0</v>
      </c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</row>
    <row r="58" spans="3:28" s="187" customFormat="1" ht="57.75" customHeight="1">
      <c r="C58" s="277"/>
      <c r="D58" s="283"/>
      <c r="E58" s="168" t="s">
        <v>43</v>
      </c>
      <c r="F58" s="189" t="s">
        <v>165</v>
      </c>
      <c r="G58" s="170">
        <f>H58+I58+J58</f>
        <v>0</v>
      </c>
      <c r="H58" s="190">
        <v>0</v>
      </c>
      <c r="I58" s="190">
        <v>0</v>
      </c>
      <c r="J58" s="190">
        <v>0</v>
      </c>
    </row>
    <row r="59" spans="3:28" s="187" customFormat="1" ht="40.5" customHeight="1">
      <c r="C59" s="281"/>
      <c r="D59" s="284"/>
      <c r="E59" s="168" t="s">
        <v>22</v>
      </c>
      <c r="F59" s="189" t="s">
        <v>165</v>
      </c>
      <c r="G59" s="170">
        <f>H59+I59+J59</f>
        <v>0</v>
      </c>
      <c r="H59" s="190">
        <v>0</v>
      </c>
      <c r="I59" s="190">
        <v>0</v>
      </c>
      <c r="J59" s="190">
        <v>0</v>
      </c>
    </row>
    <row r="60" spans="3:28" s="187" customFormat="1" ht="21" customHeight="1">
      <c r="C60" s="285"/>
      <c r="D60" s="288" t="s">
        <v>188</v>
      </c>
      <c r="E60" s="273"/>
      <c r="F60" s="191" t="s">
        <v>3</v>
      </c>
      <c r="G60" s="170">
        <f>G61+G62</f>
        <v>77567.100000000006</v>
      </c>
      <c r="H60" s="170">
        <f t="shared" ref="H60:J60" si="13">H61+H62</f>
        <v>25856.800000000003</v>
      </c>
      <c r="I60" s="170">
        <f t="shared" si="13"/>
        <v>25856.100000000002</v>
      </c>
      <c r="J60" s="170">
        <f t="shared" si="13"/>
        <v>25854.199999999997</v>
      </c>
    </row>
    <row r="61" spans="3:28" ht="16.5" customHeight="1">
      <c r="C61" s="286"/>
      <c r="D61" s="288"/>
      <c r="E61" s="274"/>
      <c r="F61" s="171" t="s">
        <v>165</v>
      </c>
      <c r="G61" s="172">
        <f>H61+I61+J61</f>
        <v>19211.099999999999</v>
      </c>
      <c r="H61" s="174">
        <f>H42+H53+H56</f>
        <v>6403.7</v>
      </c>
      <c r="I61" s="174">
        <f>I42+I53+I56</f>
        <v>6403.7</v>
      </c>
      <c r="J61" s="174">
        <f>J42+J53+J56</f>
        <v>6403.7</v>
      </c>
    </row>
    <row r="62" spans="3:28" ht="20.25" customHeight="1">
      <c r="C62" s="287"/>
      <c r="D62" s="288"/>
      <c r="E62" s="275"/>
      <c r="F62" s="171" t="s">
        <v>171</v>
      </c>
      <c r="G62" s="172">
        <f>H62+I62+J62</f>
        <v>58356</v>
      </c>
      <c r="H62" s="174">
        <f>H43+H54</f>
        <v>19453.100000000002</v>
      </c>
      <c r="I62" s="174">
        <f>I43+I54</f>
        <v>19452.400000000001</v>
      </c>
      <c r="J62" s="174">
        <f>J43+J54</f>
        <v>19450.499999999996</v>
      </c>
    </row>
    <row r="63" spans="3:28" ht="13.5" customHeight="1">
      <c r="C63" s="181"/>
      <c r="D63" s="181" t="s">
        <v>67</v>
      </c>
      <c r="E63" s="181"/>
      <c r="F63" s="192"/>
      <c r="G63" s="193"/>
      <c r="H63" s="193"/>
      <c r="I63" s="193"/>
      <c r="J63" s="193"/>
    </row>
    <row r="64" spans="3:28" ht="18.75" customHeight="1">
      <c r="C64" s="266"/>
      <c r="D64" s="265" t="s">
        <v>189</v>
      </c>
      <c r="E64" s="266"/>
      <c r="F64" s="169" t="s">
        <v>3</v>
      </c>
      <c r="G64" s="176">
        <f>G65+G66</f>
        <v>8723.0999999999985</v>
      </c>
      <c r="H64" s="176">
        <f>H65+H66</f>
        <v>2907.7</v>
      </c>
      <c r="I64" s="176">
        <f>I65+I66</f>
        <v>2907.7</v>
      </c>
      <c r="J64" s="176">
        <f>J65+J66</f>
        <v>2907.7</v>
      </c>
    </row>
    <row r="65" spans="3:10" ht="18.75" customHeight="1">
      <c r="C65" s="266"/>
      <c r="D65" s="265"/>
      <c r="E65" s="266"/>
      <c r="F65" s="171" t="s">
        <v>165</v>
      </c>
      <c r="G65" s="172">
        <f>H65+I65+J65</f>
        <v>8723.0999999999985</v>
      </c>
      <c r="H65" s="174">
        <f>H46+H59</f>
        <v>2907.7</v>
      </c>
      <c r="I65" s="174">
        <f>I46+I59</f>
        <v>2907.7</v>
      </c>
      <c r="J65" s="174">
        <f>J46+J59</f>
        <v>2907.7</v>
      </c>
    </row>
    <row r="66" spans="3:10" ht="16.5" customHeight="1">
      <c r="C66" s="266"/>
      <c r="D66" s="265"/>
      <c r="E66" s="266"/>
      <c r="F66" s="171" t="s">
        <v>171</v>
      </c>
      <c r="G66" s="172">
        <f>H66+I66+J66</f>
        <v>0</v>
      </c>
      <c r="H66" s="174">
        <f>H49</f>
        <v>0</v>
      </c>
      <c r="I66" s="174">
        <f>I49</f>
        <v>0</v>
      </c>
      <c r="J66" s="174">
        <f>J49</f>
        <v>0</v>
      </c>
    </row>
    <row r="67" spans="3:10" ht="16.5" customHeight="1">
      <c r="C67" s="266"/>
      <c r="D67" s="265" t="s">
        <v>190</v>
      </c>
      <c r="E67" s="266"/>
      <c r="F67" s="169" t="s">
        <v>3</v>
      </c>
      <c r="G67" s="176">
        <f>G68+G69</f>
        <v>42871.199999999997</v>
      </c>
      <c r="H67" s="176">
        <f>H68+H69</f>
        <v>14290.3</v>
      </c>
      <c r="I67" s="176">
        <f>I68+I69</f>
        <v>14291.300000000001</v>
      </c>
      <c r="J67" s="176">
        <f>J68+J69</f>
        <v>14289.599999999999</v>
      </c>
    </row>
    <row r="68" spans="3:10" ht="18.75" customHeight="1">
      <c r="C68" s="266"/>
      <c r="D68" s="265"/>
      <c r="E68" s="266"/>
      <c r="F68" s="171" t="s">
        <v>165</v>
      </c>
      <c r="G68" s="172">
        <f>H68+I68+J68</f>
        <v>5723.7000000000007</v>
      </c>
      <c r="H68" s="174">
        <f>H23+H26+H29+H58</f>
        <v>1907.9</v>
      </c>
      <c r="I68" s="174">
        <f>I23+I26+I29+I58</f>
        <v>1907.9</v>
      </c>
      <c r="J68" s="174">
        <f>J23+J26+J29+J58</f>
        <v>1907.9</v>
      </c>
    </row>
    <row r="69" spans="3:10" ht="18" customHeight="1">
      <c r="C69" s="266"/>
      <c r="D69" s="265"/>
      <c r="E69" s="266"/>
      <c r="F69" s="171" t="s">
        <v>171</v>
      </c>
      <c r="G69" s="172">
        <f>H69+I69+J69</f>
        <v>37147.5</v>
      </c>
      <c r="H69" s="174">
        <f>H24+H27+H30+H31</f>
        <v>12382.4</v>
      </c>
      <c r="I69" s="174">
        <f>I24+I27+I30+I31</f>
        <v>12383.400000000001</v>
      </c>
      <c r="J69" s="174">
        <f>J24+J27+J30+J31</f>
        <v>12381.699999999999</v>
      </c>
    </row>
    <row r="70" spans="3:10" ht="30.75" customHeight="1">
      <c r="C70" s="181"/>
      <c r="D70" s="181" t="s">
        <v>191</v>
      </c>
      <c r="E70" s="181"/>
      <c r="F70" s="171" t="s">
        <v>161</v>
      </c>
      <c r="G70" s="176">
        <f>H70+I70+J70</f>
        <v>14116.5</v>
      </c>
      <c r="H70" s="176">
        <f>H36</f>
        <v>4705.5</v>
      </c>
      <c r="I70" s="176">
        <f>I36</f>
        <v>4705.5</v>
      </c>
      <c r="J70" s="176">
        <f>J36</f>
        <v>4705.5</v>
      </c>
    </row>
    <row r="71" spans="3:10" s="175" customFormat="1" ht="14.25" customHeight="1">
      <c r="C71" s="266"/>
      <c r="D71" s="265" t="s">
        <v>192</v>
      </c>
      <c r="E71" s="266"/>
      <c r="F71" s="169" t="s">
        <v>3</v>
      </c>
      <c r="G71" s="176">
        <f>G72</f>
        <v>0</v>
      </c>
      <c r="H71" s="176">
        <f>H72</f>
        <v>0</v>
      </c>
      <c r="I71" s="176">
        <f>I72</f>
        <v>0</v>
      </c>
      <c r="J71" s="176">
        <f>J72</f>
        <v>0</v>
      </c>
    </row>
    <row r="72" spans="3:10" s="175" customFormat="1" ht="15" customHeight="1">
      <c r="C72" s="266"/>
      <c r="D72" s="265"/>
      <c r="E72" s="266"/>
      <c r="F72" s="171" t="s">
        <v>165</v>
      </c>
      <c r="G72" s="172">
        <f>H72+I72+J72</f>
        <v>0</v>
      </c>
      <c r="H72" s="174">
        <f>H40+H57</f>
        <v>0</v>
      </c>
      <c r="I72" s="174">
        <f>I40+I57</f>
        <v>0</v>
      </c>
      <c r="J72" s="174">
        <f>J40+J57</f>
        <v>0</v>
      </c>
    </row>
    <row r="73" spans="3:10" ht="18" customHeight="1">
      <c r="C73" s="273"/>
      <c r="D73" s="278" t="s">
        <v>193</v>
      </c>
      <c r="E73" s="273"/>
      <c r="F73" s="169" t="s">
        <v>3</v>
      </c>
      <c r="G73" s="176">
        <f>G74</f>
        <v>363.9</v>
      </c>
      <c r="H73" s="176">
        <f t="shared" ref="H73:J73" si="14">H74</f>
        <v>121.3</v>
      </c>
      <c r="I73" s="176">
        <f t="shared" si="14"/>
        <v>121.3</v>
      </c>
      <c r="J73" s="176">
        <f t="shared" si="14"/>
        <v>121.3</v>
      </c>
    </row>
    <row r="74" spans="3:10" ht="17.25" customHeight="1">
      <c r="C74" s="275"/>
      <c r="D74" s="289"/>
      <c r="E74" s="275"/>
      <c r="F74" s="171" t="s">
        <v>165</v>
      </c>
      <c r="G74" s="172">
        <f>H74+I74+J74</f>
        <v>363.9</v>
      </c>
      <c r="H74" s="174">
        <f>H47</f>
        <v>121.3</v>
      </c>
      <c r="I74" s="174">
        <f>I47</f>
        <v>121.3</v>
      </c>
      <c r="J74" s="174">
        <f>J47</f>
        <v>121.3</v>
      </c>
    </row>
    <row r="75" spans="3:10" ht="17.25" customHeight="1">
      <c r="C75" s="273"/>
      <c r="D75" s="278" t="s">
        <v>194</v>
      </c>
      <c r="E75" s="273"/>
      <c r="F75" s="169" t="s">
        <v>3</v>
      </c>
      <c r="G75" s="170">
        <f>G76+G77</f>
        <v>11492.4</v>
      </c>
      <c r="H75" s="170">
        <f t="shared" ref="H75:J75" si="15">H76+H77</f>
        <v>3832</v>
      </c>
      <c r="I75" s="170">
        <f t="shared" si="15"/>
        <v>3830.3</v>
      </c>
      <c r="J75" s="170">
        <f t="shared" si="15"/>
        <v>3830.0999999999995</v>
      </c>
    </row>
    <row r="76" spans="3:10" ht="17.25" customHeight="1">
      <c r="C76" s="274"/>
      <c r="D76" s="279"/>
      <c r="E76" s="274"/>
      <c r="F76" s="171" t="s">
        <v>165</v>
      </c>
      <c r="G76" s="174">
        <f>H76+I76+J76</f>
        <v>4400.3999999999996</v>
      </c>
      <c r="H76" s="174">
        <f t="shared" ref="H76:J76" si="16">H38</f>
        <v>1466.8</v>
      </c>
      <c r="I76" s="174">
        <f t="shared" si="16"/>
        <v>1466.8</v>
      </c>
      <c r="J76" s="174">
        <f t="shared" si="16"/>
        <v>1466.8</v>
      </c>
    </row>
    <row r="77" spans="3:10" ht="16.5" customHeight="1">
      <c r="C77" s="275"/>
      <c r="D77" s="289"/>
      <c r="E77" s="275"/>
      <c r="F77" s="171" t="s">
        <v>161</v>
      </c>
      <c r="G77" s="174">
        <f>H77+I77+J77</f>
        <v>7092</v>
      </c>
      <c r="H77" s="174">
        <f>H39</f>
        <v>2365.1999999999998</v>
      </c>
      <c r="I77" s="174">
        <f>I39</f>
        <v>2363.5</v>
      </c>
      <c r="J77" s="174">
        <f>J39</f>
        <v>2363.2999999999997</v>
      </c>
    </row>
    <row r="78" spans="3:10" ht="17.25" customHeight="1">
      <c r="C78" s="194"/>
      <c r="D78" s="195"/>
      <c r="E78" s="194"/>
      <c r="F78" s="195"/>
      <c r="G78" s="196"/>
      <c r="H78" s="197"/>
      <c r="I78" s="197"/>
      <c r="J78" s="197"/>
    </row>
    <row r="79" spans="3:10">
      <c r="C79" s="175"/>
      <c r="D79" s="175"/>
      <c r="E79" s="175"/>
      <c r="F79" s="175"/>
      <c r="J79" s="175"/>
    </row>
    <row r="80" spans="3:10">
      <c r="C80" s="175"/>
      <c r="D80" s="175"/>
      <c r="E80" s="175"/>
      <c r="F80" s="175"/>
      <c r="G80" s="197"/>
      <c r="J80" s="175"/>
    </row>
    <row r="81" spans="3:10">
      <c r="C81" s="175"/>
      <c r="D81" s="175"/>
      <c r="E81" s="175"/>
      <c r="F81" s="175"/>
      <c r="J81" s="175"/>
    </row>
    <row r="82" spans="3:10">
      <c r="C82" s="175"/>
      <c r="D82" s="175"/>
      <c r="E82" s="175"/>
      <c r="F82" s="175"/>
      <c r="J82" s="175"/>
    </row>
    <row r="85" spans="3:10">
      <c r="G85" s="198"/>
      <c r="H85" s="198"/>
      <c r="I85" s="198"/>
      <c r="J85" s="198"/>
    </row>
  </sheetData>
  <mergeCells count="64">
    <mergeCell ref="C75:C77"/>
    <mergeCell ref="D75:D77"/>
    <mergeCell ref="E75:E77"/>
    <mergeCell ref="C71:C72"/>
    <mergeCell ref="D71:D72"/>
    <mergeCell ref="E71:E72"/>
    <mergeCell ref="C73:C74"/>
    <mergeCell ref="D73:D74"/>
    <mergeCell ref="E73:E74"/>
    <mergeCell ref="C64:C66"/>
    <mergeCell ref="D64:D66"/>
    <mergeCell ref="E64:E66"/>
    <mergeCell ref="C67:C69"/>
    <mergeCell ref="D67:D69"/>
    <mergeCell ref="E67:E69"/>
    <mergeCell ref="C55:J55"/>
    <mergeCell ref="C56:C59"/>
    <mergeCell ref="D56:D59"/>
    <mergeCell ref="C60:C62"/>
    <mergeCell ref="D60:D62"/>
    <mergeCell ref="E60:E62"/>
    <mergeCell ref="C52:C54"/>
    <mergeCell ref="D52:D54"/>
    <mergeCell ref="E52:E54"/>
    <mergeCell ref="F32:J32"/>
    <mergeCell ref="C33:C39"/>
    <mergeCell ref="D33:D39"/>
    <mergeCell ref="E33:E35"/>
    <mergeCell ref="E37:E39"/>
    <mergeCell ref="C41:C43"/>
    <mergeCell ref="D41:D43"/>
    <mergeCell ref="E41:E43"/>
    <mergeCell ref="C44:J44"/>
    <mergeCell ref="C45:C47"/>
    <mergeCell ref="D45:D47"/>
    <mergeCell ref="F50:J50"/>
    <mergeCell ref="F51:J51"/>
    <mergeCell ref="C25:C27"/>
    <mergeCell ref="D25:D27"/>
    <mergeCell ref="E25:E27"/>
    <mergeCell ref="C28:C30"/>
    <mergeCell ref="D28:D30"/>
    <mergeCell ref="E28:E30"/>
    <mergeCell ref="C18:J18"/>
    <mergeCell ref="C19:C21"/>
    <mergeCell ref="D19:D21"/>
    <mergeCell ref="E19:E21"/>
    <mergeCell ref="C22:C24"/>
    <mergeCell ref="D22:D24"/>
    <mergeCell ref="E22:E24"/>
    <mergeCell ref="C12:J12"/>
    <mergeCell ref="C14:C16"/>
    <mergeCell ref="D14:D16"/>
    <mergeCell ref="E14:E16"/>
    <mergeCell ref="F14:F16"/>
    <mergeCell ref="G14:J14"/>
    <mergeCell ref="G15:G16"/>
    <mergeCell ref="H15:J15"/>
    <mergeCell ref="C11:J11"/>
    <mergeCell ref="G4:J4"/>
    <mergeCell ref="H5:J5"/>
    <mergeCell ref="E7:J7"/>
    <mergeCell ref="E8:J8"/>
    <mergeCell ref="H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титульный лист</vt:lpstr>
      <vt:lpstr>сетевой 2018 </vt:lpstr>
      <vt:lpstr>Лист3</vt:lpstr>
      <vt:lpstr>'сетевой 2018 '!Заголовки_для_печати</vt:lpstr>
      <vt:lpstr>'сетевой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2018-03-26T12:05:54Z</dcterms:modified>
</cp:coreProperties>
</file>