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25" windowWidth="14805" windowHeight="6690" firstSheet="2" activeTab="2"/>
  </bookViews>
  <sheets>
    <sheet name="Лист1" sheetId="2" state="hidden" r:id="rId1"/>
    <sheet name="Лист2" sheetId="3" state="hidden" r:id="rId2"/>
    <sheet name="сетевой 2019" sheetId="14" r:id="rId3"/>
  </sheets>
  <definedNames>
    <definedName name="_xlnm.Print_Titles" localSheetId="2">'сетевой 2019'!$A:$A,'сетевой 2019'!$4:$5</definedName>
    <definedName name="_xlnm.Print_Area" localSheetId="2">'сетевой 2019'!$A$1:$AD$94</definedName>
  </definedNames>
  <calcPr calcId="145621"/>
</workbook>
</file>

<file path=xl/calcChain.xml><?xml version="1.0" encoding="utf-8"?>
<calcChain xmlns="http://schemas.openxmlformats.org/spreadsheetml/2006/main">
  <c r="C59" i="14" l="1"/>
  <c r="C57" i="14"/>
  <c r="C56" i="14"/>
  <c r="F28" i="14"/>
  <c r="K74" i="14" l="1"/>
  <c r="D74" i="14"/>
  <c r="AD74" i="14"/>
  <c r="J74" i="14"/>
  <c r="K28" i="14" l="1"/>
  <c r="K23" i="14"/>
  <c r="C74" i="14" l="1"/>
  <c r="D52" i="14" l="1"/>
  <c r="D47" i="14"/>
  <c r="D35" i="14"/>
  <c r="D33" i="14"/>
  <c r="D31" i="14"/>
  <c r="D28" i="14"/>
  <c r="D23" i="14"/>
  <c r="D21" i="14"/>
  <c r="D19" i="14"/>
  <c r="C23" i="14"/>
  <c r="C19" i="14"/>
  <c r="C18" i="14"/>
  <c r="C31" i="14"/>
  <c r="H15" i="14"/>
  <c r="C15" i="14"/>
  <c r="C41" i="14"/>
  <c r="C71" i="14"/>
  <c r="C49" i="14"/>
  <c r="C47" i="14"/>
  <c r="C46" i="14"/>
  <c r="C35" i="14"/>
  <c r="C33" i="14"/>
  <c r="C28" i="14"/>
  <c r="C27" i="14"/>
  <c r="C21" i="14"/>
  <c r="D15" i="14" l="1"/>
  <c r="C17" i="14"/>
  <c r="C84" i="14"/>
  <c r="D40" i="14"/>
  <c r="E17" i="14"/>
  <c r="E14" i="14"/>
  <c r="D14" i="14"/>
  <c r="C14" i="14"/>
  <c r="H11" i="14"/>
  <c r="H10" i="14"/>
  <c r="E10" i="14"/>
  <c r="I10" i="14" l="1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I11" i="14"/>
  <c r="J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H14" i="14"/>
  <c r="D59" i="14" l="1"/>
  <c r="D57" i="14"/>
  <c r="C62" i="14"/>
  <c r="I74" i="14" l="1"/>
  <c r="AD57" i="14" l="1"/>
  <c r="AD56" i="14"/>
  <c r="AB47" i="14"/>
  <c r="AB46" i="14"/>
  <c r="AB57" i="14"/>
  <c r="AB56" i="14"/>
  <c r="AB59" i="14"/>
  <c r="Z47" i="14"/>
  <c r="Z46" i="14"/>
  <c r="Z57" i="14"/>
  <c r="Z56" i="14"/>
  <c r="X47" i="14"/>
  <c r="X46" i="14"/>
  <c r="X57" i="14"/>
  <c r="X56" i="14"/>
  <c r="X59" i="14"/>
  <c r="V47" i="14"/>
  <c r="V46" i="14"/>
  <c r="V57" i="14"/>
  <c r="V56" i="14"/>
  <c r="T47" i="14"/>
  <c r="T49" i="14"/>
  <c r="T46" i="14"/>
  <c r="T57" i="14"/>
  <c r="T56" i="14"/>
  <c r="T59" i="14"/>
  <c r="R47" i="14"/>
  <c r="R49" i="14"/>
  <c r="R46" i="14"/>
  <c r="R57" i="14"/>
  <c r="R56" i="14"/>
  <c r="P47" i="14"/>
  <c r="P49" i="14"/>
  <c r="P46" i="14"/>
  <c r="P57" i="14"/>
  <c r="P56" i="14"/>
  <c r="P59" i="14"/>
  <c r="N47" i="14"/>
  <c r="N56" i="14" l="1"/>
  <c r="N57" i="14"/>
  <c r="L59" i="14"/>
  <c r="L57" i="14"/>
  <c r="L56" i="14"/>
  <c r="J59" i="14"/>
  <c r="J57" i="14"/>
  <c r="J56" i="14"/>
  <c r="H59" i="14"/>
  <c r="H57" i="14"/>
  <c r="D83" i="14" l="1"/>
  <c r="K73" i="14"/>
  <c r="I73" i="14"/>
  <c r="H67" i="14"/>
  <c r="D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D61" i="14"/>
  <c r="D60" i="14" s="1"/>
  <c r="H61" i="14"/>
  <c r="I61" i="14"/>
  <c r="I60" i="14" s="1"/>
  <c r="J61" i="14"/>
  <c r="K61" i="14"/>
  <c r="K60" i="14" s="1"/>
  <c r="L61" i="14"/>
  <c r="M61" i="14"/>
  <c r="M60" i="14" s="1"/>
  <c r="N61" i="14"/>
  <c r="O61" i="14"/>
  <c r="O60" i="14" s="1"/>
  <c r="P61" i="14"/>
  <c r="Q61" i="14"/>
  <c r="Q60" i="14" s="1"/>
  <c r="R61" i="14"/>
  <c r="S61" i="14"/>
  <c r="S60" i="14" s="1"/>
  <c r="T61" i="14"/>
  <c r="U61" i="14"/>
  <c r="U60" i="14" s="1"/>
  <c r="V61" i="14"/>
  <c r="W61" i="14"/>
  <c r="W60" i="14" s="1"/>
  <c r="X61" i="14"/>
  <c r="Y61" i="14"/>
  <c r="Y60" i="14" s="1"/>
  <c r="Z61" i="14"/>
  <c r="AA61" i="14"/>
  <c r="AA60" i="14" s="1"/>
  <c r="AB61" i="14"/>
  <c r="AC61" i="14"/>
  <c r="AC60" i="14" s="1"/>
  <c r="AD61" i="14"/>
  <c r="AE61" i="14"/>
  <c r="AE60" i="14" s="1"/>
  <c r="N55" i="14"/>
  <c r="O55" i="14"/>
  <c r="AE55" i="14"/>
  <c r="AC55" i="14"/>
  <c r="AD55" i="14"/>
  <c r="J55" i="14"/>
  <c r="I55" i="14"/>
  <c r="H55" i="14"/>
  <c r="AE45" i="14"/>
  <c r="R45" i="14"/>
  <c r="S45" i="14"/>
  <c r="H45" i="14"/>
  <c r="E56" i="14"/>
  <c r="E61" i="14" s="1"/>
  <c r="C61" i="14"/>
  <c r="B46" i="14"/>
  <c r="D10" i="14"/>
  <c r="C38" i="14"/>
  <c r="B38" i="14"/>
  <c r="E38" i="14"/>
  <c r="B37" i="14"/>
  <c r="J37" i="14"/>
  <c r="I37" i="14"/>
  <c r="H37" i="14"/>
  <c r="I31" i="14"/>
  <c r="J31" i="14"/>
  <c r="K31" i="14"/>
  <c r="M31" i="14"/>
  <c r="N31" i="14"/>
  <c r="O31" i="14"/>
  <c r="P31" i="14"/>
  <c r="Q31" i="14"/>
  <c r="S31" i="14"/>
  <c r="U31" i="14"/>
  <c r="W31" i="14"/>
  <c r="X31" i="14"/>
  <c r="Y31" i="14"/>
  <c r="Z31" i="14"/>
  <c r="AA31" i="14"/>
  <c r="AB31" i="14"/>
  <c r="AC31" i="14"/>
  <c r="AD31" i="14"/>
  <c r="AE31" i="14"/>
  <c r="H31" i="14"/>
  <c r="E27" i="14"/>
  <c r="I26" i="14"/>
  <c r="K26" i="14"/>
  <c r="M26" i="14"/>
  <c r="O26" i="14"/>
  <c r="Q26" i="14"/>
  <c r="R26" i="14"/>
  <c r="S26" i="14"/>
  <c r="T26" i="14"/>
  <c r="U26" i="14"/>
  <c r="V26" i="14"/>
  <c r="W26" i="14"/>
  <c r="Y26" i="14"/>
  <c r="AA26" i="14"/>
  <c r="AC26" i="14"/>
  <c r="AD26" i="14"/>
  <c r="AE26" i="14"/>
  <c r="H26" i="14"/>
  <c r="D26" i="14"/>
  <c r="I15" i="14"/>
  <c r="I41" i="14" s="1"/>
  <c r="K15" i="14"/>
  <c r="K41" i="14" s="1"/>
  <c r="K11" i="14" s="1"/>
  <c r="M15" i="14"/>
  <c r="M41" i="14" s="1"/>
  <c r="N15" i="14"/>
  <c r="O15" i="14"/>
  <c r="O41" i="14" s="1"/>
  <c r="P15" i="14"/>
  <c r="Q15" i="14"/>
  <c r="Q41" i="14" s="1"/>
  <c r="S15" i="14"/>
  <c r="S41" i="14" s="1"/>
  <c r="U15" i="14"/>
  <c r="U41" i="14" s="1"/>
  <c r="W15" i="14"/>
  <c r="W41" i="14" s="1"/>
  <c r="X15" i="14"/>
  <c r="Y15" i="14"/>
  <c r="Y41" i="14" s="1"/>
  <c r="Z15" i="14"/>
  <c r="AA15" i="14"/>
  <c r="AA41" i="14" s="1"/>
  <c r="AB15" i="14"/>
  <c r="AC15" i="14"/>
  <c r="AC41" i="14" s="1"/>
  <c r="AD15" i="14"/>
  <c r="AE15" i="14"/>
  <c r="AE41" i="14" s="1"/>
  <c r="H41" i="14"/>
  <c r="N14" i="14"/>
  <c r="O14" i="14"/>
  <c r="O40" i="14" s="1"/>
  <c r="AB14" i="14"/>
  <c r="AC14" i="14"/>
  <c r="AC40" i="14" s="1"/>
  <c r="AD14" i="14"/>
  <c r="AD40" i="14" s="1"/>
  <c r="AE14" i="14"/>
  <c r="AE40" i="14" s="1"/>
  <c r="I14" i="14"/>
  <c r="I40" i="14" s="1"/>
  <c r="J14" i="14"/>
  <c r="J40" i="14" s="1"/>
  <c r="K14" i="14"/>
  <c r="K40" i="14" s="1"/>
  <c r="L14" i="14"/>
  <c r="M14" i="14"/>
  <c r="M40" i="14" s="1"/>
  <c r="P14" i="14"/>
  <c r="Q14" i="14"/>
  <c r="Q40" i="14" s="1"/>
  <c r="R14" i="14"/>
  <c r="R40" i="14" s="1"/>
  <c r="S14" i="14"/>
  <c r="S40" i="14" s="1"/>
  <c r="U14" i="14"/>
  <c r="U40" i="14" s="1"/>
  <c r="W14" i="14"/>
  <c r="W40" i="14" s="1"/>
  <c r="X14" i="14"/>
  <c r="Y14" i="14"/>
  <c r="Y40" i="14" s="1"/>
  <c r="Z14" i="14"/>
  <c r="AA14" i="14"/>
  <c r="AA40" i="14" s="1"/>
  <c r="H40" i="14"/>
  <c r="N17" i="14"/>
  <c r="O17" i="14"/>
  <c r="P17" i="14"/>
  <c r="Q17" i="14"/>
  <c r="S17" i="14"/>
  <c r="U17" i="14"/>
  <c r="W17" i="14"/>
  <c r="X17" i="14"/>
  <c r="Y17" i="14"/>
  <c r="Z17" i="14"/>
  <c r="AA17" i="14"/>
  <c r="AB17" i="14"/>
  <c r="AC17" i="14"/>
  <c r="AD17" i="14"/>
  <c r="AE17" i="14"/>
  <c r="M17" i="14"/>
  <c r="L17" i="14"/>
  <c r="K17" i="14"/>
  <c r="J17" i="14"/>
  <c r="I17" i="14"/>
  <c r="H17" i="14"/>
  <c r="H13" i="14"/>
  <c r="D17" i="14"/>
  <c r="E28" i="14"/>
  <c r="E23" i="14"/>
  <c r="E15" i="14" s="1"/>
  <c r="E21" i="14"/>
  <c r="E19" i="14"/>
  <c r="E18" i="14"/>
  <c r="D13" i="14"/>
  <c r="Z55" i="14"/>
  <c r="S55" i="14"/>
  <c r="R55" i="14"/>
  <c r="Q55" i="14"/>
  <c r="P55" i="14"/>
  <c r="AB55" i="14"/>
  <c r="Y55" i="14"/>
  <c r="X55" i="14"/>
  <c r="M55" i="14"/>
  <c r="L55" i="14"/>
  <c r="K55" i="14"/>
  <c r="C26" i="14" l="1"/>
  <c r="E31" i="14"/>
  <c r="G61" i="14"/>
  <c r="AD13" i="14"/>
  <c r="E26" i="14"/>
  <c r="K13" i="14"/>
  <c r="AC13" i="14"/>
  <c r="N13" i="14"/>
  <c r="G28" i="14"/>
  <c r="AD41" i="14"/>
  <c r="AD60" i="14"/>
  <c r="AB60" i="14"/>
  <c r="Z60" i="14"/>
  <c r="X60" i="14"/>
  <c r="V60" i="14"/>
  <c r="T60" i="14"/>
  <c r="R60" i="14"/>
  <c r="P60" i="14"/>
  <c r="N60" i="14"/>
  <c r="L60" i="14"/>
  <c r="J60" i="14"/>
  <c r="H60" i="14"/>
  <c r="AA13" i="14"/>
  <c r="I13" i="14"/>
  <c r="AB13" i="14"/>
  <c r="S13" i="14"/>
  <c r="U13" i="14"/>
  <c r="T55" i="14"/>
  <c r="P13" i="14"/>
  <c r="M13" i="14"/>
  <c r="X13" i="14"/>
  <c r="Z13" i="14"/>
  <c r="O13" i="14"/>
  <c r="W13" i="14"/>
  <c r="U55" i="14"/>
  <c r="E59" i="14"/>
  <c r="G59" i="14" s="1"/>
  <c r="Q13" i="14"/>
  <c r="Y13" i="14"/>
  <c r="AE13" i="14"/>
  <c r="G56" i="14"/>
  <c r="B56" i="14"/>
  <c r="B61" i="14" s="1"/>
  <c r="V55" i="14"/>
  <c r="AA55" i="14"/>
  <c r="B57" i="14"/>
  <c r="E57" i="14"/>
  <c r="B59" i="14"/>
  <c r="W55" i="14"/>
  <c r="F59" i="14" l="1"/>
  <c r="E62" i="14"/>
  <c r="E60" i="14" s="1"/>
  <c r="G26" i="14"/>
  <c r="C13" i="14"/>
  <c r="C40" i="14"/>
  <c r="C60" i="14"/>
  <c r="G60" i="14" s="1"/>
  <c r="G62" i="14"/>
  <c r="B62" i="14"/>
  <c r="F61" i="14"/>
  <c r="F56" i="14"/>
  <c r="E55" i="14"/>
  <c r="D55" i="14"/>
  <c r="G57" i="14"/>
  <c r="C55" i="14"/>
  <c r="F57" i="14"/>
  <c r="B55" i="14"/>
  <c r="F62" i="14" l="1"/>
  <c r="B60" i="14"/>
  <c r="F60" i="14" s="1"/>
  <c r="G55" i="14"/>
  <c r="F55" i="14"/>
  <c r="AD52" i="14" l="1"/>
  <c r="M52" i="14"/>
  <c r="K52" i="14"/>
  <c r="K65" i="14" s="1"/>
  <c r="J52" i="14"/>
  <c r="J65" i="14" s="1"/>
  <c r="I52" i="14"/>
  <c r="I65" i="14" s="1"/>
  <c r="H52" i="14"/>
  <c r="H65" i="14" s="1"/>
  <c r="AD51" i="14"/>
  <c r="AD64" i="14" s="1"/>
  <c r="Z51" i="14"/>
  <c r="Z64" i="14" s="1"/>
  <c r="S51" i="14"/>
  <c r="S64" i="14" s="1"/>
  <c r="R51" i="14"/>
  <c r="R64" i="14" s="1"/>
  <c r="Q51" i="14"/>
  <c r="Q64" i="14" s="1"/>
  <c r="P51" i="14"/>
  <c r="P64" i="14" s="1"/>
  <c r="O51" i="14"/>
  <c r="O64" i="14" s="1"/>
  <c r="N51" i="14"/>
  <c r="N64" i="14" s="1"/>
  <c r="M51" i="14"/>
  <c r="M64" i="14" s="1"/>
  <c r="L51" i="14"/>
  <c r="L64" i="14" s="1"/>
  <c r="K51" i="14"/>
  <c r="K64" i="14" s="1"/>
  <c r="J51" i="14"/>
  <c r="J64" i="14" s="1"/>
  <c r="I51" i="14"/>
  <c r="I64" i="14" s="1"/>
  <c r="H51" i="14"/>
  <c r="H64" i="14" s="1"/>
  <c r="Z49" i="14"/>
  <c r="X49" i="14"/>
  <c r="V49" i="14"/>
  <c r="V52" i="14" s="1"/>
  <c r="V65" i="14" s="1"/>
  <c r="N49" i="14"/>
  <c r="L49" i="14"/>
  <c r="AE52" i="14"/>
  <c r="AC52" i="14"/>
  <c r="Z52" i="14"/>
  <c r="Z65" i="14" s="1"/>
  <c r="R52" i="14"/>
  <c r="R65" i="14" s="1"/>
  <c r="Q52" i="14"/>
  <c r="Q65" i="14" s="1"/>
  <c r="N52" i="14"/>
  <c r="AE51" i="14"/>
  <c r="AE64" i="14" s="1"/>
  <c r="AC51" i="14"/>
  <c r="AC64" i="14" s="1"/>
  <c r="AB51" i="14"/>
  <c r="AB64" i="14" s="1"/>
  <c r="Y51" i="14"/>
  <c r="Y64" i="14" s="1"/>
  <c r="Y86" i="14" s="1"/>
  <c r="X51" i="14"/>
  <c r="X64" i="14" s="1"/>
  <c r="W51" i="14"/>
  <c r="W64" i="14" s="1"/>
  <c r="V51" i="14"/>
  <c r="V64" i="14" s="1"/>
  <c r="U51" i="14"/>
  <c r="U64" i="14" s="1"/>
  <c r="T51" i="14"/>
  <c r="T64" i="14" s="1"/>
  <c r="D51" i="14"/>
  <c r="D64" i="14" s="1"/>
  <c r="AD45" i="14"/>
  <c r="Z45" i="14"/>
  <c r="P45" i="14"/>
  <c r="M45" i="14"/>
  <c r="L45" i="14"/>
  <c r="K45" i="14"/>
  <c r="J45" i="14"/>
  <c r="I45" i="14"/>
  <c r="V35" i="14"/>
  <c r="T35" i="14"/>
  <c r="R35" i="14"/>
  <c r="L35" i="14"/>
  <c r="L31" i="14" s="1"/>
  <c r="E35" i="14"/>
  <c r="V33" i="14"/>
  <c r="V31" i="14" s="1"/>
  <c r="T33" i="14"/>
  <c r="T31" i="14" s="1"/>
  <c r="R33" i="14"/>
  <c r="R31" i="14" s="1"/>
  <c r="E33" i="14"/>
  <c r="J23" i="14"/>
  <c r="J15" i="14" s="1"/>
  <c r="G23" i="14"/>
  <c r="L21" i="14"/>
  <c r="L15" i="14" s="1"/>
  <c r="V19" i="14"/>
  <c r="T19" i="14"/>
  <c r="R19" i="14"/>
  <c r="V18" i="14"/>
  <c r="V14" i="14" s="1"/>
  <c r="V40" i="14" s="1"/>
  <c r="T18" i="14"/>
  <c r="T14" i="14" s="1"/>
  <c r="T40" i="14" s="1"/>
  <c r="B31" i="14" l="1"/>
  <c r="AE65" i="14"/>
  <c r="AE50" i="14"/>
  <c r="H63" i="14"/>
  <c r="U86" i="14"/>
  <c r="H9" i="14"/>
  <c r="J63" i="14"/>
  <c r="AC86" i="14"/>
  <c r="AC65" i="14"/>
  <c r="AC50" i="14"/>
  <c r="I86" i="14"/>
  <c r="M86" i="14"/>
  <c r="Q86" i="14"/>
  <c r="Q9" i="14"/>
  <c r="K63" i="14"/>
  <c r="K9" i="14"/>
  <c r="W86" i="14"/>
  <c r="M65" i="14"/>
  <c r="M50" i="14"/>
  <c r="J13" i="14"/>
  <c r="AE86" i="14"/>
  <c r="AE9" i="14"/>
  <c r="B49" i="14"/>
  <c r="K86" i="14"/>
  <c r="O86" i="14"/>
  <c r="S86" i="14"/>
  <c r="I63" i="14"/>
  <c r="AD50" i="14"/>
  <c r="AD65" i="14"/>
  <c r="AD9" i="14" s="1"/>
  <c r="N50" i="14"/>
  <c r="N65" i="14"/>
  <c r="T17" i="14"/>
  <c r="T15" i="14"/>
  <c r="T41" i="14" s="1"/>
  <c r="Y45" i="14"/>
  <c r="V17" i="14"/>
  <c r="V15" i="14"/>
  <c r="V41" i="14" s="1"/>
  <c r="R17" i="14"/>
  <c r="R15" i="14"/>
  <c r="Q45" i="14"/>
  <c r="O52" i="14"/>
  <c r="S52" i="14"/>
  <c r="W52" i="14"/>
  <c r="AA52" i="14"/>
  <c r="AA65" i="14" s="1"/>
  <c r="E49" i="14"/>
  <c r="N45" i="14"/>
  <c r="AB45" i="14"/>
  <c r="AC45" i="14"/>
  <c r="O45" i="14"/>
  <c r="L13" i="14"/>
  <c r="B21" i="14"/>
  <c r="F21" i="14" s="1"/>
  <c r="U45" i="14"/>
  <c r="T52" i="14"/>
  <c r="T65" i="14" s="1"/>
  <c r="X52" i="14"/>
  <c r="X65" i="14" s="1"/>
  <c r="AB52" i="14"/>
  <c r="AB65" i="14" s="1"/>
  <c r="I50" i="14"/>
  <c r="T13" i="14"/>
  <c r="B14" i="14"/>
  <c r="X45" i="14"/>
  <c r="T45" i="14"/>
  <c r="B47" i="14"/>
  <c r="U52" i="14"/>
  <c r="Y52" i="14"/>
  <c r="Q63" i="14"/>
  <c r="B23" i="14"/>
  <c r="F23" i="14" s="1"/>
  <c r="B33" i="14"/>
  <c r="F33" i="14" s="1"/>
  <c r="N63" i="14"/>
  <c r="V63" i="14"/>
  <c r="V50" i="14"/>
  <c r="AC63" i="14"/>
  <c r="R50" i="14"/>
  <c r="R63" i="14"/>
  <c r="Z63" i="14"/>
  <c r="Z50" i="14"/>
  <c r="AE63" i="14"/>
  <c r="K50" i="14"/>
  <c r="V45" i="14"/>
  <c r="C51" i="14"/>
  <c r="C64" i="14" s="1"/>
  <c r="C10" i="14" s="1"/>
  <c r="AA51" i="14"/>
  <c r="AA64" i="14" s="1"/>
  <c r="AA45" i="14"/>
  <c r="P52" i="14"/>
  <c r="P65" i="14" s="1"/>
  <c r="X63" i="14"/>
  <c r="X50" i="14"/>
  <c r="Q50" i="14"/>
  <c r="B51" i="14"/>
  <c r="B64" i="14" s="1"/>
  <c r="J50" i="14"/>
  <c r="L52" i="14"/>
  <c r="W45" i="14"/>
  <c r="E46" i="14"/>
  <c r="E47" i="14"/>
  <c r="H50" i="14"/>
  <c r="B18" i="14"/>
  <c r="F18" i="14" s="1"/>
  <c r="B35" i="14"/>
  <c r="F35" i="14" s="1"/>
  <c r="B19" i="14"/>
  <c r="G10" i="14" l="1"/>
  <c r="C86" i="14"/>
  <c r="V9" i="14"/>
  <c r="U65" i="14"/>
  <c r="W50" i="14"/>
  <c r="W65" i="14"/>
  <c r="R13" i="14"/>
  <c r="R41" i="14"/>
  <c r="F47" i="14"/>
  <c r="V13" i="14"/>
  <c r="S50" i="14"/>
  <c r="S65" i="14"/>
  <c r="I9" i="14"/>
  <c r="AC9" i="14"/>
  <c r="F46" i="14"/>
  <c r="L50" i="14"/>
  <c r="L65" i="14"/>
  <c r="AA9" i="14"/>
  <c r="AA86" i="14"/>
  <c r="O50" i="14"/>
  <c r="O65" i="14"/>
  <c r="M63" i="14"/>
  <c r="B17" i="14"/>
  <c r="F17" i="14" s="1"/>
  <c r="F19" i="14"/>
  <c r="AB50" i="14"/>
  <c r="AB63" i="14"/>
  <c r="Y65" i="14"/>
  <c r="F49" i="14"/>
  <c r="T50" i="14"/>
  <c r="T63" i="14"/>
  <c r="T9" i="14"/>
  <c r="U50" i="14"/>
  <c r="B15" i="14"/>
  <c r="Y50" i="14"/>
  <c r="B45" i="14"/>
  <c r="AA63" i="14"/>
  <c r="B52" i="14"/>
  <c r="AA50" i="14"/>
  <c r="AD63" i="14"/>
  <c r="E51" i="14"/>
  <c r="C45" i="14"/>
  <c r="C52" i="14"/>
  <c r="C65" i="14" s="1"/>
  <c r="E52" i="14"/>
  <c r="E45" i="14"/>
  <c r="P63" i="14"/>
  <c r="P50" i="14"/>
  <c r="C63" i="14" l="1"/>
  <c r="C11" i="14"/>
  <c r="S63" i="14"/>
  <c r="E64" i="14"/>
  <c r="U9" i="14"/>
  <c r="F45" i="14"/>
  <c r="U63" i="14"/>
  <c r="W9" i="14"/>
  <c r="W63" i="14"/>
  <c r="O63" i="14"/>
  <c r="L63" i="14"/>
  <c r="S9" i="14"/>
  <c r="R9" i="14"/>
  <c r="B13" i="14"/>
  <c r="M9" i="14"/>
  <c r="E65" i="14"/>
  <c r="Y9" i="14"/>
  <c r="Y63" i="14"/>
  <c r="B50" i="14"/>
  <c r="B65" i="14"/>
  <c r="F51" i="14"/>
  <c r="C50" i="14"/>
  <c r="D65" i="14"/>
  <c r="D63" i="14" s="1"/>
  <c r="D45" i="14"/>
  <c r="F52" i="14"/>
  <c r="E50" i="14"/>
  <c r="C87" i="14" l="1"/>
  <c r="C85" i="14" s="1"/>
  <c r="C9" i="14"/>
  <c r="O9" i="14"/>
  <c r="G64" i="14"/>
  <c r="F64" i="14"/>
  <c r="E63" i="14"/>
  <c r="G63" i="14" s="1"/>
  <c r="G65" i="14"/>
  <c r="B63" i="14"/>
  <c r="F65" i="14"/>
  <c r="F50" i="14"/>
  <c r="D50" i="14"/>
  <c r="F63" i="14" l="1"/>
  <c r="AD86" i="14" l="1"/>
  <c r="AB74" i="14"/>
  <c r="Z74" i="14"/>
  <c r="X74" i="14"/>
  <c r="V74" i="14"/>
  <c r="V86" i="14" s="1"/>
  <c r="T74" i="14"/>
  <c r="T86" i="14" s="1"/>
  <c r="R74" i="14"/>
  <c r="R86" i="14" s="1"/>
  <c r="P74" i="14"/>
  <c r="N74" i="14"/>
  <c r="L74" i="14"/>
  <c r="L73" i="14" s="1"/>
  <c r="H74" i="14"/>
  <c r="H73" i="14" l="1"/>
  <c r="H71" i="14"/>
  <c r="H86" i="14"/>
  <c r="J73" i="14"/>
  <c r="J86" i="14"/>
  <c r="H8" i="14"/>
  <c r="AB28" i="14"/>
  <c r="Z28" i="14"/>
  <c r="X28" i="14"/>
  <c r="P28" i="14"/>
  <c r="N28" i="14"/>
  <c r="L28" i="14"/>
  <c r="J28" i="14"/>
  <c r="AB27" i="14"/>
  <c r="AB40" i="14" s="1"/>
  <c r="Z27" i="14"/>
  <c r="Z40" i="14" s="1"/>
  <c r="X27" i="14"/>
  <c r="X40" i="14" s="1"/>
  <c r="P27" i="14"/>
  <c r="P40" i="14" s="1"/>
  <c r="N27" i="14"/>
  <c r="N40" i="14" s="1"/>
  <c r="L27" i="14"/>
  <c r="Z86" i="14" l="1"/>
  <c r="N26" i="14"/>
  <c r="N41" i="14"/>
  <c r="AB26" i="14"/>
  <c r="AB41" i="14"/>
  <c r="N86" i="14"/>
  <c r="AB86" i="14"/>
  <c r="AB9" i="14"/>
  <c r="P26" i="14"/>
  <c r="P41" i="14"/>
  <c r="B27" i="14"/>
  <c r="L40" i="14"/>
  <c r="P86" i="14"/>
  <c r="P9" i="14"/>
  <c r="B28" i="14"/>
  <c r="J26" i="14"/>
  <c r="J41" i="14"/>
  <c r="X26" i="14"/>
  <c r="X41" i="14"/>
  <c r="D86" i="14"/>
  <c r="X9" i="14"/>
  <c r="X86" i="14"/>
  <c r="L26" i="14"/>
  <c r="L41" i="14"/>
  <c r="Z26" i="14"/>
  <c r="Z41" i="14"/>
  <c r="Z9" i="14" s="1"/>
  <c r="L9" i="14" l="1"/>
  <c r="L86" i="14"/>
  <c r="B26" i="14"/>
  <c r="F26" i="14" s="1"/>
  <c r="B41" i="14"/>
  <c r="F27" i="14"/>
  <c r="B40" i="14"/>
  <c r="B39" i="14" s="1"/>
  <c r="N9" i="14"/>
  <c r="D73" i="14"/>
  <c r="J9" i="14"/>
  <c r="L30" i="14" l="1"/>
  <c r="L37" i="14"/>
  <c r="L39" i="14" l="1"/>
  <c r="B84" i="14"/>
  <c r="B83" i="14" s="1"/>
  <c r="B82" i="14" s="1"/>
  <c r="B81" i="14"/>
  <c r="B79" i="14"/>
  <c r="H77" i="14"/>
  <c r="J77" i="14"/>
  <c r="J72" i="14" s="1"/>
  <c r="J87" i="14" s="1"/>
  <c r="J85" i="14" s="1"/>
  <c r="I77" i="14"/>
  <c r="K77" i="14"/>
  <c r="K72" i="14" s="1"/>
  <c r="K87" i="14" s="1"/>
  <c r="K85" i="14" s="1"/>
  <c r="L77" i="14"/>
  <c r="L72" i="14" s="1"/>
  <c r="L87" i="14" s="1"/>
  <c r="L85" i="14" s="1"/>
  <c r="M77" i="14"/>
  <c r="M72" i="14" s="1"/>
  <c r="M87" i="14" s="1"/>
  <c r="M85" i="14" s="1"/>
  <c r="N77" i="14"/>
  <c r="N72" i="14" s="1"/>
  <c r="N87" i="14" s="1"/>
  <c r="N85" i="14" s="1"/>
  <c r="O77" i="14"/>
  <c r="O72" i="14" s="1"/>
  <c r="O87" i="14" s="1"/>
  <c r="O85" i="14" s="1"/>
  <c r="P77" i="14"/>
  <c r="P72" i="14" s="1"/>
  <c r="P87" i="14" s="1"/>
  <c r="P85" i="14" s="1"/>
  <c r="Q77" i="14"/>
  <c r="Q76" i="14" s="1"/>
  <c r="R77" i="14"/>
  <c r="R72" i="14" s="1"/>
  <c r="R87" i="14" s="1"/>
  <c r="R85" i="14" s="1"/>
  <c r="S77" i="14"/>
  <c r="S72" i="14" s="1"/>
  <c r="S87" i="14" s="1"/>
  <c r="S85" i="14" s="1"/>
  <c r="T77" i="14"/>
  <c r="T72" i="14" s="1"/>
  <c r="T87" i="14" s="1"/>
  <c r="T85" i="14" s="1"/>
  <c r="U77" i="14"/>
  <c r="U75" i="14" s="1"/>
  <c r="V77" i="14"/>
  <c r="V72" i="14" s="1"/>
  <c r="V87" i="14" s="1"/>
  <c r="V85" i="14" s="1"/>
  <c r="W77" i="14"/>
  <c r="W72" i="14" s="1"/>
  <c r="W87" i="14" s="1"/>
  <c r="W85" i="14" s="1"/>
  <c r="X77" i="14"/>
  <c r="X72" i="14" s="1"/>
  <c r="X87" i="14" s="1"/>
  <c r="X85" i="14" s="1"/>
  <c r="Y77" i="14"/>
  <c r="Y72" i="14" s="1"/>
  <c r="Y87" i="14" s="1"/>
  <c r="Y85" i="14" s="1"/>
  <c r="Z77" i="14"/>
  <c r="Z72" i="14" s="1"/>
  <c r="Z87" i="14" s="1"/>
  <c r="Z85" i="14" s="1"/>
  <c r="AA77" i="14"/>
  <c r="AA72" i="14" s="1"/>
  <c r="AA87" i="14" s="1"/>
  <c r="AA85" i="14" s="1"/>
  <c r="AB77" i="14"/>
  <c r="AB72" i="14" s="1"/>
  <c r="AB87" i="14" s="1"/>
  <c r="AB85" i="14" s="1"/>
  <c r="AC77" i="14"/>
  <c r="AC72" i="14" s="1"/>
  <c r="AC87" i="14" s="1"/>
  <c r="AC85" i="14" s="1"/>
  <c r="AD77" i="14"/>
  <c r="AD72" i="14" s="1"/>
  <c r="AD87" i="14" s="1"/>
  <c r="AD85" i="14" s="1"/>
  <c r="D76" i="14"/>
  <c r="AE76" i="14"/>
  <c r="AE70" i="14"/>
  <c r="D72" i="14"/>
  <c r="AD71" i="14"/>
  <c r="AB71" i="14"/>
  <c r="Z71" i="14"/>
  <c r="X71" i="14"/>
  <c r="V71" i="14"/>
  <c r="T71" i="14"/>
  <c r="R71" i="14"/>
  <c r="P71" i="14"/>
  <c r="N71" i="14"/>
  <c r="L71" i="14"/>
  <c r="J71" i="14"/>
  <c r="B68" i="14"/>
  <c r="B67" i="14" s="1"/>
  <c r="B30" i="14"/>
  <c r="E81" i="14"/>
  <c r="D81" i="14"/>
  <c r="C81" i="14"/>
  <c r="B74" i="14"/>
  <c r="B73" i="14" s="1"/>
  <c r="AE72" i="14"/>
  <c r="AE87" i="14" s="1"/>
  <c r="AE85" i="14" s="1"/>
  <c r="AF72" i="14"/>
  <c r="D71" i="14"/>
  <c r="I71" i="14"/>
  <c r="K71" i="14"/>
  <c r="M71" i="14"/>
  <c r="O71" i="14"/>
  <c r="Q71" i="14"/>
  <c r="S71" i="14"/>
  <c r="U71" i="14"/>
  <c r="W71" i="14"/>
  <c r="Y71" i="14"/>
  <c r="AA71" i="14"/>
  <c r="AC71" i="14"/>
  <c r="E84" i="14"/>
  <c r="AD83" i="14"/>
  <c r="AD82" i="14" s="1"/>
  <c r="AC83" i="14"/>
  <c r="AC82" i="14" s="1"/>
  <c r="AB83" i="14"/>
  <c r="AB82" i="14" s="1"/>
  <c r="AA83" i="14"/>
  <c r="AA82" i="14" s="1"/>
  <c r="Z83" i="14"/>
  <c r="Z82" i="14" s="1"/>
  <c r="Y83" i="14"/>
  <c r="Y82" i="14" s="1"/>
  <c r="X83" i="14"/>
  <c r="X82" i="14" s="1"/>
  <c r="W83" i="14"/>
  <c r="W82" i="14" s="1"/>
  <c r="V83" i="14"/>
  <c r="V82" i="14" s="1"/>
  <c r="U83" i="14"/>
  <c r="U82" i="14" s="1"/>
  <c r="T83" i="14"/>
  <c r="T82" i="14" s="1"/>
  <c r="S83" i="14"/>
  <c r="S82" i="14" s="1"/>
  <c r="R83" i="14"/>
  <c r="R82" i="14" s="1"/>
  <c r="Q83" i="14"/>
  <c r="Q82" i="14" s="1"/>
  <c r="P83" i="14"/>
  <c r="P82" i="14" s="1"/>
  <c r="O83" i="14"/>
  <c r="O82" i="14" s="1"/>
  <c r="N83" i="14"/>
  <c r="N82" i="14" s="1"/>
  <c r="M83" i="14"/>
  <c r="M82" i="14" s="1"/>
  <c r="L83" i="14"/>
  <c r="L82" i="14" s="1"/>
  <c r="K83" i="14"/>
  <c r="K82" i="14" s="1"/>
  <c r="J83" i="14"/>
  <c r="J82" i="14" s="1"/>
  <c r="I83" i="14"/>
  <c r="I82" i="14" s="1"/>
  <c r="H83" i="14"/>
  <c r="H82" i="14" s="1"/>
  <c r="D82" i="14"/>
  <c r="E79" i="14"/>
  <c r="D79" i="14"/>
  <c r="C79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B71" i="14" l="1"/>
  <c r="C83" i="14"/>
  <c r="I72" i="14"/>
  <c r="I87" i="14" s="1"/>
  <c r="I85" i="14" s="1"/>
  <c r="I75" i="14"/>
  <c r="H72" i="14"/>
  <c r="H87" i="14" s="1"/>
  <c r="H85" i="14" s="1"/>
  <c r="H75" i="14"/>
  <c r="B10" i="14"/>
  <c r="R75" i="14"/>
  <c r="Q75" i="14"/>
  <c r="U76" i="14"/>
  <c r="P75" i="14"/>
  <c r="L75" i="14"/>
  <c r="AD76" i="14"/>
  <c r="N76" i="14"/>
  <c r="Z75" i="14"/>
  <c r="AC76" i="14"/>
  <c r="M76" i="14"/>
  <c r="Y75" i="14"/>
  <c r="M75" i="14"/>
  <c r="V76" i="14"/>
  <c r="AD75" i="14"/>
  <c r="V75" i="14"/>
  <c r="J75" i="14"/>
  <c r="AC75" i="14"/>
  <c r="U72" i="14"/>
  <c r="Z76" i="14"/>
  <c r="R76" i="14"/>
  <c r="I76" i="14"/>
  <c r="X69" i="14"/>
  <c r="P69" i="14"/>
  <c r="N75" i="14"/>
  <c r="Z69" i="14"/>
  <c r="Q72" i="14"/>
  <c r="Y76" i="14"/>
  <c r="S70" i="14"/>
  <c r="AB75" i="14"/>
  <c r="X75" i="14"/>
  <c r="T75" i="14"/>
  <c r="AB76" i="14"/>
  <c r="X76" i="14"/>
  <c r="T76" i="14"/>
  <c r="P76" i="14"/>
  <c r="L76" i="14"/>
  <c r="J76" i="14"/>
  <c r="W70" i="14"/>
  <c r="AA75" i="14"/>
  <c r="W75" i="14"/>
  <c r="S75" i="14"/>
  <c r="O75" i="14"/>
  <c r="K75" i="14"/>
  <c r="AA76" i="14"/>
  <c r="W76" i="14"/>
  <c r="S76" i="14"/>
  <c r="O76" i="14"/>
  <c r="K76" i="14"/>
  <c r="AD70" i="14"/>
  <c r="Z70" i="14"/>
  <c r="V70" i="14"/>
  <c r="R69" i="14"/>
  <c r="N70" i="14"/>
  <c r="Y70" i="14"/>
  <c r="AB69" i="14"/>
  <c r="T69" i="14"/>
  <c r="L69" i="14"/>
  <c r="H70" i="14"/>
  <c r="AC70" i="14"/>
  <c r="O70" i="14"/>
  <c r="D70" i="14"/>
  <c r="H76" i="14"/>
  <c r="B77" i="14"/>
  <c r="AA70" i="14"/>
  <c r="M70" i="14"/>
  <c r="K70" i="14"/>
  <c r="R70" i="14"/>
  <c r="J69" i="14"/>
  <c r="L70" i="14"/>
  <c r="J70" i="14"/>
  <c r="AB70" i="14"/>
  <c r="X70" i="14"/>
  <c r="T70" i="14"/>
  <c r="P70" i="14"/>
  <c r="M69" i="14"/>
  <c r="Y69" i="14"/>
  <c r="AD69" i="14"/>
  <c r="AA69" i="14"/>
  <c r="W69" i="14"/>
  <c r="S69" i="14"/>
  <c r="O69" i="14"/>
  <c r="K69" i="14"/>
  <c r="AC69" i="14"/>
  <c r="E83" i="14"/>
  <c r="D69" i="14"/>
  <c r="V69" i="14"/>
  <c r="N69" i="14"/>
  <c r="Q69" i="14" l="1"/>
  <c r="Q87" i="14"/>
  <c r="Q85" i="14" s="1"/>
  <c r="C82" i="14"/>
  <c r="H69" i="14"/>
  <c r="U70" i="14"/>
  <c r="U87" i="14"/>
  <c r="U85" i="14" s="1"/>
  <c r="E82" i="14"/>
  <c r="I69" i="14"/>
  <c r="I70" i="14"/>
  <c r="B72" i="14"/>
  <c r="B70" i="14" s="1"/>
  <c r="B86" i="14"/>
  <c r="B85" i="14" s="1"/>
  <c r="F10" i="14"/>
  <c r="U69" i="14"/>
  <c r="Q70" i="14"/>
  <c r="B75" i="14"/>
  <c r="B76" i="14"/>
  <c r="B69" i="14" l="1"/>
  <c r="B11" i="14"/>
  <c r="B87" i="14" l="1"/>
  <c r="B9" i="14"/>
  <c r="C8" i="14"/>
  <c r="C7" i="14" s="1"/>
  <c r="H7" i="14" l="1"/>
  <c r="AC8" i="14"/>
  <c r="AC7" i="14" s="1"/>
  <c r="AA8" i="14"/>
  <c r="AA7" i="14" s="1"/>
  <c r="Y8" i="14"/>
  <c r="Y7" i="14" s="1"/>
  <c r="W8" i="14"/>
  <c r="W7" i="14" s="1"/>
  <c r="S8" i="14"/>
  <c r="S7" i="14" s="1"/>
  <c r="Q8" i="14"/>
  <c r="Q7" i="14" s="1"/>
  <c r="O8" i="14"/>
  <c r="O7" i="14" s="1"/>
  <c r="M8" i="14"/>
  <c r="M7" i="14" s="1"/>
  <c r="K8" i="14"/>
  <c r="K7" i="14" s="1"/>
  <c r="U8" i="14"/>
  <c r="U7" i="14" s="1"/>
  <c r="I8" i="14"/>
  <c r="I7" i="14" s="1"/>
  <c r="AD8" i="14"/>
  <c r="AD7" i="14" s="1"/>
  <c r="AB8" i="14"/>
  <c r="AB7" i="14" s="1"/>
  <c r="Z8" i="14"/>
  <c r="Z7" i="14" s="1"/>
  <c r="N8" i="14"/>
  <c r="N7" i="14" s="1"/>
  <c r="L8" i="14"/>
  <c r="L7" i="14" s="1"/>
  <c r="V8" i="14"/>
  <c r="V7" i="14" s="1"/>
  <c r="R8" i="14"/>
  <c r="R7" i="14" s="1"/>
  <c r="C77" i="14"/>
  <c r="E77" i="14"/>
  <c r="E76" i="14" l="1"/>
  <c r="E72" i="14"/>
  <c r="C76" i="14"/>
  <c r="C72" i="14"/>
  <c r="B8" i="14"/>
  <c r="C73" i="14"/>
  <c r="E75" i="14"/>
  <c r="C75" i="14"/>
  <c r="T8" i="14"/>
  <c r="T7" i="14" s="1"/>
  <c r="P8" i="14"/>
  <c r="P7" i="14" s="1"/>
  <c r="X8" i="14"/>
  <c r="X7" i="14" s="1"/>
  <c r="J8" i="14"/>
  <c r="J7" i="14" s="1"/>
  <c r="E74" i="14"/>
  <c r="E68" i="14"/>
  <c r="C68" i="14"/>
  <c r="AE67" i="14"/>
  <c r="AD67" i="14"/>
  <c r="AC67" i="14"/>
  <c r="AB67" i="14"/>
  <c r="AA67" i="14"/>
  <c r="Z67" i="14"/>
  <c r="Y67" i="14"/>
  <c r="X67" i="14"/>
  <c r="W67" i="14"/>
  <c r="V67" i="14"/>
  <c r="U67" i="14"/>
  <c r="S67" i="14"/>
  <c r="R67" i="14"/>
  <c r="Q67" i="14"/>
  <c r="P67" i="14"/>
  <c r="O67" i="14"/>
  <c r="N67" i="14"/>
  <c r="M67" i="14"/>
  <c r="L67" i="14"/>
  <c r="K67" i="14"/>
  <c r="J67" i="14"/>
  <c r="I67" i="14"/>
  <c r="D67" i="14"/>
  <c r="E37" i="14"/>
  <c r="D38" i="14"/>
  <c r="C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K37" i="14"/>
  <c r="G37" i="14"/>
  <c r="F37" i="14"/>
  <c r="D30" i="14"/>
  <c r="C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K30" i="14"/>
  <c r="J30" i="14"/>
  <c r="I30" i="14"/>
  <c r="H30" i="14"/>
  <c r="E86" i="14" l="1"/>
  <c r="C67" i="14"/>
  <c r="F14" i="14"/>
  <c r="E40" i="14"/>
  <c r="G15" i="14"/>
  <c r="E41" i="14"/>
  <c r="E11" i="14" s="1"/>
  <c r="E87" i="14" s="1"/>
  <c r="F15" i="14"/>
  <c r="D37" i="14"/>
  <c r="D41" i="14"/>
  <c r="E71" i="14"/>
  <c r="G74" i="14"/>
  <c r="F74" i="14"/>
  <c r="B7" i="14"/>
  <c r="AE39" i="14"/>
  <c r="E13" i="14"/>
  <c r="C70" i="14"/>
  <c r="C69" i="14"/>
  <c r="E73" i="14"/>
  <c r="X39" i="14"/>
  <c r="U39" i="14"/>
  <c r="Y39" i="14"/>
  <c r="E67" i="14"/>
  <c r="M39" i="14"/>
  <c r="I39" i="14"/>
  <c r="Q39" i="14"/>
  <c r="S39" i="14"/>
  <c r="AC39" i="14"/>
  <c r="AA39" i="14"/>
  <c r="O39" i="14"/>
  <c r="W39" i="14"/>
  <c r="K39" i="14"/>
  <c r="H39" i="14"/>
  <c r="P39" i="14"/>
  <c r="AB39" i="14"/>
  <c r="T67" i="14"/>
  <c r="F31" i="14"/>
  <c r="E30" i="14"/>
  <c r="J39" i="14"/>
  <c r="R39" i="14"/>
  <c r="Z39" i="14"/>
  <c r="AD39" i="14"/>
  <c r="D11" i="14" l="1"/>
  <c r="D39" i="14"/>
  <c r="E9" i="14"/>
  <c r="G11" i="14"/>
  <c r="F11" i="14"/>
  <c r="D9" i="14"/>
  <c r="D8" i="14" s="1"/>
  <c r="D7" i="14" s="1"/>
  <c r="D87" i="14"/>
  <c r="D85" i="14" s="1"/>
  <c r="E70" i="14"/>
  <c r="G70" i="14" s="1"/>
  <c r="E69" i="14"/>
  <c r="F69" i="14" s="1"/>
  <c r="G13" i="14"/>
  <c r="F13" i="14"/>
  <c r="G41" i="14"/>
  <c r="F41" i="14"/>
  <c r="F40" i="14"/>
  <c r="G87" i="14"/>
  <c r="F87" i="14"/>
  <c r="F70" i="14"/>
  <c r="E85" i="14"/>
  <c r="G86" i="14"/>
  <c r="F86" i="14"/>
  <c r="G73" i="14"/>
  <c r="F73" i="14"/>
  <c r="G71" i="14"/>
  <c r="F71" i="14"/>
  <c r="T39" i="14"/>
  <c r="N39" i="14"/>
  <c r="V39" i="14"/>
  <c r="F30" i="14"/>
  <c r="C39" i="14"/>
  <c r="E39" i="14"/>
  <c r="G9" i="14" l="1"/>
  <c r="E8" i="14"/>
  <c r="F9" i="14"/>
  <c r="G69" i="14"/>
  <c r="F39" i="14"/>
  <c r="G39" i="14"/>
  <c r="G85" i="14"/>
  <c r="F85" i="14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/>
  <c r="I19" i="2"/>
  <c r="H19" i="2"/>
  <c r="G19" i="2"/>
  <c r="F18" i="2"/>
  <c r="F17" i="2"/>
  <c r="G16" i="2"/>
  <c r="F16" i="2" s="1"/>
  <c r="F15" i="2" s="1"/>
  <c r="I15" i="2"/>
  <c r="H15" i="2"/>
  <c r="G15" i="2"/>
  <c r="E7" i="14" l="1"/>
  <c r="G8" i="14"/>
  <c r="F8" i="14"/>
  <c r="F19" i="2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G7" i="14" l="1"/>
  <c r="F7" i="14"/>
  <c r="I58" i="2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sharedStrings.xml><?xml version="1.0" encoding="utf-8"?>
<sst xmlns="http://schemas.openxmlformats.org/spreadsheetml/2006/main" count="491" uniqueCount="148">
  <si>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</si>
  <si>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</si>
  <si>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</si>
  <si>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</si>
  <si>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</si>
  <si>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</si>
  <si>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</si>
  <si>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</si>
  <si>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</si>
  <si>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</si>
  <si>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</si>
  <si>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</si>
  <si>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</si>
  <si>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</si>
  <si>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</si>
  <si>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</si>
  <si>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</si>
  <si>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</si>
  <si>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</si>
  <si>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</si>
  <si>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</si>
  <si>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</si>
  <si>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</si>
  <si>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</si>
  <si>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</si>
  <si>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</si>
  <si>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</si>
  <si>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</si>
  <si>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</si>
  <si>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</si>
  <si>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</si>
  <si>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</si>
  <si>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</si>
  <si>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</si>
  <si>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</si>
  <si>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</si>
  <si>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</si>
  <si>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</si>
  <si>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</si>
  <si>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</si>
  <si>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</si>
  <si>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</si>
  <si>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</si>
  <si>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</si>
  <si>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</si>
  <si>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</si>
  <si>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</si>
  <si>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</si>
  <si>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</si>
  <si>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</si>
  <si>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</si>
  <si>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</si>
  <si>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</si>
  <si>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</si>
  <si>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</si>
  <si>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</si>
  <si>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</si>
  <si>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</si>
  <si>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</si>
  <si>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</si>
  <si>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</si>
  <si>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</si>
  <si>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</si>
  <si>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</si>
  <si>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</si>
  <si>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</si>
  <si>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</si>
  <si>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</si>
  <si>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</si>
  <si>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</si>
  <si>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</si>
  <si>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</si>
  <si>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</si>
  <si>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</si>
  <si>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</si>
  <si>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</si>
  <si>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</si>
  <si>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</si>
  <si>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</si>
  <si>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</si>
  <si>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</si>
  <si>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</si>
  <si>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</si>
  <si>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</si>
  <si>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</si>
  <si>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</si>
  <si>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</si>
  <si>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</si>
  <si>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</si>
  <si>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</si>
  <si>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</si>
  <si>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</si>
  <si>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</si>
  <si>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</si>
  <si>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</si>
  <si>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</si>
  <si>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</si>
  <si>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</si>
  <si>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</si>
  <si>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</si>
  <si>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</si>
  <si>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</si>
  <si>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</si>
  <si>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</si>
  <si>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по программе, в том числе</t>
  </si>
  <si>
    <t>Начальник управления экономики Администрации города Когалыма</t>
  </si>
  <si>
    <t>(подпись)</t>
  </si>
  <si>
    <t>(расшифровка подписи)</t>
  </si>
  <si>
    <t xml:space="preserve">Ответственный за составление сетевого графика </t>
  </si>
  <si>
    <t>Мартынова Снежана Владимировна 93-785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</si>
  <si>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</si>
  <si>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</si>
  <si>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</si>
  <si>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тыс. рублей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</si>
  <si>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</si>
  <si>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</si>
  <si>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Подпрограмма 3. «Сопровождение инвалидов, в том числе молодого возраста, при трудоустройстве»</t>
  </si>
  <si>
    <t>План на 2019 год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</si>
  <si>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</si>
  <si>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</si>
  <si>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</si>
  <si>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</si>
  <si>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</si>
  <si>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</si>
  <si>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Е.Г.Загорская</t>
  </si>
  <si>
    <t>план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</si>
  <si>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</si>
  <si>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</si>
  <si>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</si>
  <si>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</si>
  <si>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ИТОГО КСАТ: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</si>
  <si>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</si>
  <si>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</si>
  <si>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</si>
  <si>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</si>
  <si>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</si>
  <si>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>ИТОГО УОДОМС: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</si>
  <si>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</si>
  <si>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</si>
  <si>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</si>
  <si>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Заседание Межведомственной комиссии планируется провести в мае и ноябре 2019 года.</t>
  </si>
  <si>
    <t>Отчет о ходе реализации муниципальной программы "Содействие занятости населения города Когалыма"по состоянию на 01.03.2019 года</t>
  </si>
  <si>
    <t>Приобретены канц.товары.</t>
  </si>
  <si>
    <r>
      <t>Не использовано:  
-</t>
    </r>
    <r>
      <rPr>
        <b/>
        <sz val="10"/>
        <rFont val="Times New Roman"/>
        <family val="1"/>
        <charset val="204"/>
      </rPr>
      <t>местный бюджет 0,77т.р</t>
    </r>
    <r>
      <rPr>
        <sz val="10"/>
        <rFont val="Times New Roman"/>
        <family val="1"/>
        <charset val="204"/>
      </rPr>
      <t xml:space="preserve">.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- 0,72т.р.- остаток по заработной плате;
- 0,05т.р.- остаток начислений на заработную плату (налог). 
Денежные средства выплачены несовершеннолетним гражданам по факту отработанного времени. </t>
    </r>
  </si>
  <si>
    <r>
      <t xml:space="preserve">Остаток плановых ассигнований - </t>
    </r>
    <r>
      <rPr>
        <b/>
        <sz val="10"/>
        <rFont val="Times New Roman"/>
        <family val="1"/>
        <charset val="204"/>
      </rPr>
      <t xml:space="preserve">482,85 тыс.рублей, </t>
    </r>
    <r>
      <rPr>
        <sz val="10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- 423,84 тыс.руб. бюджет города Когалыма,                                                                                                                                                                                                                                                                                                                                                                                                                                                                                     - 59,01 тыс.руб. бюджет автономного округа.                                                                                                                                                                                                                                                                                                                                                                                                                                                                                       Плановые ассигнования не освоены в связи с тем, что 2 человека трудоустроены в во второй декаде февраля (18.02.019 г. и 25.02.2019 г.) Согласно сроков выплаты заработной платы, оплата за февраль м-ц будет проведена в марте 2019 года. </t>
    </r>
  </si>
  <si>
    <t>По состоянию на 01.03.2019 года остаток средств автономного округа составил 30,09 тыс. рублей, в связив связи с тем, что кассовые расходы на связь, т/о и ремонту компьютерной и копировальной техники и комунальные услуги производились по фактически выставлеными поставщиками счетами. Специалистами отдела по труду и занятости: рассмотрено 4 устных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</si>
  <si>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Принято и проверено 163 отчета по ОТ от работодателей г.Когалыма за 2018 год.</t>
  </si>
  <si>
    <t>По факту обращения несовершеннолетних граждан специалистами МАУ "МКЦ"Феникс" оказано 636 консультаций.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</si>
</sst>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</numFmts>
  <fonts count="34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5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 applyProtection="1">
      <alignment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 applyProtection="1">
      <alignment horizontal="right" vertical="center" wrapText="1"/>
    </xf>
    <xf numFmtId="0" fontId="19" fillId="3" borderId="1" xfId="0" applyFont="1" applyFill="1" applyBorder="1" applyAlignment="1" applyProtection="1">
      <alignment horizontal="left" vertical="top" wrapText="1"/>
    </xf>
    <xf numFmtId="2" fontId="16" fillId="4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Border="1"/>
    <xf numFmtId="0" fontId="19" fillId="7" borderId="1" xfId="0" applyFont="1" applyFill="1" applyBorder="1" applyAlignment="1">
      <alignment horizontal="justify" vertical="center" wrapText="1"/>
    </xf>
    <xf numFmtId="0" fontId="18" fillId="7" borderId="0" xfId="0" applyFont="1" applyFill="1" applyBorder="1" applyAlignment="1">
      <alignment vertical="center" wrapText="1"/>
    </xf>
    <xf numFmtId="0" fontId="19" fillId="7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justify" vertical="top" wrapText="1"/>
    </xf>
    <xf numFmtId="0" fontId="24" fillId="4" borderId="1" xfId="0" applyFont="1" applyFill="1" applyBorder="1" applyAlignment="1">
      <alignment horizontal="justify" wrapText="1"/>
    </xf>
    <xf numFmtId="9" fontId="24" fillId="4" borderId="1" xfId="2" applyFont="1" applyFill="1" applyBorder="1" applyAlignment="1">
      <alignment horizontal="right" vertical="center" wrapText="1"/>
    </xf>
    <xf numFmtId="43" fontId="24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9" fontId="24" fillId="0" borderId="1" xfId="2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24" fillId="5" borderId="1" xfId="1" applyFont="1" applyFill="1" applyBorder="1" applyAlignment="1" applyProtection="1">
      <alignment horizontal="righ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>
      <alignment horizontal="justify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 applyProtection="1">
      <alignment vertical="top" wrapText="1"/>
    </xf>
    <xf numFmtId="0" fontId="24" fillId="9" borderId="1" xfId="0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9" fontId="24" fillId="10" borderId="1" xfId="2" applyFont="1" applyFill="1" applyBorder="1" applyAlignment="1">
      <alignment horizontal="right" vertical="center" wrapText="1"/>
    </xf>
    <xf numFmtId="10" fontId="31" fillId="10" borderId="1" xfId="2" applyNumberFormat="1" applyFont="1" applyFill="1" applyBorder="1" applyAlignment="1">
      <alignment horizontal="right" vertical="center" wrapText="1"/>
    </xf>
    <xf numFmtId="0" fontId="32" fillId="0" borderId="7" xfId="0" applyFont="1" applyFill="1" applyBorder="1" applyAlignment="1">
      <alignment horizontal="justify" vertical="center" wrapText="1"/>
    </xf>
    <xf numFmtId="9" fontId="24" fillId="0" borderId="7" xfId="2" applyFont="1" applyFill="1" applyBorder="1" applyAlignment="1" applyProtection="1">
      <alignment horizontal="right" vertical="center" wrapText="1"/>
    </xf>
    <xf numFmtId="0" fontId="25" fillId="1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9" fontId="24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right" wrapText="1"/>
    </xf>
    <xf numFmtId="43" fontId="17" fillId="0" borderId="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3" fontId="33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justify"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3" fontId="24" fillId="0" borderId="1" xfId="1" applyNumberFormat="1" applyFont="1" applyFill="1" applyBorder="1" applyAlignment="1">
      <alignment horizontal="right" wrapText="1"/>
    </xf>
    <xf numFmtId="43" fontId="24" fillId="0" borderId="1" xfId="1" applyNumberFormat="1" applyFont="1" applyFill="1" applyBorder="1" applyAlignment="1" applyProtection="1">
      <alignment horizontal="right" wrapText="1"/>
    </xf>
    <xf numFmtId="0" fontId="5" fillId="11" borderId="1" xfId="0" applyFont="1" applyFill="1" applyBorder="1" applyAlignment="1">
      <alignment horizontal="left" wrapText="1"/>
    </xf>
    <xf numFmtId="43" fontId="24" fillId="10" borderId="1" xfId="0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 applyProtection="1">
      <alignment horizontal="right" wrapText="1"/>
    </xf>
    <xf numFmtId="43" fontId="5" fillId="0" borderId="1" xfId="0" applyNumberFormat="1" applyFont="1" applyFill="1" applyBorder="1" applyAlignment="1">
      <alignment horizontal="right" wrapText="1"/>
    </xf>
    <xf numFmtId="0" fontId="26" fillId="12" borderId="1" xfId="0" applyFont="1" applyFill="1" applyBorder="1" applyAlignment="1">
      <alignment horizontal="justify" vertical="top" wrapText="1"/>
    </xf>
    <xf numFmtId="2" fontId="24" fillId="12" borderId="1" xfId="0" applyNumberFormat="1" applyFont="1" applyFill="1" applyBorder="1" applyAlignment="1" applyProtection="1">
      <alignment horizontal="right" vertical="center" wrapText="1"/>
    </xf>
    <xf numFmtId="2" fontId="16" fillId="12" borderId="4" xfId="0" applyNumberFormat="1" applyFont="1" applyFill="1" applyBorder="1" applyAlignment="1" applyProtection="1">
      <alignment horizontal="right" vertical="center" wrapText="1"/>
    </xf>
    <xf numFmtId="9" fontId="24" fillId="0" borderId="1" xfId="2" applyNumberFormat="1" applyFont="1" applyFill="1" applyBorder="1" applyAlignment="1">
      <alignment horizontal="right" wrapText="1"/>
    </xf>
    <xf numFmtId="9" fontId="5" fillId="0" borderId="1" xfId="2" applyNumberFormat="1" applyFont="1" applyFill="1" applyBorder="1" applyAlignment="1" applyProtection="1">
      <alignment horizontal="right" wrapText="1"/>
    </xf>
    <xf numFmtId="9" fontId="24" fillId="10" borderId="1" xfId="0" applyNumberFormat="1" applyFont="1" applyFill="1" applyBorder="1" applyAlignment="1">
      <alignment horizontal="right" wrapText="1"/>
    </xf>
    <xf numFmtId="10" fontId="5" fillId="10" borderId="1" xfId="1" applyNumberFormat="1" applyFont="1" applyFill="1" applyBorder="1" applyAlignment="1">
      <alignment horizontal="right" wrapText="1"/>
    </xf>
    <xf numFmtId="0" fontId="25" fillId="1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justify" wrapText="1"/>
    </xf>
    <xf numFmtId="9" fontId="24" fillId="9" borderId="1" xfId="2" applyFont="1" applyFill="1" applyBorder="1" applyAlignment="1" applyProtection="1">
      <alignment vertical="center" wrapText="1"/>
    </xf>
    <xf numFmtId="9" fontId="24" fillId="7" borderId="1" xfId="2" applyFont="1" applyFill="1" applyBorder="1" applyAlignment="1">
      <alignment horizontal="right" vertical="center" wrapText="1"/>
    </xf>
    <xf numFmtId="9" fontId="24" fillId="0" borderId="1" xfId="2" applyFont="1" applyFill="1" applyBorder="1" applyAlignment="1">
      <alignment horizontal="right" wrapText="1"/>
    </xf>
    <xf numFmtId="9" fontId="5" fillId="11" borderId="1" xfId="2" applyNumberFormat="1" applyFont="1" applyFill="1" applyBorder="1" applyAlignment="1" applyProtection="1">
      <alignment horizontal="right" wrapText="1"/>
    </xf>
    <xf numFmtId="9" fontId="5" fillId="11" borderId="1" xfId="2" applyFont="1" applyFill="1" applyBorder="1" applyAlignment="1" applyProtection="1">
      <alignment horizontal="right" wrapText="1"/>
    </xf>
    <xf numFmtId="9" fontId="5" fillId="6" borderId="1" xfId="1" applyNumberFormat="1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horizontal="right" vertical="center" wrapText="1"/>
    </xf>
    <xf numFmtId="9" fontId="24" fillId="9" borderId="1" xfId="2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24" fillId="4" borderId="1" xfId="1" applyNumberFormat="1" applyFont="1" applyFill="1" applyBorder="1" applyAlignment="1">
      <alignment horizontal="right" vertical="center" wrapText="1"/>
    </xf>
    <xf numFmtId="9" fontId="24" fillId="3" borderId="1" xfId="2" applyFont="1" applyFill="1" applyBorder="1" applyAlignment="1" applyProtection="1">
      <alignment horizontal="right" vertical="center" wrapText="1"/>
    </xf>
    <xf numFmtId="0" fontId="24" fillId="13" borderId="1" xfId="0" applyFont="1" applyFill="1" applyBorder="1" applyAlignment="1">
      <alignment horizontal="justify" wrapText="1"/>
    </xf>
    <xf numFmtId="43" fontId="24" fillId="13" borderId="1" xfId="1" applyFont="1" applyFill="1" applyBorder="1" applyAlignment="1">
      <alignment horizontal="right" vertical="center" wrapText="1"/>
    </xf>
    <xf numFmtId="9" fontId="24" fillId="13" borderId="1" xfId="2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justify" vertical="center" wrapText="1"/>
    </xf>
    <xf numFmtId="43" fontId="24" fillId="9" borderId="1" xfId="0" applyNumberFormat="1" applyFont="1" applyFill="1" applyBorder="1" applyAlignment="1" applyProtection="1">
      <alignment vertical="center" wrapText="1"/>
    </xf>
    <xf numFmtId="43" fontId="24" fillId="7" borderId="1" xfId="0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 applyProtection="1">
      <alignment horizontal="right" vertical="center" wrapText="1"/>
    </xf>
    <xf numFmtId="43" fontId="5" fillId="5" borderId="1" xfId="1" applyNumberFormat="1" applyFont="1" applyFill="1" applyBorder="1" applyAlignment="1">
      <alignment horizontal="right" vertical="center" wrapText="1"/>
    </xf>
    <xf numFmtId="43" fontId="5" fillId="5" borderId="1" xfId="1" applyNumberFormat="1" applyFont="1" applyFill="1" applyBorder="1" applyAlignment="1" applyProtection="1">
      <alignment horizontal="right" vertical="center" wrapText="1"/>
    </xf>
    <xf numFmtId="43" fontId="5" fillId="12" borderId="1" xfId="0" applyNumberFormat="1" applyFont="1" applyFill="1" applyBorder="1" applyAlignment="1">
      <alignment horizontal="right" vertical="center" wrapText="1"/>
    </xf>
    <xf numFmtId="43" fontId="5" fillId="12" borderId="1" xfId="0" applyNumberFormat="1" applyFont="1" applyFill="1" applyBorder="1" applyAlignment="1" applyProtection="1">
      <alignment horizontal="right" vertical="center" wrapText="1"/>
    </xf>
    <xf numFmtId="43" fontId="24" fillId="12" borderId="1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>
      <alignment horizontal="right" vertical="center" wrapText="1"/>
    </xf>
    <xf numFmtId="43" fontId="24" fillId="10" borderId="1" xfId="0" applyNumberFormat="1" applyFont="1" applyFill="1" applyBorder="1" applyAlignment="1">
      <alignment horizontal="right" vertical="center" wrapText="1"/>
    </xf>
    <xf numFmtId="43" fontId="31" fillId="10" borderId="1" xfId="0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 applyProtection="1">
      <alignment horizontal="right" wrapText="1"/>
    </xf>
    <xf numFmtId="43" fontId="24" fillId="13" borderId="1" xfId="1" applyNumberFormat="1" applyFont="1" applyFill="1" applyBorder="1" applyAlignment="1">
      <alignment horizontal="right" vertical="center" wrapText="1"/>
    </xf>
    <xf numFmtId="43" fontId="5" fillId="0" borderId="7" xfId="1" applyNumberFormat="1" applyFont="1" applyFill="1" applyBorder="1" applyAlignment="1">
      <alignment horizontal="right" vertical="center" wrapText="1"/>
    </xf>
    <xf numFmtId="43" fontId="24" fillId="0" borderId="7" xfId="1" applyNumberFormat="1" applyFont="1" applyFill="1" applyBorder="1" applyAlignment="1" applyProtection="1">
      <alignment horizontal="right" vertical="center" wrapText="1"/>
    </xf>
    <xf numFmtId="43" fontId="24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justify" wrapText="1"/>
    </xf>
    <xf numFmtId="43" fontId="24" fillId="9" borderId="1" xfId="1" applyNumberFormat="1" applyFont="1" applyFill="1" applyBorder="1" applyAlignment="1" applyProtection="1">
      <alignment horizontal="right" vertical="center" wrapText="1"/>
    </xf>
    <xf numFmtId="43" fontId="24" fillId="7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 applyProtection="1">
      <alignment horizontal="right" vertical="center" wrapText="1"/>
    </xf>
    <xf numFmtId="43" fontId="24" fillId="3" borderId="1" xfId="1" applyNumberFormat="1" applyFont="1" applyFill="1" applyBorder="1" applyAlignment="1" applyProtection="1">
      <alignment horizontal="right" vertical="center" wrapText="1"/>
    </xf>
    <xf numFmtId="43" fontId="16" fillId="3" borderId="4" xfId="0" applyNumberFormat="1" applyFont="1" applyFill="1" applyBorder="1" applyAlignment="1" applyProtection="1">
      <alignment horizontal="right" vertical="center" wrapText="1"/>
    </xf>
    <xf numFmtId="43" fontId="16" fillId="7" borderId="4" xfId="0" applyNumberFormat="1" applyFont="1" applyFill="1" applyBorder="1" applyAlignment="1" applyProtection="1">
      <alignment horizontal="right" vertical="center" wrapText="1"/>
    </xf>
    <xf numFmtId="43" fontId="24" fillId="12" borderId="7" xfId="0" applyNumberFormat="1" applyFont="1" applyFill="1" applyBorder="1" applyAlignment="1" applyProtection="1">
      <alignment horizontal="right" vertical="center" wrapText="1"/>
    </xf>
    <xf numFmtId="43" fontId="16" fillId="12" borderId="4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 applyProtection="1">
      <alignment horizontal="right" vertical="center" wrapText="1"/>
    </xf>
    <xf numFmtId="43" fontId="28" fillId="6" borderId="1" xfId="1" applyNumberFormat="1" applyFont="1" applyFill="1" applyBorder="1" applyAlignment="1" applyProtection="1">
      <alignment horizontal="right" vertical="center" wrapText="1"/>
    </xf>
    <xf numFmtId="43" fontId="28" fillId="5" borderId="1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>
      <alignment horizontal="right" vertical="center" wrapText="1"/>
    </xf>
    <xf numFmtId="43" fontId="24" fillId="5" borderId="1" xfId="1" applyNumberFormat="1" applyFont="1" applyFill="1" applyBorder="1" applyAlignment="1" applyProtection="1">
      <alignment horizontal="right" vertical="center" wrapText="1"/>
    </xf>
    <xf numFmtId="43" fontId="24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43" fontId="24" fillId="11" borderId="1" xfId="1" applyNumberFormat="1" applyFont="1" applyFill="1" applyBorder="1" applyAlignment="1" applyProtection="1">
      <alignment horizontal="right" wrapText="1"/>
    </xf>
    <xf numFmtId="43" fontId="5" fillId="11" borderId="1" xfId="1" applyNumberFormat="1" applyFont="1" applyFill="1" applyBorder="1" applyAlignment="1" applyProtection="1">
      <alignment horizontal="center" vertical="center" wrapText="1"/>
    </xf>
    <xf numFmtId="43" fontId="24" fillId="11" borderId="4" xfId="1" applyNumberFormat="1" applyFont="1" applyFill="1" applyBorder="1" applyAlignment="1" applyProtection="1">
      <alignment horizontal="right" vertical="center" wrapText="1"/>
    </xf>
    <xf numFmtId="43" fontId="24" fillId="10" borderId="4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 applyProtection="1">
      <alignment horizontal="right" vertical="center" wrapText="1"/>
    </xf>
    <xf numFmtId="43" fontId="16" fillId="0" borderId="7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3" borderId="4" xfId="1" applyNumberFormat="1" applyFont="1" applyFill="1" applyBorder="1" applyAlignment="1" applyProtection="1">
      <alignment horizontal="right" vertical="center" wrapText="1"/>
    </xf>
    <xf numFmtId="43" fontId="10" fillId="7" borderId="4" xfId="1" applyNumberFormat="1" applyFont="1" applyFill="1" applyBorder="1" applyAlignment="1" applyProtection="1">
      <alignment horizontal="right" vertical="center" wrapText="1"/>
    </xf>
    <xf numFmtId="43" fontId="16" fillId="7" borderId="4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43" fontId="24" fillId="0" borderId="1" xfId="1" applyNumberFormat="1" applyFont="1" applyFill="1" applyBorder="1" applyAlignment="1" applyProtection="1">
      <alignment horizontal="right" vertical="top" wrapText="1"/>
    </xf>
    <xf numFmtId="2" fontId="3" fillId="0" borderId="4" xfId="0" applyNumberFormat="1" applyFont="1" applyFill="1" applyBorder="1" applyAlignment="1" applyProtection="1">
      <alignment horizontal="justify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justify" vertical="top" wrapText="1"/>
    </xf>
    <xf numFmtId="0" fontId="24" fillId="7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9" fontId="5" fillId="0" borderId="1" xfId="2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4" fontId="22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left" vertical="top" wrapText="1"/>
    </xf>
    <xf numFmtId="0" fontId="5" fillId="8" borderId="6" xfId="0" applyFont="1" applyFill="1" applyBorder="1" applyAlignment="1">
      <alignment horizontal="left" vertical="top" wrapText="1"/>
    </xf>
    <xf numFmtId="0" fontId="5" fillId="8" borderId="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99"/>
      <color rgb="FF99FFCC"/>
      <color rgb="FF99FF99"/>
      <color rgb="FFB6DFE4"/>
      <color rgb="FFA0EFFA"/>
      <color rgb="FFE5BAB5"/>
      <color rgb="FF8FCE4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201" t="s">
        <v>60</v>
      </c>
      <c r="C6" s="201"/>
      <c r="D6" s="201"/>
      <c r="E6" s="201"/>
      <c r="F6" s="201"/>
      <c r="G6" s="201"/>
      <c r="H6" s="201"/>
      <c r="I6" s="201"/>
      <c r="J6" s="201"/>
    </row>
    <row r="7" spans="2:13" s="4" customFormat="1" x14ac:dyDescent="0.2"/>
    <row r="8" spans="2:13" s="4" customFormat="1" x14ac:dyDescent="0.2">
      <c r="B8" s="202" t="s">
        <v>29</v>
      </c>
      <c r="C8" s="202" t="s">
        <v>0</v>
      </c>
      <c r="D8" s="202" t="s">
        <v>72</v>
      </c>
      <c r="E8" s="202" t="s">
        <v>1</v>
      </c>
      <c r="F8" s="202" t="s">
        <v>30</v>
      </c>
      <c r="G8" s="202"/>
      <c r="H8" s="202"/>
      <c r="I8" s="202"/>
      <c r="J8" s="202" t="s">
        <v>2</v>
      </c>
    </row>
    <row r="9" spans="2:13" s="4" customFormat="1" x14ac:dyDescent="0.2">
      <c r="B9" s="202"/>
      <c r="C9" s="202"/>
      <c r="D9" s="202"/>
      <c r="E9" s="202"/>
      <c r="F9" s="202" t="s">
        <v>3</v>
      </c>
      <c r="G9" s="202" t="s">
        <v>4</v>
      </c>
      <c r="H9" s="202"/>
      <c r="I9" s="202"/>
      <c r="J9" s="202"/>
    </row>
    <row r="10" spans="2:13" s="4" customFormat="1" x14ac:dyDescent="0.2">
      <c r="B10" s="202"/>
      <c r="C10" s="202"/>
      <c r="D10" s="202"/>
      <c r="E10" s="202"/>
      <c r="F10" s="202"/>
      <c r="G10" s="14" t="s">
        <v>5</v>
      </c>
      <c r="H10" s="14" t="s">
        <v>6</v>
      </c>
      <c r="I10" s="14" t="s">
        <v>7</v>
      </c>
      <c r="J10" s="202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209" t="s">
        <v>63</v>
      </c>
      <c r="C12" s="209"/>
      <c r="D12" s="209"/>
      <c r="E12" s="209"/>
      <c r="F12" s="209"/>
      <c r="G12" s="209"/>
      <c r="H12" s="209"/>
      <c r="I12" s="209"/>
      <c r="J12" s="209"/>
    </row>
    <row r="13" spans="2:13" s="4" customFormat="1" x14ac:dyDescent="0.2">
      <c r="B13" s="209" t="s">
        <v>58</v>
      </c>
      <c r="C13" s="209"/>
      <c r="D13" s="209"/>
      <c r="E13" s="209"/>
      <c r="F13" s="209"/>
      <c r="G13" s="209"/>
      <c r="H13" s="209"/>
      <c r="I13" s="209"/>
      <c r="J13" s="209"/>
    </row>
    <row r="14" spans="2:13" s="4" customFormat="1" x14ac:dyDescent="0.2">
      <c r="B14" s="210" t="s">
        <v>8</v>
      </c>
      <c r="C14" s="211"/>
      <c r="D14" s="211"/>
      <c r="E14" s="211"/>
      <c r="F14" s="211"/>
      <c r="G14" s="211"/>
      <c r="H14" s="211"/>
      <c r="I14" s="211"/>
      <c r="J14" s="212"/>
    </row>
    <row r="15" spans="2:13" s="4" customFormat="1" x14ac:dyDescent="0.2">
      <c r="B15" s="213" t="s">
        <v>31</v>
      </c>
      <c r="C15" s="206" t="s">
        <v>9</v>
      </c>
      <c r="D15" s="203" t="s">
        <v>43</v>
      </c>
      <c r="E15" s="203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214"/>
      <c r="C16" s="207"/>
      <c r="D16" s="204"/>
      <c r="E16" s="204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215"/>
      <c r="C17" s="208"/>
      <c r="D17" s="205"/>
      <c r="E17" s="205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213" t="s">
        <v>33</v>
      </c>
      <c r="C19" s="206" t="s">
        <v>12</v>
      </c>
      <c r="D19" s="203" t="s">
        <v>43</v>
      </c>
      <c r="E19" s="203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214"/>
      <c r="C20" s="207"/>
      <c r="D20" s="204"/>
      <c r="E20" s="204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215"/>
      <c r="C21" s="208"/>
      <c r="D21" s="205"/>
      <c r="E21" s="205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02" t="s">
        <v>16</v>
      </c>
      <c r="G25" s="202"/>
      <c r="H25" s="202"/>
      <c r="I25" s="202"/>
      <c r="J25" s="202"/>
      <c r="M25" s="8"/>
    </row>
    <row r="26" spans="2:13" s="4" customFormat="1" x14ac:dyDescent="0.2">
      <c r="B26" s="203"/>
      <c r="C26" s="206" t="s">
        <v>17</v>
      </c>
      <c r="D26" s="203" t="s">
        <v>43</v>
      </c>
      <c r="E26" s="203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204"/>
      <c r="C27" s="207"/>
      <c r="D27" s="204"/>
      <c r="E27" s="204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205"/>
      <c r="C28" s="208"/>
      <c r="D28" s="205"/>
      <c r="E28" s="205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209" t="s">
        <v>18</v>
      </c>
      <c r="C29" s="209"/>
      <c r="D29" s="209"/>
      <c r="E29" s="209"/>
      <c r="F29" s="209"/>
      <c r="G29" s="209"/>
      <c r="H29" s="209"/>
      <c r="I29" s="209"/>
      <c r="J29" s="209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216"/>
      <c r="C32" s="206" t="s">
        <v>21</v>
      </c>
      <c r="D32" s="219"/>
      <c r="E32" s="203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217"/>
      <c r="C33" s="207"/>
      <c r="D33" s="220"/>
      <c r="E33" s="204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218"/>
      <c r="C34" s="208"/>
      <c r="D34" s="221"/>
      <c r="E34" s="205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210" t="s">
        <v>59</v>
      </c>
      <c r="C35" s="211"/>
      <c r="D35" s="211"/>
      <c r="E35" s="211"/>
      <c r="F35" s="211"/>
      <c r="G35" s="211"/>
      <c r="H35" s="211"/>
      <c r="I35" s="211"/>
      <c r="J35" s="212"/>
      <c r="M35" s="8"/>
    </row>
    <row r="36" spans="2:13" x14ac:dyDescent="0.2">
      <c r="B36" s="210" t="s">
        <v>56</v>
      </c>
      <c r="C36" s="211"/>
      <c r="D36" s="211"/>
      <c r="E36" s="211"/>
      <c r="F36" s="211"/>
      <c r="G36" s="211"/>
      <c r="H36" s="211"/>
      <c r="I36" s="211"/>
      <c r="J36" s="212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210" t="s">
        <v>64</v>
      </c>
      <c r="C40" s="211"/>
      <c r="D40" s="211"/>
      <c r="E40" s="211"/>
      <c r="F40" s="211"/>
      <c r="G40" s="211"/>
      <c r="H40" s="211"/>
      <c r="I40" s="211"/>
      <c r="J40" s="212"/>
      <c r="M40" s="8"/>
    </row>
    <row r="41" spans="2:13" x14ac:dyDescent="0.2">
      <c r="B41" s="210" t="s">
        <v>44</v>
      </c>
      <c r="C41" s="211"/>
      <c r="D41" s="211"/>
      <c r="E41" s="211"/>
      <c r="F41" s="211"/>
      <c r="G41" s="211"/>
      <c r="H41" s="211"/>
      <c r="I41" s="211"/>
      <c r="J41" s="212"/>
      <c r="M41" s="8"/>
    </row>
    <row r="42" spans="2:13" x14ac:dyDescent="0.2">
      <c r="B42" s="209" t="s">
        <v>45</v>
      </c>
      <c r="C42" s="209"/>
      <c r="D42" s="209"/>
      <c r="E42" s="209"/>
      <c r="F42" s="209"/>
      <c r="G42" s="209"/>
      <c r="H42" s="209"/>
      <c r="I42" s="209"/>
      <c r="J42" s="209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02" t="s">
        <v>16</v>
      </c>
      <c r="G43" s="202"/>
      <c r="H43" s="202"/>
      <c r="I43" s="202"/>
      <c r="J43" s="202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202"/>
      <c r="C47" s="206" t="s">
        <v>48</v>
      </c>
      <c r="D47" s="202" t="s">
        <v>22</v>
      </c>
      <c r="E47" s="202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202"/>
      <c r="C48" s="207"/>
      <c r="D48" s="202"/>
      <c r="E48" s="202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202"/>
      <c r="C49" s="208"/>
      <c r="D49" s="202"/>
      <c r="E49" s="202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209" t="s">
        <v>49</v>
      </c>
      <c r="C50" s="209"/>
      <c r="D50" s="209"/>
      <c r="E50" s="209"/>
      <c r="F50" s="209"/>
      <c r="G50" s="209"/>
      <c r="H50" s="209"/>
      <c r="I50" s="209"/>
      <c r="J50" s="209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02" t="s">
        <v>16</v>
      </c>
      <c r="G51" s="202"/>
      <c r="H51" s="202"/>
      <c r="I51" s="202"/>
      <c r="J51" s="202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02" t="s">
        <v>16</v>
      </c>
      <c r="G52" s="202"/>
      <c r="H52" s="202"/>
      <c r="I52" s="202"/>
      <c r="J52" s="202"/>
      <c r="M52" s="8"/>
    </row>
    <row r="53" spans="2:22" ht="15.75" customHeight="1" x14ac:dyDescent="0.2">
      <c r="B53" s="222"/>
      <c r="C53" s="209" t="s">
        <v>52</v>
      </c>
      <c r="D53" s="202" t="s">
        <v>22</v>
      </c>
      <c r="E53" s="202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222"/>
      <c r="C54" s="209"/>
      <c r="D54" s="202"/>
      <c r="E54" s="202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222"/>
      <c r="C55" s="209"/>
      <c r="D55" s="202"/>
      <c r="E55" s="202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223"/>
      <c r="C56" s="209" t="s">
        <v>55</v>
      </c>
      <c r="D56" s="222"/>
      <c r="E56" s="202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223"/>
      <c r="C57" s="209"/>
      <c r="D57" s="222"/>
      <c r="E57" s="202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223"/>
      <c r="C58" s="209"/>
      <c r="D58" s="222"/>
      <c r="E58" s="202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222"/>
      <c r="C60" s="209" t="s">
        <v>28</v>
      </c>
      <c r="D60" s="222"/>
      <c r="E60" s="202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222"/>
      <c r="C61" s="209"/>
      <c r="D61" s="222"/>
      <c r="E61" s="202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222"/>
      <c r="C62" s="209"/>
      <c r="D62" s="222"/>
      <c r="E62" s="202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219"/>
      <c r="C63" s="206" t="s">
        <v>61</v>
      </c>
      <c r="D63" s="219"/>
      <c r="E63" s="203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220"/>
      <c r="C64" s="207"/>
      <c r="D64" s="220"/>
      <c r="E64" s="204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221"/>
      <c r="C65" s="208"/>
      <c r="D65" s="221"/>
      <c r="E65" s="205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201" t="s">
        <v>60</v>
      </c>
      <c r="C6" s="201"/>
      <c r="D6" s="201"/>
      <c r="E6" s="201"/>
      <c r="F6" s="201"/>
      <c r="G6" s="201"/>
      <c r="H6" s="201"/>
      <c r="I6" s="201"/>
      <c r="J6" s="201"/>
    </row>
    <row r="7" spans="2:18" s="4" customFormat="1" x14ac:dyDescent="0.2"/>
    <row r="8" spans="2:18" s="4" customFormat="1" x14ac:dyDescent="0.2">
      <c r="B8" s="202" t="s">
        <v>29</v>
      </c>
      <c r="C8" s="202" t="s">
        <v>0</v>
      </c>
      <c r="D8" s="202" t="s">
        <v>72</v>
      </c>
      <c r="E8" s="202" t="s">
        <v>1</v>
      </c>
      <c r="F8" s="202" t="s">
        <v>30</v>
      </c>
      <c r="G8" s="202"/>
      <c r="H8" s="202"/>
      <c r="I8" s="202"/>
      <c r="J8" s="202" t="s">
        <v>2</v>
      </c>
    </row>
    <row r="9" spans="2:18" s="4" customFormat="1" x14ac:dyDescent="0.2">
      <c r="B9" s="202"/>
      <c r="C9" s="202"/>
      <c r="D9" s="202"/>
      <c r="E9" s="202"/>
      <c r="F9" s="202" t="s">
        <v>3</v>
      </c>
      <c r="G9" s="202" t="s">
        <v>4</v>
      </c>
      <c r="H9" s="202"/>
      <c r="I9" s="202"/>
      <c r="J9" s="202"/>
    </row>
    <row r="10" spans="2:18" s="4" customFormat="1" ht="15.75" customHeight="1" x14ac:dyDescent="0.2">
      <c r="B10" s="202"/>
      <c r="C10" s="202"/>
      <c r="D10" s="202"/>
      <c r="E10" s="202"/>
      <c r="F10" s="202"/>
      <c r="G10" s="14" t="s">
        <v>5</v>
      </c>
      <c r="H10" s="14" t="s">
        <v>6</v>
      </c>
      <c r="I10" s="14" t="s">
        <v>7</v>
      </c>
      <c r="J10" s="202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209" t="s">
        <v>63</v>
      </c>
      <c r="C12" s="209"/>
      <c r="D12" s="209"/>
      <c r="E12" s="209"/>
      <c r="F12" s="209"/>
      <c r="G12" s="209"/>
      <c r="H12" s="209"/>
      <c r="I12" s="209"/>
      <c r="J12" s="209"/>
    </row>
    <row r="13" spans="2:18" s="4" customFormat="1" ht="24.75" customHeight="1" x14ac:dyDescent="0.2">
      <c r="B13" s="209" t="s">
        <v>58</v>
      </c>
      <c r="C13" s="209"/>
      <c r="D13" s="209"/>
      <c r="E13" s="209"/>
      <c r="F13" s="209"/>
      <c r="G13" s="209"/>
      <c r="H13" s="209"/>
      <c r="I13" s="209"/>
      <c r="J13" s="209"/>
    </row>
    <row r="14" spans="2:18" s="4" customFormat="1" ht="25.5" customHeight="1" x14ac:dyDescent="0.2">
      <c r="B14" s="210" t="s">
        <v>8</v>
      </c>
      <c r="C14" s="211"/>
      <c r="D14" s="211"/>
      <c r="E14" s="211"/>
      <c r="F14" s="211"/>
      <c r="G14" s="211"/>
      <c r="H14" s="211"/>
      <c r="I14" s="211"/>
      <c r="J14" s="212"/>
    </row>
    <row r="15" spans="2:18" s="4" customFormat="1" ht="12.75" customHeight="1" x14ac:dyDescent="0.2">
      <c r="B15" s="213" t="s">
        <v>31</v>
      </c>
      <c r="C15" s="206" t="s">
        <v>9</v>
      </c>
      <c r="D15" s="203" t="s">
        <v>43</v>
      </c>
      <c r="E15" s="203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213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214"/>
      <c r="C16" s="207"/>
      <c r="D16" s="204"/>
      <c r="E16" s="204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214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215"/>
      <c r="C17" s="208"/>
      <c r="D17" s="205"/>
      <c r="E17" s="205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215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213" t="s">
        <v>33</v>
      </c>
      <c r="C19" s="206" t="s">
        <v>12</v>
      </c>
      <c r="D19" s="203" t="s">
        <v>43</v>
      </c>
      <c r="E19" s="203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213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214"/>
      <c r="C20" s="207"/>
      <c r="D20" s="204"/>
      <c r="E20" s="204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214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215"/>
      <c r="C21" s="208"/>
      <c r="D21" s="205"/>
      <c r="E21" s="205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215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02" t="s">
        <v>16</v>
      </c>
      <c r="G25" s="202"/>
      <c r="H25" s="202"/>
      <c r="I25" s="202"/>
      <c r="J25" s="202"/>
      <c r="L25" s="7" t="s">
        <v>37</v>
      </c>
      <c r="M25" s="202" t="s">
        <v>16</v>
      </c>
      <c r="N25" s="202"/>
      <c r="O25" s="202"/>
      <c r="P25" s="202"/>
      <c r="Q25" s="8"/>
      <c r="R25" s="8"/>
    </row>
    <row r="26" spans="2:18" s="4" customFormat="1" ht="18.75" customHeight="1" x14ac:dyDescent="0.2">
      <c r="B26" s="203"/>
      <c r="C26" s="206" t="s">
        <v>17</v>
      </c>
      <c r="D26" s="203" t="s">
        <v>43</v>
      </c>
      <c r="E26" s="203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203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204"/>
      <c r="C27" s="207"/>
      <c r="D27" s="204"/>
      <c r="E27" s="204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204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205"/>
      <c r="C28" s="208"/>
      <c r="D28" s="205"/>
      <c r="E28" s="205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205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209" t="s">
        <v>18</v>
      </c>
      <c r="C29" s="209"/>
      <c r="D29" s="209"/>
      <c r="E29" s="209"/>
      <c r="F29" s="209"/>
      <c r="G29" s="209"/>
      <c r="H29" s="209"/>
      <c r="I29" s="209"/>
      <c r="J29" s="209"/>
      <c r="L29" s="209" t="s">
        <v>18</v>
      </c>
      <c r="M29" s="209"/>
      <c r="N29" s="209"/>
      <c r="O29" s="209"/>
      <c r="P29" s="209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216"/>
      <c r="C32" s="206" t="s">
        <v>21</v>
      </c>
      <c r="D32" s="219"/>
      <c r="E32" s="203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216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217"/>
      <c r="C33" s="207"/>
      <c r="D33" s="220"/>
      <c r="E33" s="204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17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218"/>
      <c r="C34" s="208"/>
      <c r="D34" s="221"/>
      <c r="E34" s="205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218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210" t="s">
        <v>59</v>
      </c>
      <c r="C35" s="211"/>
      <c r="D35" s="211"/>
      <c r="E35" s="211"/>
      <c r="F35" s="211"/>
      <c r="G35" s="211"/>
      <c r="H35" s="211"/>
      <c r="I35" s="211"/>
      <c r="J35" s="212"/>
      <c r="L35" s="210" t="s">
        <v>59</v>
      </c>
      <c r="M35" s="211"/>
      <c r="N35" s="211"/>
      <c r="O35" s="211"/>
      <c r="P35" s="211"/>
      <c r="Q35" s="8"/>
      <c r="R35" s="8"/>
    </row>
    <row r="36" spans="2:18" ht="27" customHeight="1" x14ac:dyDescent="0.2">
      <c r="B36" s="210" t="s">
        <v>56</v>
      </c>
      <c r="C36" s="211"/>
      <c r="D36" s="211"/>
      <c r="E36" s="211"/>
      <c r="F36" s="211"/>
      <c r="G36" s="211"/>
      <c r="H36" s="211"/>
      <c r="I36" s="211"/>
      <c r="J36" s="212"/>
      <c r="L36" s="210" t="s">
        <v>56</v>
      </c>
      <c r="M36" s="211"/>
      <c r="N36" s="211"/>
      <c r="O36" s="211"/>
      <c r="P36" s="211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210" t="s">
        <v>64</v>
      </c>
      <c r="C40" s="211"/>
      <c r="D40" s="211"/>
      <c r="E40" s="211"/>
      <c r="F40" s="211"/>
      <c r="G40" s="211"/>
      <c r="H40" s="211"/>
      <c r="I40" s="211"/>
      <c r="J40" s="212"/>
      <c r="L40" s="210" t="s">
        <v>64</v>
      </c>
      <c r="M40" s="211"/>
      <c r="N40" s="211"/>
      <c r="O40" s="211"/>
      <c r="P40" s="211"/>
      <c r="Q40" s="8"/>
      <c r="R40" s="8"/>
    </row>
    <row r="41" spans="2:18" ht="26.25" customHeight="1" x14ac:dyDescent="0.2">
      <c r="B41" s="210" t="s">
        <v>44</v>
      </c>
      <c r="C41" s="211"/>
      <c r="D41" s="211"/>
      <c r="E41" s="211"/>
      <c r="F41" s="211"/>
      <c r="G41" s="211"/>
      <c r="H41" s="211"/>
      <c r="I41" s="211"/>
      <c r="J41" s="212"/>
      <c r="L41" s="210" t="s">
        <v>44</v>
      </c>
      <c r="M41" s="211"/>
      <c r="N41" s="211"/>
      <c r="O41" s="211"/>
      <c r="P41" s="211"/>
      <c r="Q41" s="8"/>
      <c r="R41" s="8"/>
    </row>
    <row r="42" spans="2:18" ht="27.75" customHeight="1" x14ac:dyDescent="0.2">
      <c r="B42" s="209" t="s">
        <v>45</v>
      </c>
      <c r="C42" s="209"/>
      <c r="D42" s="209"/>
      <c r="E42" s="209"/>
      <c r="F42" s="209"/>
      <c r="G42" s="209"/>
      <c r="H42" s="209"/>
      <c r="I42" s="209"/>
      <c r="J42" s="209"/>
      <c r="L42" s="209" t="s">
        <v>45</v>
      </c>
      <c r="M42" s="209"/>
      <c r="N42" s="209"/>
      <c r="O42" s="209"/>
      <c r="P42" s="209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02" t="s">
        <v>16</v>
      </c>
      <c r="G43" s="202"/>
      <c r="H43" s="202"/>
      <c r="I43" s="202"/>
      <c r="J43" s="202"/>
      <c r="L43" s="7" t="s">
        <v>40</v>
      </c>
      <c r="M43" s="202" t="s">
        <v>16</v>
      </c>
      <c r="N43" s="202"/>
      <c r="O43" s="202"/>
      <c r="P43" s="202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202"/>
      <c r="C47" s="206" t="s">
        <v>48</v>
      </c>
      <c r="D47" s="202" t="s">
        <v>22</v>
      </c>
      <c r="E47" s="202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202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202"/>
      <c r="C48" s="207"/>
      <c r="D48" s="202"/>
      <c r="E48" s="202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202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202"/>
      <c r="C49" s="208"/>
      <c r="D49" s="202"/>
      <c r="E49" s="202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202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209" t="s">
        <v>49</v>
      </c>
      <c r="C50" s="209"/>
      <c r="D50" s="209"/>
      <c r="E50" s="209"/>
      <c r="F50" s="209"/>
      <c r="G50" s="209"/>
      <c r="H50" s="209"/>
      <c r="I50" s="209"/>
      <c r="J50" s="209"/>
      <c r="L50" s="209" t="s">
        <v>49</v>
      </c>
      <c r="M50" s="209"/>
      <c r="N50" s="209"/>
      <c r="O50" s="209"/>
      <c r="P50" s="209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02" t="s">
        <v>16</v>
      </c>
      <c r="G51" s="202"/>
      <c r="H51" s="202"/>
      <c r="I51" s="202"/>
      <c r="J51" s="202"/>
      <c r="L51" s="7" t="s">
        <v>50</v>
      </c>
      <c r="M51" s="202" t="s">
        <v>16</v>
      </c>
      <c r="N51" s="202"/>
      <c r="O51" s="202"/>
      <c r="P51" s="202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02" t="s">
        <v>16</v>
      </c>
      <c r="G52" s="202"/>
      <c r="H52" s="202"/>
      <c r="I52" s="202"/>
      <c r="J52" s="202"/>
      <c r="L52" s="7" t="s">
        <v>51</v>
      </c>
      <c r="M52" s="202" t="s">
        <v>16</v>
      </c>
      <c r="N52" s="202"/>
      <c r="O52" s="202"/>
      <c r="P52" s="202"/>
      <c r="Q52" s="8"/>
      <c r="R52" s="8"/>
    </row>
    <row r="53" spans="2:18" ht="15.75" customHeight="1" x14ac:dyDescent="0.2">
      <c r="B53" s="222"/>
      <c r="C53" s="209" t="s">
        <v>52</v>
      </c>
      <c r="D53" s="202" t="s">
        <v>22</v>
      </c>
      <c r="E53" s="202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222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222"/>
      <c r="C54" s="209"/>
      <c r="D54" s="202"/>
      <c r="E54" s="202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222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222"/>
      <c r="C55" s="209"/>
      <c r="D55" s="202"/>
      <c r="E55" s="202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222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223"/>
      <c r="C56" s="209" t="s">
        <v>55</v>
      </c>
      <c r="D56" s="222"/>
      <c r="E56" s="202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223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223"/>
      <c r="C57" s="209"/>
      <c r="D57" s="222"/>
      <c r="E57" s="202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223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223"/>
      <c r="C58" s="209"/>
      <c r="D58" s="222"/>
      <c r="E58" s="202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223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222"/>
      <c r="C60" s="209" t="s">
        <v>28</v>
      </c>
      <c r="D60" s="222"/>
      <c r="E60" s="202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222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222"/>
      <c r="C61" s="209"/>
      <c r="D61" s="222"/>
      <c r="E61" s="202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222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222"/>
      <c r="C62" s="209"/>
      <c r="D62" s="222"/>
      <c r="E62" s="202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222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219"/>
      <c r="C63" s="206" t="s">
        <v>61</v>
      </c>
      <c r="D63" s="219"/>
      <c r="E63" s="203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219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220"/>
      <c r="C64" s="207"/>
      <c r="D64" s="220"/>
      <c r="E64" s="204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220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221"/>
      <c r="C65" s="208"/>
      <c r="D65" s="221"/>
      <c r="E65" s="205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221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tabSelected="1" zoomScale="70" zoomScaleNormal="70" zoomScaleSheetLayoutView="85" workbookViewId="0">
      <pane xSplit="11" ySplit="11" topLeftCell="AA27" activePane="bottomRight" state="frozen"/>
      <selection pane="topRight" activeCell="L1" sqref="L1"/>
      <selection pane="bottomLeft" activeCell="A12" sqref="A12"/>
      <selection pane="bottomRight" activeCell="AC29" sqref="AC29"/>
    </sheetView>
  </sheetViews>
  <sheetFormatPr defaultRowHeight="18.75" x14ac:dyDescent="0.25"/>
  <cols>
    <col min="1" max="1" width="45" style="18" customWidth="1"/>
    <col min="2" max="2" width="14.85546875" style="18" customWidth="1"/>
    <col min="3" max="3" width="17.140625" style="19" customWidth="1"/>
    <col min="4" max="4" width="16.5703125" style="19" customWidth="1"/>
    <col min="5" max="5" width="15.42578125" style="19" customWidth="1"/>
    <col min="6" max="6" width="15" style="19" customWidth="1"/>
    <col min="7" max="7" width="14.7109375" style="19" customWidth="1"/>
    <col min="8" max="8" width="12.85546875" style="20" customWidth="1"/>
    <col min="9" max="9" width="14.7109375" style="20" customWidth="1"/>
    <col min="10" max="10" width="14.85546875" style="20" customWidth="1"/>
    <col min="11" max="11" width="16" style="20" customWidth="1"/>
    <col min="12" max="12" width="12.85546875" style="20" customWidth="1"/>
    <col min="13" max="13" width="15.140625" style="20" customWidth="1"/>
    <col min="14" max="14" width="13.42578125" style="20" customWidth="1"/>
    <col min="15" max="15" width="14.7109375" style="20" customWidth="1"/>
    <col min="16" max="16" width="13.28515625" style="20" customWidth="1"/>
    <col min="17" max="17" width="15" style="20" customWidth="1"/>
    <col min="18" max="18" width="13.140625" style="20" customWidth="1"/>
    <col min="19" max="19" width="14.85546875" style="20" customWidth="1"/>
    <col min="20" max="20" width="13" style="19" customWidth="1"/>
    <col min="21" max="21" width="16.140625" style="19" customWidth="1"/>
    <col min="22" max="22" width="13.42578125" style="19" customWidth="1"/>
    <col min="23" max="23" width="16.140625" style="19" customWidth="1"/>
    <col min="24" max="24" width="14.28515625" style="19" customWidth="1"/>
    <col min="25" max="25" width="16.140625" style="19" customWidth="1"/>
    <col min="26" max="26" width="13.140625" style="19" customWidth="1"/>
    <col min="27" max="29" width="16.140625" style="19" customWidth="1"/>
    <col min="30" max="30" width="13" style="19" customWidth="1"/>
    <col min="31" max="31" width="16.140625" style="19" customWidth="1"/>
    <col min="32" max="32" width="58.14062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43" ht="26.25" customHeight="1" x14ac:dyDescent="0.25">
      <c r="A1" s="22"/>
      <c r="O1" s="23"/>
      <c r="P1" s="23"/>
      <c r="Q1" s="23"/>
      <c r="R1" s="23"/>
      <c r="S1" s="23"/>
      <c r="V1" s="61"/>
      <c r="W1" s="61"/>
      <c r="X1" s="61"/>
      <c r="Y1" s="61"/>
      <c r="Z1" s="92"/>
      <c r="AA1" s="92"/>
      <c r="AB1" s="92"/>
      <c r="AC1" s="92"/>
      <c r="AD1" s="92"/>
      <c r="AF1" s="24"/>
    </row>
    <row r="2" spans="1:43" ht="26.25" customHeight="1" x14ac:dyDescent="0.25">
      <c r="A2" s="246" t="s">
        <v>141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</row>
    <row r="3" spans="1:43" s="26" customFormat="1" ht="19.5" customHeigh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L3" s="25"/>
      <c r="M3" s="25"/>
      <c r="N3" s="25"/>
      <c r="O3" s="25"/>
      <c r="P3" s="25"/>
      <c r="Q3" s="25"/>
      <c r="R3" s="25"/>
      <c r="S3" s="27"/>
      <c r="T3" s="25"/>
      <c r="U3" s="25"/>
      <c r="V3" s="25"/>
      <c r="W3" s="25"/>
      <c r="X3" s="25"/>
      <c r="Y3" s="25"/>
      <c r="Z3" s="25"/>
      <c r="AA3" s="25"/>
      <c r="AB3" s="249" t="s">
        <v>113</v>
      </c>
      <c r="AC3" s="249"/>
      <c r="AD3" s="249"/>
      <c r="AE3" s="25"/>
      <c r="AF3" s="27" t="s">
        <v>80</v>
      </c>
      <c r="AH3" s="21"/>
    </row>
    <row r="4" spans="1:43" s="28" customFormat="1" ht="18.75" customHeight="1" x14ac:dyDescent="0.25">
      <c r="A4" s="240" t="s">
        <v>0</v>
      </c>
      <c r="B4" s="242" t="s">
        <v>117</v>
      </c>
      <c r="C4" s="244" t="s">
        <v>81</v>
      </c>
      <c r="D4" s="244" t="s">
        <v>82</v>
      </c>
      <c r="E4" s="244" t="s">
        <v>83</v>
      </c>
      <c r="F4" s="244" t="s">
        <v>84</v>
      </c>
      <c r="G4" s="244"/>
      <c r="H4" s="247" t="s">
        <v>85</v>
      </c>
      <c r="I4" s="248"/>
      <c r="J4" s="247" t="s">
        <v>86</v>
      </c>
      <c r="K4" s="248"/>
      <c r="L4" s="247" t="s">
        <v>87</v>
      </c>
      <c r="M4" s="248"/>
      <c r="N4" s="247" t="s">
        <v>88</v>
      </c>
      <c r="O4" s="248"/>
      <c r="P4" s="247" t="s">
        <v>89</v>
      </c>
      <c r="Q4" s="248"/>
      <c r="R4" s="247" t="s">
        <v>90</v>
      </c>
      <c r="S4" s="248"/>
      <c r="T4" s="247" t="s">
        <v>91</v>
      </c>
      <c r="U4" s="248"/>
      <c r="V4" s="247" t="s">
        <v>92</v>
      </c>
      <c r="W4" s="248"/>
      <c r="X4" s="247" t="s">
        <v>93</v>
      </c>
      <c r="Y4" s="248"/>
      <c r="Z4" s="247" t="s">
        <v>94</v>
      </c>
      <c r="AA4" s="248"/>
      <c r="AB4" s="247" t="s">
        <v>95</v>
      </c>
      <c r="AC4" s="248"/>
      <c r="AD4" s="247" t="s">
        <v>96</v>
      </c>
      <c r="AE4" s="248"/>
      <c r="AF4" s="235" t="s">
        <v>97</v>
      </c>
      <c r="AH4" s="29"/>
    </row>
    <row r="5" spans="1:43" s="31" customFormat="1" ht="72" customHeight="1" x14ac:dyDescent="0.25">
      <c r="A5" s="241"/>
      <c r="B5" s="243"/>
      <c r="C5" s="244"/>
      <c r="D5" s="245"/>
      <c r="E5" s="244"/>
      <c r="F5" s="68" t="s">
        <v>98</v>
      </c>
      <c r="G5" s="68" t="s">
        <v>99</v>
      </c>
      <c r="H5" s="30" t="s">
        <v>125</v>
      </c>
      <c r="I5" s="30" t="s">
        <v>100</v>
      </c>
      <c r="J5" s="30" t="s">
        <v>125</v>
      </c>
      <c r="K5" s="30" t="s">
        <v>100</v>
      </c>
      <c r="L5" s="30" t="s">
        <v>125</v>
      </c>
      <c r="M5" s="30" t="s">
        <v>100</v>
      </c>
      <c r="N5" s="30" t="s">
        <v>125</v>
      </c>
      <c r="O5" s="30" t="s">
        <v>100</v>
      </c>
      <c r="P5" s="30" t="s">
        <v>125</v>
      </c>
      <c r="Q5" s="30" t="s">
        <v>100</v>
      </c>
      <c r="R5" s="30" t="s">
        <v>125</v>
      </c>
      <c r="S5" s="30" t="s">
        <v>100</v>
      </c>
      <c r="T5" s="30" t="s">
        <v>125</v>
      </c>
      <c r="U5" s="30" t="s">
        <v>100</v>
      </c>
      <c r="V5" s="30" t="s">
        <v>125</v>
      </c>
      <c r="W5" s="30" t="s">
        <v>100</v>
      </c>
      <c r="X5" s="30" t="s">
        <v>125</v>
      </c>
      <c r="Y5" s="30" t="s">
        <v>100</v>
      </c>
      <c r="Z5" s="30" t="s">
        <v>125</v>
      </c>
      <c r="AA5" s="30" t="s">
        <v>100</v>
      </c>
      <c r="AB5" s="30" t="s">
        <v>125</v>
      </c>
      <c r="AC5" s="30" t="s">
        <v>100</v>
      </c>
      <c r="AD5" s="30" t="s">
        <v>125</v>
      </c>
      <c r="AE5" s="30" t="s">
        <v>100</v>
      </c>
      <c r="AF5" s="235"/>
      <c r="AH5" s="29"/>
    </row>
    <row r="6" spans="1:43" s="33" customFormat="1" ht="17.25" customHeight="1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  <c r="L6" s="86">
        <v>12</v>
      </c>
      <c r="M6" s="86">
        <v>13</v>
      </c>
      <c r="N6" s="86">
        <v>14</v>
      </c>
      <c r="O6" s="86">
        <v>15</v>
      </c>
      <c r="P6" s="86">
        <v>16</v>
      </c>
      <c r="Q6" s="86">
        <v>17</v>
      </c>
      <c r="R6" s="86">
        <v>18</v>
      </c>
      <c r="S6" s="86">
        <v>19</v>
      </c>
      <c r="T6" s="86">
        <v>20</v>
      </c>
      <c r="U6" s="86">
        <v>21</v>
      </c>
      <c r="V6" s="86">
        <v>22</v>
      </c>
      <c r="W6" s="86">
        <v>23</v>
      </c>
      <c r="X6" s="86">
        <v>24</v>
      </c>
      <c r="Y6" s="86">
        <v>25</v>
      </c>
      <c r="Z6" s="86">
        <v>26</v>
      </c>
      <c r="AA6" s="86">
        <v>27</v>
      </c>
      <c r="AB6" s="86">
        <v>28</v>
      </c>
      <c r="AC6" s="86">
        <v>29</v>
      </c>
      <c r="AD6" s="86">
        <v>30</v>
      </c>
      <c r="AE6" s="89">
        <v>31</v>
      </c>
      <c r="AF6" s="32">
        <v>32</v>
      </c>
      <c r="AH6" s="34"/>
    </row>
    <row r="7" spans="1:43" s="38" customFormat="1" ht="40.5" customHeight="1" x14ac:dyDescent="0.2">
      <c r="A7" s="90" t="s">
        <v>101</v>
      </c>
      <c r="B7" s="143">
        <f>B8</f>
        <v>21692.498210000002</v>
      </c>
      <c r="C7" s="143">
        <f t="shared" ref="C7:AD7" si="0">C8</f>
        <v>842.54310999999996</v>
      </c>
      <c r="D7" s="143">
        <f t="shared" si="0"/>
        <v>783.53314999999998</v>
      </c>
      <c r="E7" s="143">
        <f>E8</f>
        <v>358.92627999999996</v>
      </c>
      <c r="F7" s="127">
        <f>E7/B7</f>
        <v>1.654610163040322E-2</v>
      </c>
      <c r="G7" s="127">
        <f>E7/C7</f>
        <v>0.42600345992978328</v>
      </c>
      <c r="H7" s="143">
        <f t="shared" si="0"/>
        <v>112.06822000000001</v>
      </c>
      <c r="I7" s="143">
        <f t="shared" si="0"/>
        <v>0</v>
      </c>
      <c r="J7" s="143">
        <f t="shared" si="0"/>
        <v>730.47488999999996</v>
      </c>
      <c r="K7" s="143">
        <f t="shared" si="0"/>
        <v>358.92627999999996</v>
      </c>
      <c r="L7" s="143">
        <f t="shared" si="0"/>
        <v>1150.15663</v>
      </c>
      <c r="M7" s="143">
        <f t="shared" si="0"/>
        <v>0</v>
      </c>
      <c r="N7" s="143">
        <f t="shared" si="0"/>
        <v>673.43241999999987</v>
      </c>
      <c r="O7" s="143">
        <f t="shared" si="0"/>
        <v>0</v>
      </c>
      <c r="P7" s="143">
        <f t="shared" si="0"/>
        <v>823.13924999999995</v>
      </c>
      <c r="Q7" s="143">
        <f t="shared" si="0"/>
        <v>0</v>
      </c>
      <c r="R7" s="143">
        <f t="shared" si="0"/>
        <v>5090.7761599999994</v>
      </c>
      <c r="S7" s="143">
        <f t="shared" si="0"/>
        <v>0</v>
      </c>
      <c r="T7" s="143">
        <f t="shared" si="0"/>
        <v>4993.1147700000001</v>
      </c>
      <c r="U7" s="143">
        <f t="shared" si="0"/>
        <v>0</v>
      </c>
      <c r="V7" s="143">
        <f t="shared" si="0"/>
        <v>5008.3407000000007</v>
      </c>
      <c r="W7" s="143">
        <f t="shared" si="0"/>
        <v>0</v>
      </c>
      <c r="X7" s="143">
        <f t="shared" si="0"/>
        <v>1136.4158699999998</v>
      </c>
      <c r="Y7" s="143">
        <f t="shared" si="0"/>
        <v>0</v>
      </c>
      <c r="Z7" s="143">
        <f t="shared" si="0"/>
        <v>1045.4613300000001</v>
      </c>
      <c r="AA7" s="143">
        <f t="shared" si="0"/>
        <v>0</v>
      </c>
      <c r="AB7" s="143">
        <f t="shared" si="0"/>
        <v>565.22897</v>
      </c>
      <c r="AC7" s="143">
        <f t="shared" si="0"/>
        <v>0</v>
      </c>
      <c r="AD7" s="143">
        <f t="shared" si="0"/>
        <v>363.88900000000001</v>
      </c>
      <c r="AE7" s="170"/>
      <c r="AF7" s="37"/>
      <c r="AH7" s="39"/>
    </row>
    <row r="8" spans="1:43" s="65" customFormat="1" ht="75.75" customHeight="1" x14ac:dyDescent="0.25">
      <c r="A8" s="69" t="s">
        <v>120</v>
      </c>
      <c r="B8" s="144">
        <f>B9</f>
        <v>21692.498210000002</v>
      </c>
      <c r="C8" s="144">
        <f t="shared" ref="C8:AD8" si="1">C9</f>
        <v>842.54310999999996</v>
      </c>
      <c r="D8" s="144">
        <f t="shared" si="1"/>
        <v>783.53314999999998</v>
      </c>
      <c r="E8" s="144">
        <f t="shared" si="1"/>
        <v>358.92627999999996</v>
      </c>
      <c r="F8" s="128">
        <f>E8/B8</f>
        <v>1.654610163040322E-2</v>
      </c>
      <c r="G8" s="128">
        <f>E8/C8</f>
        <v>0.42600345992978328</v>
      </c>
      <c r="H8" s="144">
        <f>H9</f>
        <v>112.06822000000001</v>
      </c>
      <c r="I8" s="144">
        <f t="shared" si="1"/>
        <v>0</v>
      </c>
      <c r="J8" s="144">
        <f>J9</f>
        <v>730.47488999999996</v>
      </c>
      <c r="K8" s="144">
        <f t="shared" si="1"/>
        <v>358.92627999999996</v>
      </c>
      <c r="L8" s="144">
        <f t="shared" si="1"/>
        <v>1150.15663</v>
      </c>
      <c r="M8" s="144">
        <f t="shared" si="1"/>
        <v>0</v>
      </c>
      <c r="N8" s="144">
        <f t="shared" si="1"/>
        <v>673.43241999999987</v>
      </c>
      <c r="O8" s="144">
        <f t="shared" si="1"/>
        <v>0</v>
      </c>
      <c r="P8" s="144">
        <f>P9</f>
        <v>823.13924999999995</v>
      </c>
      <c r="Q8" s="144">
        <f t="shared" si="1"/>
        <v>0</v>
      </c>
      <c r="R8" s="144">
        <f t="shared" si="1"/>
        <v>5090.7761599999994</v>
      </c>
      <c r="S8" s="144">
        <f t="shared" si="1"/>
        <v>0</v>
      </c>
      <c r="T8" s="144">
        <f>T9</f>
        <v>4993.1147700000001</v>
      </c>
      <c r="U8" s="144">
        <f t="shared" si="1"/>
        <v>0</v>
      </c>
      <c r="V8" s="144">
        <f t="shared" si="1"/>
        <v>5008.3407000000007</v>
      </c>
      <c r="W8" s="144">
        <f t="shared" si="1"/>
        <v>0</v>
      </c>
      <c r="X8" s="144">
        <f>X9</f>
        <v>1136.4158699999998</v>
      </c>
      <c r="Y8" s="144">
        <f t="shared" si="1"/>
        <v>0</v>
      </c>
      <c r="Z8" s="144">
        <f t="shared" si="1"/>
        <v>1045.4613300000001</v>
      </c>
      <c r="AA8" s="144">
        <f t="shared" si="1"/>
        <v>0</v>
      </c>
      <c r="AB8" s="144">
        <f t="shared" si="1"/>
        <v>565.22897</v>
      </c>
      <c r="AC8" s="144">
        <f t="shared" si="1"/>
        <v>0</v>
      </c>
      <c r="AD8" s="144">
        <f t="shared" si="1"/>
        <v>363.88900000000001</v>
      </c>
      <c r="AE8" s="171"/>
      <c r="AF8" s="64"/>
      <c r="AG8" s="38"/>
      <c r="AH8" s="39"/>
      <c r="AI8" s="38"/>
      <c r="AJ8" s="38"/>
      <c r="AK8" s="38"/>
      <c r="AL8" s="38"/>
      <c r="AM8" s="38"/>
      <c r="AN8" s="38"/>
      <c r="AO8" s="38"/>
      <c r="AP8" s="38"/>
      <c r="AQ8" s="38"/>
    </row>
    <row r="9" spans="1:43" s="38" customFormat="1" x14ac:dyDescent="0.25">
      <c r="A9" s="70" t="s">
        <v>25</v>
      </c>
      <c r="B9" s="152">
        <f>B10+B11</f>
        <v>21692.498210000002</v>
      </c>
      <c r="C9" s="152">
        <f>C10+C11</f>
        <v>842.54310999999996</v>
      </c>
      <c r="D9" s="152">
        <f t="shared" ref="D9:AE9" si="2">D10+D11</f>
        <v>783.53314999999998</v>
      </c>
      <c r="E9" s="152">
        <f>E10+E11</f>
        <v>358.92627999999996</v>
      </c>
      <c r="F9" s="71">
        <f>E9/B9</f>
        <v>1.654610163040322E-2</v>
      </c>
      <c r="G9" s="71">
        <f>E9/C9</f>
        <v>0.42600345992978328</v>
      </c>
      <c r="H9" s="152">
        <f t="shared" si="2"/>
        <v>112.06822000000001</v>
      </c>
      <c r="I9" s="152">
        <f t="shared" si="2"/>
        <v>0</v>
      </c>
      <c r="J9" s="152">
        <f t="shared" si="2"/>
        <v>730.47488999999996</v>
      </c>
      <c r="K9" s="152">
        <f t="shared" si="2"/>
        <v>358.92627999999996</v>
      </c>
      <c r="L9" s="152">
        <f t="shared" si="2"/>
        <v>1150.15663</v>
      </c>
      <c r="M9" s="152">
        <f t="shared" si="2"/>
        <v>0</v>
      </c>
      <c r="N9" s="152">
        <f t="shared" si="2"/>
        <v>673.43241999999987</v>
      </c>
      <c r="O9" s="152">
        <f t="shared" si="2"/>
        <v>0</v>
      </c>
      <c r="P9" s="152">
        <f t="shared" si="2"/>
        <v>823.13924999999995</v>
      </c>
      <c r="Q9" s="152">
        <f t="shared" si="2"/>
        <v>0</v>
      </c>
      <c r="R9" s="152">
        <f t="shared" si="2"/>
        <v>5090.7761599999994</v>
      </c>
      <c r="S9" s="152">
        <f t="shared" si="2"/>
        <v>0</v>
      </c>
      <c r="T9" s="152">
        <f t="shared" si="2"/>
        <v>4993.1147700000001</v>
      </c>
      <c r="U9" s="152">
        <f t="shared" si="2"/>
        <v>0</v>
      </c>
      <c r="V9" s="152">
        <f t="shared" si="2"/>
        <v>5008.3407000000007</v>
      </c>
      <c r="W9" s="152">
        <f t="shared" si="2"/>
        <v>0</v>
      </c>
      <c r="X9" s="152">
        <f t="shared" si="2"/>
        <v>1136.4158699999998</v>
      </c>
      <c r="Y9" s="152">
        <f t="shared" si="2"/>
        <v>0</v>
      </c>
      <c r="Z9" s="152">
        <f t="shared" si="2"/>
        <v>1045.4613300000001</v>
      </c>
      <c r="AA9" s="152">
        <f t="shared" si="2"/>
        <v>0</v>
      </c>
      <c r="AB9" s="152">
        <f t="shared" si="2"/>
        <v>565.22897</v>
      </c>
      <c r="AC9" s="152">
        <f t="shared" si="2"/>
        <v>0</v>
      </c>
      <c r="AD9" s="152">
        <f t="shared" si="2"/>
        <v>363.88900000000001</v>
      </c>
      <c r="AE9" s="152">
        <f t="shared" si="2"/>
        <v>0</v>
      </c>
      <c r="AF9" s="72"/>
      <c r="AH9" s="39"/>
    </row>
    <row r="10" spans="1:43" s="38" customFormat="1" x14ac:dyDescent="0.25">
      <c r="A10" s="73" t="s">
        <v>102</v>
      </c>
      <c r="B10" s="145">
        <f>H10+J10+L10+N10+P10+R10+T10+V10+X10+Z10+AB10+AD10</f>
        <v>3356</v>
      </c>
      <c r="C10" s="146">
        <f>C40+C64+C68</f>
        <v>59.00996</v>
      </c>
      <c r="D10" s="146">
        <f>D40+D64+D68</f>
        <v>0</v>
      </c>
      <c r="E10" s="146">
        <f>E40+E64+E68</f>
        <v>0</v>
      </c>
      <c r="F10" s="76">
        <f>E10/B10</f>
        <v>0</v>
      </c>
      <c r="G10" s="76">
        <f>E10/C10</f>
        <v>0</v>
      </c>
      <c r="H10" s="146">
        <f>H40+H64+H68</f>
        <v>0</v>
      </c>
      <c r="I10" s="146">
        <f t="shared" ref="I10:AE10" si="3">I40+I64+I68</f>
        <v>0</v>
      </c>
      <c r="J10" s="146">
        <f t="shared" si="3"/>
        <v>59.00996</v>
      </c>
      <c r="K10" s="146">
        <f t="shared" si="3"/>
        <v>0</v>
      </c>
      <c r="L10" s="146">
        <f t="shared" si="3"/>
        <v>104.48496</v>
      </c>
      <c r="M10" s="146">
        <f t="shared" si="3"/>
        <v>0</v>
      </c>
      <c r="N10" s="146">
        <f t="shared" si="3"/>
        <v>107.15996</v>
      </c>
      <c r="O10" s="146">
        <f t="shared" si="3"/>
        <v>0</v>
      </c>
      <c r="P10" s="146">
        <f t="shared" si="3"/>
        <v>183.47496000000001</v>
      </c>
      <c r="Q10" s="146">
        <f t="shared" si="3"/>
        <v>0</v>
      </c>
      <c r="R10" s="146">
        <f t="shared" si="3"/>
        <v>143.30995999999999</v>
      </c>
      <c r="S10" s="146">
        <f t="shared" si="3"/>
        <v>0</v>
      </c>
      <c r="T10" s="146">
        <f t="shared" si="3"/>
        <v>789.40996999999993</v>
      </c>
      <c r="U10" s="146">
        <f t="shared" si="3"/>
        <v>0</v>
      </c>
      <c r="V10" s="146">
        <f t="shared" si="3"/>
        <v>1253.9499700000001</v>
      </c>
      <c r="W10" s="146">
        <f t="shared" si="3"/>
        <v>0</v>
      </c>
      <c r="X10" s="146">
        <f t="shared" si="3"/>
        <v>267.73496</v>
      </c>
      <c r="Y10" s="146">
        <f t="shared" si="3"/>
        <v>0</v>
      </c>
      <c r="Z10" s="146">
        <f t="shared" si="3"/>
        <v>234.01496</v>
      </c>
      <c r="AA10" s="146">
        <f t="shared" si="3"/>
        <v>0</v>
      </c>
      <c r="AB10" s="146">
        <f t="shared" si="3"/>
        <v>95.429960000000008</v>
      </c>
      <c r="AC10" s="146">
        <f t="shared" si="3"/>
        <v>0</v>
      </c>
      <c r="AD10" s="146">
        <f t="shared" si="3"/>
        <v>118.02038</v>
      </c>
      <c r="AE10" s="146">
        <f t="shared" si="3"/>
        <v>0</v>
      </c>
      <c r="AF10" s="75"/>
      <c r="AH10" s="39"/>
    </row>
    <row r="11" spans="1:43" s="38" customFormat="1" x14ac:dyDescent="0.25">
      <c r="A11" s="77" t="s">
        <v>103</v>
      </c>
      <c r="B11" s="147">
        <f>H11+J11+L11+N11+P11+R11+T11+V11+X11+Z11+AB11+AD11</f>
        <v>18336.498210000002</v>
      </c>
      <c r="C11" s="148">
        <f>C41+C65</f>
        <v>783.53314999999998</v>
      </c>
      <c r="D11" s="148">
        <f t="shared" ref="D11:E11" si="4">D41+D65</f>
        <v>783.53314999999998</v>
      </c>
      <c r="E11" s="148">
        <f t="shared" si="4"/>
        <v>358.92627999999996</v>
      </c>
      <c r="F11" s="80">
        <f>E11/B11</f>
        <v>1.9574417966253543E-2</v>
      </c>
      <c r="G11" s="80">
        <f>E11/C11</f>
        <v>0.45808691055381634</v>
      </c>
      <c r="H11" s="148">
        <f>H41+H65</f>
        <v>112.06822000000001</v>
      </c>
      <c r="I11" s="148">
        <f t="shared" ref="I11:AE11" si="5">I41+I65</f>
        <v>0</v>
      </c>
      <c r="J11" s="148">
        <f t="shared" si="5"/>
        <v>671.46492999999998</v>
      </c>
      <c r="K11" s="148">
        <f t="shared" si="5"/>
        <v>358.92627999999996</v>
      </c>
      <c r="L11" s="148">
        <f t="shared" si="5"/>
        <v>1045.6716699999999</v>
      </c>
      <c r="M11" s="148">
        <f t="shared" si="5"/>
        <v>0</v>
      </c>
      <c r="N11" s="148">
        <f t="shared" si="5"/>
        <v>566.27245999999991</v>
      </c>
      <c r="O11" s="148">
        <f t="shared" si="5"/>
        <v>0</v>
      </c>
      <c r="P11" s="148">
        <f t="shared" si="5"/>
        <v>639.66428999999994</v>
      </c>
      <c r="Q11" s="148">
        <f t="shared" si="5"/>
        <v>0</v>
      </c>
      <c r="R11" s="148">
        <f t="shared" si="5"/>
        <v>4947.4661999999998</v>
      </c>
      <c r="S11" s="148">
        <f t="shared" si="5"/>
        <v>0</v>
      </c>
      <c r="T11" s="148">
        <f t="shared" si="5"/>
        <v>4203.7048000000004</v>
      </c>
      <c r="U11" s="148">
        <f t="shared" si="5"/>
        <v>0</v>
      </c>
      <c r="V11" s="148">
        <f t="shared" si="5"/>
        <v>3754.3907300000001</v>
      </c>
      <c r="W11" s="148">
        <f t="shared" si="5"/>
        <v>0</v>
      </c>
      <c r="X11" s="148">
        <f t="shared" si="5"/>
        <v>868.68090999999993</v>
      </c>
      <c r="Y11" s="148">
        <f t="shared" si="5"/>
        <v>0</v>
      </c>
      <c r="Z11" s="148">
        <f t="shared" si="5"/>
        <v>811.44637</v>
      </c>
      <c r="AA11" s="148">
        <f t="shared" si="5"/>
        <v>0</v>
      </c>
      <c r="AB11" s="148">
        <f t="shared" si="5"/>
        <v>469.79901000000001</v>
      </c>
      <c r="AC11" s="148">
        <f t="shared" si="5"/>
        <v>0</v>
      </c>
      <c r="AD11" s="148">
        <f t="shared" si="5"/>
        <v>245.86861999999999</v>
      </c>
      <c r="AE11" s="148">
        <f t="shared" si="5"/>
        <v>0</v>
      </c>
      <c r="AF11" s="79"/>
      <c r="AH11" s="39"/>
    </row>
    <row r="12" spans="1:43" s="38" customFormat="1" ht="86.25" customHeight="1" x14ac:dyDescent="0.25">
      <c r="A12" s="118" t="s">
        <v>110</v>
      </c>
      <c r="B12" s="149"/>
      <c r="C12" s="150"/>
      <c r="D12" s="150"/>
      <c r="E12" s="151"/>
      <c r="F12" s="119"/>
      <c r="G12" s="119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72"/>
      <c r="AE12" s="173"/>
      <c r="AF12" s="224"/>
      <c r="AH12" s="39"/>
    </row>
    <row r="13" spans="1:43" s="38" customFormat="1" x14ac:dyDescent="0.25">
      <c r="A13" s="70" t="s">
        <v>25</v>
      </c>
      <c r="B13" s="152">
        <f>B14+B15</f>
        <v>11208.89957</v>
      </c>
      <c r="C13" s="152">
        <f>C14+C15</f>
        <v>61.12462</v>
      </c>
      <c r="D13" s="152">
        <f>D14+D15</f>
        <v>61.12462</v>
      </c>
      <c r="E13" s="152">
        <f>E14+E15</f>
        <v>61.12462</v>
      </c>
      <c r="F13" s="71">
        <f>E13/B13</f>
        <v>5.4532222024360599E-3</v>
      </c>
      <c r="G13" s="71">
        <f>E13/C13</f>
        <v>1</v>
      </c>
      <c r="H13" s="174">
        <f t="shared" ref="H13:AE13" si="6">H14+H15</f>
        <v>0</v>
      </c>
      <c r="I13" s="174">
        <f t="shared" si="6"/>
        <v>0</v>
      </c>
      <c r="J13" s="174">
        <f t="shared" si="6"/>
        <v>61.12462</v>
      </c>
      <c r="K13" s="174">
        <f t="shared" si="6"/>
        <v>61.12462</v>
      </c>
      <c r="L13" s="174">
        <f t="shared" si="6"/>
        <v>531.48694999999998</v>
      </c>
      <c r="M13" s="174">
        <f t="shared" si="6"/>
        <v>0</v>
      </c>
      <c r="N13" s="174">
        <f t="shared" si="6"/>
        <v>0</v>
      </c>
      <c r="O13" s="174">
        <f t="shared" si="6"/>
        <v>0</v>
      </c>
      <c r="P13" s="174">
        <f t="shared" si="6"/>
        <v>0</v>
      </c>
      <c r="Q13" s="174">
        <f t="shared" si="6"/>
        <v>0</v>
      </c>
      <c r="R13" s="174">
        <f t="shared" si="6"/>
        <v>3675.3739999999998</v>
      </c>
      <c r="S13" s="174">
        <f t="shared" si="6"/>
        <v>0</v>
      </c>
      <c r="T13" s="174">
        <f t="shared" si="6"/>
        <v>3470.4390000000003</v>
      </c>
      <c r="U13" s="174">
        <f t="shared" si="6"/>
        <v>0</v>
      </c>
      <c r="V13" s="174">
        <f t="shared" si="6"/>
        <v>3470.4750000000004</v>
      </c>
      <c r="W13" s="174">
        <f t="shared" si="6"/>
        <v>0</v>
      </c>
      <c r="X13" s="174">
        <f t="shared" si="6"/>
        <v>0</v>
      </c>
      <c r="Y13" s="174">
        <f t="shared" si="6"/>
        <v>0</v>
      </c>
      <c r="Z13" s="174">
        <f t="shared" si="6"/>
        <v>0</v>
      </c>
      <c r="AA13" s="174">
        <f t="shared" si="6"/>
        <v>0</v>
      </c>
      <c r="AB13" s="174">
        <f t="shared" si="6"/>
        <v>0</v>
      </c>
      <c r="AC13" s="174">
        <f t="shared" si="6"/>
        <v>0</v>
      </c>
      <c r="AD13" s="174">
        <f t="shared" si="6"/>
        <v>0</v>
      </c>
      <c r="AE13" s="174">
        <f t="shared" si="6"/>
        <v>0</v>
      </c>
      <c r="AF13" s="225"/>
      <c r="AH13" s="39"/>
    </row>
    <row r="14" spans="1:43" s="38" customFormat="1" ht="25.5" customHeight="1" x14ac:dyDescent="0.25">
      <c r="A14" s="73" t="s">
        <v>102</v>
      </c>
      <c r="B14" s="145">
        <f>H14+J14+L14+N14+P14+R14+T14+V14+X14+Z14+AB14+AD14</f>
        <v>1605</v>
      </c>
      <c r="C14" s="146">
        <f>H14</f>
        <v>0</v>
      </c>
      <c r="D14" s="146">
        <f>D18</f>
        <v>0</v>
      </c>
      <c r="E14" s="146">
        <f>I14+K14+M14+O14+Q14+S14+U14+W14+Y14+AA14+AC14+AE14</f>
        <v>0</v>
      </c>
      <c r="F14" s="76">
        <f>E14/B14</f>
        <v>0</v>
      </c>
      <c r="G14" s="76">
        <v>0</v>
      </c>
      <c r="H14" s="146">
        <f>H18</f>
        <v>0</v>
      </c>
      <c r="I14" s="146">
        <f t="shared" ref="I14:AA14" si="7">I18</f>
        <v>0</v>
      </c>
      <c r="J14" s="146">
        <f t="shared" si="7"/>
        <v>0</v>
      </c>
      <c r="K14" s="146">
        <f t="shared" si="7"/>
        <v>0</v>
      </c>
      <c r="L14" s="146">
        <f t="shared" si="7"/>
        <v>0</v>
      </c>
      <c r="M14" s="146">
        <f t="shared" si="7"/>
        <v>0</v>
      </c>
      <c r="N14" s="146">
        <f>N18</f>
        <v>0</v>
      </c>
      <c r="O14" s="146">
        <f>O18</f>
        <v>0</v>
      </c>
      <c r="P14" s="146">
        <f t="shared" si="7"/>
        <v>0</v>
      </c>
      <c r="Q14" s="146">
        <f t="shared" si="7"/>
        <v>0</v>
      </c>
      <c r="R14" s="146">
        <f t="shared" si="7"/>
        <v>0</v>
      </c>
      <c r="S14" s="146">
        <f t="shared" si="7"/>
        <v>0</v>
      </c>
      <c r="T14" s="146">
        <f t="shared" si="7"/>
        <v>561.79999999999995</v>
      </c>
      <c r="U14" s="146">
        <f t="shared" si="7"/>
        <v>0</v>
      </c>
      <c r="V14" s="146">
        <f t="shared" si="7"/>
        <v>1043.2</v>
      </c>
      <c r="W14" s="146">
        <f t="shared" si="7"/>
        <v>0</v>
      </c>
      <c r="X14" s="146">
        <f t="shared" si="7"/>
        <v>0</v>
      </c>
      <c r="Y14" s="146">
        <f t="shared" si="7"/>
        <v>0</v>
      </c>
      <c r="Z14" s="146">
        <f t="shared" si="7"/>
        <v>0</v>
      </c>
      <c r="AA14" s="146">
        <f t="shared" si="7"/>
        <v>0</v>
      </c>
      <c r="AB14" s="146">
        <f>AB18</f>
        <v>0</v>
      </c>
      <c r="AC14" s="146">
        <f>AC18</f>
        <v>0</v>
      </c>
      <c r="AD14" s="146">
        <f>AD18</f>
        <v>0</v>
      </c>
      <c r="AE14" s="146">
        <f>AE18</f>
        <v>0</v>
      </c>
      <c r="AF14" s="225"/>
      <c r="AH14" s="39"/>
    </row>
    <row r="15" spans="1:43" s="38" customFormat="1" ht="22.5" customHeight="1" x14ac:dyDescent="0.25">
      <c r="A15" s="77" t="s">
        <v>103</v>
      </c>
      <c r="B15" s="147">
        <f>H15+J15+L15+N15+P15+R15+T15+V15+X15+Z15+AB15+AD15</f>
        <v>9603.8995699999996</v>
      </c>
      <c r="C15" s="148">
        <f>C19+C21+C23</f>
        <v>61.12462</v>
      </c>
      <c r="D15" s="148">
        <f>D19+D21+D23</f>
        <v>61.12462</v>
      </c>
      <c r="E15" s="148">
        <f>E19+E21+E23</f>
        <v>61.12462</v>
      </c>
      <c r="F15" s="80">
        <f>E15/B15</f>
        <v>6.3645625981905186E-3</v>
      </c>
      <c r="G15" s="80">
        <f>E15/C15</f>
        <v>1</v>
      </c>
      <c r="H15" s="148">
        <f>H19+H21+H23</f>
        <v>0</v>
      </c>
      <c r="I15" s="148">
        <f t="shared" ref="I15:AE15" si="8">I19+I21+I23</f>
        <v>0</v>
      </c>
      <c r="J15" s="148">
        <f t="shared" si="8"/>
        <v>61.12462</v>
      </c>
      <c r="K15" s="148">
        <f t="shared" si="8"/>
        <v>61.12462</v>
      </c>
      <c r="L15" s="148">
        <f>L19+L21+L23</f>
        <v>531.48694999999998</v>
      </c>
      <c r="M15" s="148">
        <f t="shared" si="8"/>
        <v>0</v>
      </c>
      <c r="N15" s="148">
        <f t="shared" si="8"/>
        <v>0</v>
      </c>
      <c r="O15" s="148">
        <f t="shared" si="8"/>
        <v>0</v>
      </c>
      <c r="P15" s="148">
        <f t="shared" si="8"/>
        <v>0</v>
      </c>
      <c r="Q15" s="148">
        <f t="shared" si="8"/>
        <v>0</v>
      </c>
      <c r="R15" s="148">
        <f t="shared" si="8"/>
        <v>3675.3739999999998</v>
      </c>
      <c r="S15" s="148">
        <f t="shared" si="8"/>
        <v>0</v>
      </c>
      <c r="T15" s="148">
        <f t="shared" si="8"/>
        <v>2908.6390000000001</v>
      </c>
      <c r="U15" s="148">
        <f t="shared" si="8"/>
        <v>0</v>
      </c>
      <c r="V15" s="148">
        <f t="shared" si="8"/>
        <v>2427.2750000000001</v>
      </c>
      <c r="W15" s="148">
        <f t="shared" si="8"/>
        <v>0</v>
      </c>
      <c r="X15" s="148">
        <f t="shared" si="8"/>
        <v>0</v>
      </c>
      <c r="Y15" s="148">
        <f t="shared" si="8"/>
        <v>0</v>
      </c>
      <c r="Z15" s="148">
        <f t="shared" si="8"/>
        <v>0</v>
      </c>
      <c r="AA15" s="148">
        <f t="shared" si="8"/>
        <v>0</v>
      </c>
      <c r="AB15" s="148">
        <f t="shared" si="8"/>
        <v>0</v>
      </c>
      <c r="AC15" s="148">
        <f t="shared" si="8"/>
        <v>0</v>
      </c>
      <c r="AD15" s="148">
        <f t="shared" si="8"/>
        <v>0</v>
      </c>
      <c r="AE15" s="148">
        <f t="shared" si="8"/>
        <v>0</v>
      </c>
      <c r="AF15" s="226"/>
      <c r="AH15" s="39"/>
    </row>
    <row r="16" spans="1:43" s="109" customFormat="1" ht="36.75" customHeight="1" x14ac:dyDescent="0.25">
      <c r="A16" s="125" t="s">
        <v>126</v>
      </c>
      <c r="B16" s="153"/>
      <c r="C16" s="153"/>
      <c r="D16" s="153"/>
      <c r="E16" s="153"/>
      <c r="F16" s="94"/>
      <c r="G16" s="94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236" t="s">
        <v>142</v>
      </c>
    </row>
    <row r="17" spans="1:34" s="109" customFormat="1" ht="20.25" customHeight="1" x14ac:dyDescent="0.25">
      <c r="A17" s="110" t="s">
        <v>127</v>
      </c>
      <c r="B17" s="111">
        <f>B19+B18</f>
        <v>10616.288</v>
      </c>
      <c r="C17" s="111">
        <f>C19+C18</f>
        <v>0</v>
      </c>
      <c r="D17" s="111">
        <f>D19+D18</f>
        <v>0</v>
      </c>
      <c r="E17" s="111">
        <f>E19+E18</f>
        <v>0</v>
      </c>
      <c r="F17" s="121">
        <f>E17/B17</f>
        <v>0</v>
      </c>
      <c r="G17" s="129">
        <v>0</v>
      </c>
      <c r="H17" s="112">
        <f t="shared" ref="H17:M17" si="9">H19+H18</f>
        <v>0</v>
      </c>
      <c r="I17" s="112">
        <f t="shared" si="9"/>
        <v>0</v>
      </c>
      <c r="J17" s="112">
        <f t="shared" si="9"/>
        <v>0</v>
      </c>
      <c r="K17" s="112">
        <f t="shared" si="9"/>
        <v>0</v>
      </c>
      <c r="L17" s="112">
        <f t="shared" si="9"/>
        <v>0</v>
      </c>
      <c r="M17" s="112">
        <f t="shared" si="9"/>
        <v>0</v>
      </c>
      <c r="N17" s="112">
        <f t="shared" ref="N17:AE17" si="10">N19+N18</f>
        <v>0</v>
      </c>
      <c r="O17" s="112">
        <f t="shared" si="10"/>
        <v>0</v>
      </c>
      <c r="P17" s="112">
        <f t="shared" si="10"/>
        <v>0</v>
      </c>
      <c r="Q17" s="112">
        <f t="shared" si="10"/>
        <v>0</v>
      </c>
      <c r="R17" s="112">
        <f t="shared" si="10"/>
        <v>3675.3739999999998</v>
      </c>
      <c r="S17" s="112">
        <f t="shared" si="10"/>
        <v>0</v>
      </c>
      <c r="T17" s="112">
        <f t="shared" si="10"/>
        <v>3470.4390000000003</v>
      </c>
      <c r="U17" s="112">
        <f t="shared" si="10"/>
        <v>0</v>
      </c>
      <c r="V17" s="112">
        <f t="shared" si="10"/>
        <v>3470.4750000000004</v>
      </c>
      <c r="W17" s="112">
        <f t="shared" si="10"/>
        <v>0</v>
      </c>
      <c r="X17" s="112">
        <f t="shared" si="10"/>
        <v>0</v>
      </c>
      <c r="Y17" s="112">
        <f t="shared" si="10"/>
        <v>0</v>
      </c>
      <c r="Z17" s="112">
        <f t="shared" si="10"/>
        <v>0</v>
      </c>
      <c r="AA17" s="112">
        <f t="shared" si="10"/>
        <v>0</v>
      </c>
      <c r="AB17" s="112">
        <f t="shared" si="10"/>
        <v>0</v>
      </c>
      <c r="AC17" s="112">
        <f t="shared" si="10"/>
        <v>0</v>
      </c>
      <c r="AD17" s="112">
        <f t="shared" si="10"/>
        <v>0</v>
      </c>
      <c r="AE17" s="112">
        <f t="shared" si="10"/>
        <v>0</v>
      </c>
      <c r="AF17" s="237"/>
    </row>
    <row r="18" spans="1:34" s="109" customFormat="1" ht="21" customHeight="1" x14ac:dyDescent="0.25">
      <c r="A18" s="110" t="s">
        <v>102</v>
      </c>
      <c r="B18" s="115">
        <f>H18+J18+L18+N18+P18+R18+T18+V18+X18+Z18+AB18+AD18</f>
        <v>1605</v>
      </c>
      <c r="C18" s="116">
        <f>H18+J18</f>
        <v>0</v>
      </c>
      <c r="D18" s="116">
        <v>0</v>
      </c>
      <c r="E18" s="116">
        <f>I18+K18+M18+O18+Q18+S18+U18+W18+Y18+AA18+AC18+AE18</f>
        <v>0</v>
      </c>
      <c r="F18" s="122">
        <f>E18/B18</f>
        <v>0</v>
      </c>
      <c r="G18" s="200">
        <v>0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v>0</v>
      </c>
      <c r="S18" s="116"/>
      <c r="T18" s="116">
        <f>561800/1000</f>
        <v>561.79999999999995</v>
      </c>
      <c r="U18" s="116">
        <v>0</v>
      </c>
      <c r="V18" s="116">
        <f>1043200/1000</f>
        <v>1043.2</v>
      </c>
      <c r="W18" s="116">
        <v>0</v>
      </c>
      <c r="X18" s="116"/>
      <c r="Y18" s="116">
        <v>0</v>
      </c>
      <c r="Z18" s="116"/>
      <c r="AA18" s="116"/>
      <c r="AB18" s="116"/>
      <c r="AC18" s="116"/>
      <c r="AD18" s="116"/>
      <c r="AE18" s="163"/>
      <c r="AF18" s="237"/>
      <c r="AG18" s="105"/>
    </row>
    <row r="19" spans="1:34" s="109" customFormat="1" ht="18.75" customHeight="1" x14ac:dyDescent="0.25">
      <c r="A19" s="110" t="s">
        <v>103</v>
      </c>
      <c r="B19" s="115">
        <f>H19+J19+L19+N19+P19+R19+T19+V19+X19+Z19+AB19+AD19</f>
        <v>9011.2880000000005</v>
      </c>
      <c r="C19" s="116">
        <f>H19+J19</f>
        <v>0</v>
      </c>
      <c r="D19" s="116">
        <f>C19</f>
        <v>0</v>
      </c>
      <c r="E19" s="116">
        <f>I19+K19+M19+O19+Q19+S19+U19+W19+Y19+AA19+AC19+AE19</f>
        <v>0</v>
      </c>
      <c r="F19" s="122">
        <f>E19/B19</f>
        <v>0</v>
      </c>
      <c r="G19" s="200">
        <v>0</v>
      </c>
      <c r="H19" s="116"/>
      <c r="I19" s="116"/>
      <c r="J19" s="116"/>
      <c r="K19" s="116"/>
      <c r="L19" s="116"/>
      <c r="M19" s="116"/>
      <c r="N19" s="116">
        <v>0</v>
      </c>
      <c r="O19" s="116"/>
      <c r="P19" s="116"/>
      <c r="Q19" s="116"/>
      <c r="R19" s="116">
        <f>3675374/1000</f>
        <v>3675.3739999999998</v>
      </c>
      <c r="S19" s="116">
        <v>0</v>
      </c>
      <c r="T19" s="116">
        <f>2908639/1000</f>
        <v>2908.6390000000001</v>
      </c>
      <c r="U19" s="116">
        <v>0</v>
      </c>
      <c r="V19" s="116">
        <f>2427275/1000</f>
        <v>2427.2750000000001</v>
      </c>
      <c r="W19" s="116">
        <v>0</v>
      </c>
      <c r="X19" s="116"/>
      <c r="Y19" s="116"/>
      <c r="Z19" s="116"/>
      <c r="AA19" s="116"/>
      <c r="AB19" s="116"/>
      <c r="AC19" s="116"/>
      <c r="AD19" s="116"/>
      <c r="AE19" s="163"/>
      <c r="AF19" s="237"/>
      <c r="AG19" s="105"/>
    </row>
    <row r="20" spans="1:34" s="109" customFormat="1" ht="94.5" customHeight="1" x14ac:dyDescent="0.25">
      <c r="A20" s="125" t="s">
        <v>128</v>
      </c>
      <c r="B20" s="114"/>
      <c r="C20" s="114"/>
      <c r="D20" s="114"/>
      <c r="E20" s="114"/>
      <c r="F20" s="123"/>
      <c r="G20" s="123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53"/>
      <c r="AF20" s="237"/>
      <c r="AG20" s="105"/>
    </row>
    <row r="21" spans="1:34" s="109" customFormat="1" ht="23.25" customHeight="1" x14ac:dyDescent="0.25">
      <c r="A21" s="110" t="s">
        <v>103</v>
      </c>
      <c r="B21" s="115">
        <f>H21+J21+L21+N21+P21+R21+T21+V21+X21+Z21+AB21+AD21</f>
        <v>531.48694999999998</v>
      </c>
      <c r="C21" s="116">
        <f>H21+J21</f>
        <v>0</v>
      </c>
      <c r="D21" s="117">
        <f>C21</f>
        <v>0</v>
      </c>
      <c r="E21" s="116">
        <f>I21+K21+M21+O21+Q21+S21+U21+W21+Y21+AA21+AC21+AE21</f>
        <v>0</v>
      </c>
      <c r="F21" s="122">
        <f>E21/B21</f>
        <v>0</v>
      </c>
      <c r="G21" s="200">
        <v>0</v>
      </c>
      <c r="H21" s="117"/>
      <c r="I21" s="117"/>
      <c r="J21" s="117"/>
      <c r="K21" s="117"/>
      <c r="L21" s="117">
        <f>531486.95/1000</f>
        <v>531.48694999999998</v>
      </c>
      <c r="M21" s="117"/>
      <c r="N21" s="117">
        <v>0</v>
      </c>
      <c r="O21" s="117">
        <v>0</v>
      </c>
      <c r="P21" s="117"/>
      <c r="Q21" s="117">
        <v>0</v>
      </c>
      <c r="R21" s="117"/>
      <c r="S21" s="117">
        <v>0</v>
      </c>
      <c r="T21" s="117"/>
      <c r="U21" s="117">
        <v>0</v>
      </c>
      <c r="V21" s="117">
        <v>0</v>
      </c>
      <c r="W21" s="117">
        <v>0</v>
      </c>
      <c r="X21" s="117">
        <v>0</v>
      </c>
      <c r="Y21" s="117"/>
      <c r="Z21" s="117"/>
      <c r="AA21" s="117"/>
      <c r="AB21" s="117"/>
      <c r="AC21" s="117"/>
      <c r="AD21" s="117"/>
      <c r="AE21" s="117"/>
      <c r="AF21" s="237"/>
    </row>
    <row r="22" spans="1:34" s="109" customFormat="1" ht="39.75" customHeight="1" x14ac:dyDescent="0.25">
      <c r="A22" s="125" t="s">
        <v>129</v>
      </c>
      <c r="B22" s="114"/>
      <c r="C22" s="114"/>
      <c r="D22" s="114"/>
      <c r="E22" s="114"/>
      <c r="F22" s="123"/>
      <c r="G22" s="123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53"/>
      <c r="AF22" s="237"/>
    </row>
    <row r="23" spans="1:34" s="109" customFormat="1" ht="25.5" customHeight="1" x14ac:dyDescent="0.25">
      <c r="A23" s="110" t="s">
        <v>103</v>
      </c>
      <c r="B23" s="115">
        <f>H23+J23+L23+N23+P23+R23+T23+V23+X23+Z23+AB23+AD23</f>
        <v>61.12462</v>
      </c>
      <c r="C23" s="116">
        <f>H23+J23</f>
        <v>61.12462</v>
      </c>
      <c r="D23" s="115">
        <f>C23</f>
        <v>61.12462</v>
      </c>
      <c r="E23" s="116">
        <f>I23+K23+M23+O23+Q23+S23+U23+W23+Y23+AA23+AC23+AE23</f>
        <v>61.12462</v>
      </c>
      <c r="F23" s="122">
        <f>E23/B23</f>
        <v>1</v>
      </c>
      <c r="G23" s="200">
        <f>E23/C23</f>
        <v>1</v>
      </c>
      <c r="H23" s="117"/>
      <c r="I23" s="117"/>
      <c r="J23" s="117">
        <f>61124.62/1000</f>
        <v>61.12462</v>
      </c>
      <c r="K23" s="117">
        <f>61124.62/1000</f>
        <v>61.12462</v>
      </c>
      <c r="L23" s="117">
        <v>0</v>
      </c>
      <c r="M23" s="117"/>
      <c r="N23" s="117"/>
      <c r="O23" s="117"/>
      <c r="P23" s="117"/>
      <c r="Q23" s="117">
        <v>0</v>
      </c>
      <c r="R23" s="117"/>
      <c r="S23" s="117">
        <v>0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238"/>
    </row>
    <row r="24" spans="1:34" s="38" customFormat="1" ht="92.25" customHeight="1" x14ac:dyDescent="0.25">
      <c r="A24" s="118" t="s">
        <v>111</v>
      </c>
      <c r="B24" s="149"/>
      <c r="C24" s="150"/>
      <c r="D24" s="150"/>
      <c r="E24" s="151"/>
      <c r="F24" s="119"/>
      <c r="G24" s="119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72"/>
      <c r="AE24" s="173"/>
      <c r="AF24" s="227" t="s">
        <v>143</v>
      </c>
      <c r="AH24" s="39"/>
    </row>
    <row r="25" spans="1:34" s="38" customFormat="1" ht="36" customHeight="1" x14ac:dyDescent="0.25">
      <c r="A25" s="125" t="s">
        <v>126</v>
      </c>
      <c r="B25" s="154"/>
      <c r="C25" s="154"/>
      <c r="D25" s="154"/>
      <c r="E25" s="154"/>
      <c r="F25" s="95"/>
      <c r="G25" s="95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228"/>
      <c r="AH25" s="62"/>
    </row>
    <row r="26" spans="1:34" s="38" customFormat="1" ht="18.75" customHeight="1" x14ac:dyDescent="0.25">
      <c r="A26" s="70" t="s">
        <v>25</v>
      </c>
      <c r="B26" s="152">
        <f>B28+B27</f>
        <v>1919.0000000000002</v>
      </c>
      <c r="C26" s="152">
        <f>C28+C27</f>
        <v>298.56700000000001</v>
      </c>
      <c r="D26" s="152">
        <f>D28+D27</f>
        <v>298.56700000000001</v>
      </c>
      <c r="E26" s="152">
        <f>E28+E27</f>
        <v>297.80165999999997</v>
      </c>
      <c r="F26" s="71">
        <f>E26/B26</f>
        <v>0.15518585721730063</v>
      </c>
      <c r="G26" s="71">
        <f>E26/C26</f>
        <v>0.99743662226568897</v>
      </c>
      <c r="H26" s="152">
        <f>H28+H27</f>
        <v>0</v>
      </c>
      <c r="I26" s="152">
        <f t="shared" ref="I26:AE26" si="11">I28+I27</f>
        <v>0</v>
      </c>
      <c r="J26" s="152">
        <f t="shared" si="11"/>
        <v>298.56700000000001</v>
      </c>
      <c r="K26" s="152">
        <f t="shared" si="11"/>
        <v>297.80165999999997</v>
      </c>
      <c r="L26" s="152">
        <f t="shared" si="11"/>
        <v>317.06200000000001</v>
      </c>
      <c r="M26" s="152">
        <f t="shared" si="11"/>
        <v>0</v>
      </c>
      <c r="N26" s="152">
        <f t="shared" si="11"/>
        <v>260.97399999999999</v>
      </c>
      <c r="O26" s="152">
        <f t="shared" si="11"/>
        <v>0</v>
      </c>
      <c r="P26" s="152">
        <f t="shared" si="11"/>
        <v>261.71899999999999</v>
      </c>
      <c r="Q26" s="152">
        <f t="shared" si="11"/>
        <v>0</v>
      </c>
      <c r="R26" s="152">
        <f t="shared" si="11"/>
        <v>0</v>
      </c>
      <c r="S26" s="152">
        <f t="shared" si="11"/>
        <v>0</v>
      </c>
      <c r="T26" s="152">
        <f t="shared" si="11"/>
        <v>0</v>
      </c>
      <c r="U26" s="152">
        <f t="shared" si="11"/>
        <v>0</v>
      </c>
      <c r="V26" s="152">
        <f t="shared" si="11"/>
        <v>0</v>
      </c>
      <c r="W26" s="152">
        <f t="shared" si="11"/>
        <v>0</v>
      </c>
      <c r="X26" s="152">
        <f t="shared" si="11"/>
        <v>261.71799999999996</v>
      </c>
      <c r="Y26" s="152">
        <f t="shared" si="11"/>
        <v>0</v>
      </c>
      <c r="Z26" s="152">
        <f t="shared" si="11"/>
        <v>257.28399999999999</v>
      </c>
      <c r="AA26" s="152">
        <f t="shared" si="11"/>
        <v>0</v>
      </c>
      <c r="AB26" s="152">
        <f t="shared" si="11"/>
        <v>261.67599999999999</v>
      </c>
      <c r="AC26" s="152">
        <f t="shared" si="11"/>
        <v>0</v>
      </c>
      <c r="AD26" s="152">
        <f t="shared" si="11"/>
        <v>0</v>
      </c>
      <c r="AE26" s="152">
        <f t="shared" si="11"/>
        <v>0</v>
      </c>
      <c r="AF26" s="228"/>
      <c r="AG26" s="105"/>
      <c r="AH26" s="39"/>
    </row>
    <row r="27" spans="1:34" s="38" customFormat="1" ht="22.5" customHeight="1" x14ac:dyDescent="0.25">
      <c r="A27" s="73" t="s">
        <v>102</v>
      </c>
      <c r="B27" s="145">
        <f>H27+J27+L27+N27+P27+R27+T27+V27+X27+Z27+AB27+AD27</f>
        <v>216.7</v>
      </c>
      <c r="C27" s="146">
        <f>H27+J27</f>
        <v>0</v>
      </c>
      <c r="D27" s="146"/>
      <c r="E27" s="146">
        <f>I27+K27+M27+O27+Q27+S27+U27+W27+Y27+AA27+AC27+AE27</f>
        <v>0</v>
      </c>
      <c r="F27" s="76">
        <f>E27/B27</f>
        <v>0</v>
      </c>
      <c r="G27" s="76">
        <v>0</v>
      </c>
      <c r="H27" s="146">
        <v>0</v>
      </c>
      <c r="I27" s="146">
        <v>0</v>
      </c>
      <c r="J27" s="146">
        <v>0</v>
      </c>
      <c r="K27" s="146"/>
      <c r="L27" s="146">
        <f>45475/1000</f>
        <v>45.475000000000001</v>
      </c>
      <c r="M27" s="175"/>
      <c r="N27" s="146">
        <f>48150/1000</f>
        <v>48.15</v>
      </c>
      <c r="O27" s="175"/>
      <c r="P27" s="146">
        <f>40125/1000</f>
        <v>40.125</v>
      </c>
      <c r="Q27" s="175"/>
      <c r="R27" s="175"/>
      <c r="S27" s="175"/>
      <c r="T27" s="175"/>
      <c r="U27" s="175"/>
      <c r="V27" s="175"/>
      <c r="W27" s="175"/>
      <c r="X27" s="146">
        <f>40125/1000</f>
        <v>40.125</v>
      </c>
      <c r="Y27" s="175"/>
      <c r="Z27" s="146">
        <f>40125/1000</f>
        <v>40.125</v>
      </c>
      <c r="AA27" s="175"/>
      <c r="AB27" s="146">
        <f>2700/1000</f>
        <v>2.7</v>
      </c>
      <c r="AC27" s="146"/>
      <c r="AD27" s="146"/>
      <c r="AE27" s="146">
        <v>0</v>
      </c>
      <c r="AF27" s="228"/>
      <c r="AG27" s="105"/>
      <c r="AH27" s="39"/>
    </row>
    <row r="28" spans="1:34" s="38" customFormat="1" ht="24.75" customHeight="1" x14ac:dyDescent="0.25">
      <c r="A28" s="77" t="s">
        <v>103</v>
      </c>
      <c r="B28" s="147">
        <f>H28+J28+L28+N28+P28+R28+T28+V28+X28+Z28+AB28+AD28</f>
        <v>1702.3000000000002</v>
      </c>
      <c r="C28" s="148">
        <f>H28+J28</f>
        <v>298.56700000000001</v>
      </c>
      <c r="D28" s="148">
        <f>C28</f>
        <v>298.56700000000001</v>
      </c>
      <c r="E28" s="148">
        <f>I28+K28+M28+O28+Q28+S28+U28+W28+Y28+AA28+AC28+AE28</f>
        <v>297.80165999999997</v>
      </c>
      <c r="F28" s="80">
        <f>E28/B28</f>
        <v>0.17494076249779705</v>
      </c>
      <c r="G28" s="80">
        <f>E28/C28</f>
        <v>0.99743662226568897</v>
      </c>
      <c r="H28" s="148">
        <v>0</v>
      </c>
      <c r="I28" s="148">
        <v>0</v>
      </c>
      <c r="J28" s="148">
        <f>298567/1000</f>
        <v>298.56700000000001</v>
      </c>
      <c r="K28" s="148">
        <f>297801.66/1000</f>
        <v>297.80165999999997</v>
      </c>
      <c r="L28" s="148">
        <f>271587/1000</f>
        <v>271.58699999999999</v>
      </c>
      <c r="M28" s="176"/>
      <c r="N28" s="148">
        <f>212824/1000</f>
        <v>212.82400000000001</v>
      </c>
      <c r="O28" s="176"/>
      <c r="P28" s="148">
        <f>221594/1000</f>
        <v>221.59399999999999</v>
      </c>
      <c r="Q28" s="176"/>
      <c r="R28" s="176"/>
      <c r="S28" s="176"/>
      <c r="T28" s="176"/>
      <c r="U28" s="176"/>
      <c r="V28" s="176"/>
      <c r="W28" s="176"/>
      <c r="X28" s="148">
        <f>221593/1000</f>
        <v>221.59299999999999</v>
      </c>
      <c r="Y28" s="176"/>
      <c r="Z28" s="148">
        <f>217159/1000</f>
        <v>217.15899999999999</v>
      </c>
      <c r="AA28" s="176"/>
      <c r="AB28" s="148">
        <f>258976/1000</f>
        <v>258.976</v>
      </c>
      <c r="AC28" s="148"/>
      <c r="AD28" s="148"/>
      <c r="AE28" s="148">
        <v>0</v>
      </c>
      <c r="AF28" s="229"/>
      <c r="AG28" s="105"/>
      <c r="AH28" s="39"/>
    </row>
    <row r="29" spans="1:34" s="38" customFormat="1" ht="72.75" customHeight="1" x14ac:dyDescent="0.25">
      <c r="A29" s="118" t="s">
        <v>118</v>
      </c>
      <c r="B29" s="149"/>
      <c r="C29" s="150"/>
      <c r="D29" s="150"/>
      <c r="E29" s="151"/>
      <c r="F29" s="119"/>
      <c r="G29" s="119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72"/>
      <c r="AE29" s="173"/>
      <c r="AF29" s="224"/>
      <c r="AH29" s="39"/>
    </row>
    <row r="30" spans="1:34" s="38" customFormat="1" x14ac:dyDescent="0.25">
      <c r="A30" s="70" t="s">
        <v>25</v>
      </c>
      <c r="B30" s="152">
        <f>B31</f>
        <v>1827.7987400000002</v>
      </c>
      <c r="C30" s="152">
        <f t="shared" ref="C30:AE30" si="12">C31</f>
        <v>0</v>
      </c>
      <c r="D30" s="152">
        <f t="shared" si="12"/>
        <v>0</v>
      </c>
      <c r="E30" s="152">
        <f t="shared" si="12"/>
        <v>0</v>
      </c>
      <c r="F30" s="71">
        <f>E30/B30</f>
        <v>0</v>
      </c>
      <c r="G30" s="71">
        <v>0</v>
      </c>
      <c r="H30" s="152">
        <f t="shared" si="12"/>
        <v>0</v>
      </c>
      <c r="I30" s="152">
        <f t="shared" si="12"/>
        <v>0</v>
      </c>
      <c r="J30" s="152">
        <f t="shared" si="12"/>
        <v>0</v>
      </c>
      <c r="K30" s="152">
        <f t="shared" si="12"/>
        <v>0</v>
      </c>
      <c r="L30" s="152">
        <f t="shared" si="12"/>
        <v>46.506239999999998</v>
      </c>
      <c r="M30" s="152">
        <f t="shared" si="12"/>
        <v>0</v>
      </c>
      <c r="N30" s="152">
        <f t="shared" si="12"/>
        <v>0</v>
      </c>
      <c r="O30" s="152">
        <f t="shared" si="12"/>
        <v>0</v>
      </c>
      <c r="P30" s="152">
        <f t="shared" si="12"/>
        <v>0</v>
      </c>
      <c r="Q30" s="152">
        <f t="shared" si="12"/>
        <v>0</v>
      </c>
      <c r="R30" s="152">
        <f t="shared" si="12"/>
        <v>615.34249999999997</v>
      </c>
      <c r="S30" s="152">
        <f t="shared" si="12"/>
        <v>0</v>
      </c>
      <c r="T30" s="152">
        <f t="shared" si="12"/>
        <v>582.99400000000003</v>
      </c>
      <c r="U30" s="152">
        <f t="shared" si="12"/>
        <v>0</v>
      </c>
      <c r="V30" s="152">
        <f t="shared" si="12"/>
        <v>582.95600000000002</v>
      </c>
      <c r="W30" s="152">
        <f t="shared" si="12"/>
        <v>0</v>
      </c>
      <c r="X30" s="152">
        <f t="shared" si="12"/>
        <v>0</v>
      </c>
      <c r="Y30" s="152">
        <f t="shared" si="12"/>
        <v>0</v>
      </c>
      <c r="Z30" s="152">
        <f t="shared" si="12"/>
        <v>0</v>
      </c>
      <c r="AA30" s="152">
        <f t="shared" si="12"/>
        <v>0</v>
      </c>
      <c r="AB30" s="152">
        <f t="shared" si="12"/>
        <v>0</v>
      </c>
      <c r="AC30" s="152">
        <f t="shared" si="12"/>
        <v>0</v>
      </c>
      <c r="AD30" s="152">
        <f t="shared" si="12"/>
        <v>0</v>
      </c>
      <c r="AE30" s="177">
        <f t="shared" si="12"/>
        <v>0</v>
      </c>
      <c r="AF30" s="225"/>
      <c r="AG30" s="105"/>
      <c r="AH30" s="39"/>
    </row>
    <row r="31" spans="1:34" s="38" customFormat="1" ht="19.5" customHeight="1" x14ac:dyDescent="0.25">
      <c r="A31" s="85" t="s">
        <v>103</v>
      </c>
      <c r="B31" s="147">
        <f>H31+J31+L31+N31+P31+R31+T31+V31+X31+Z31+AB31+AD31</f>
        <v>1827.7987400000002</v>
      </c>
      <c r="C31" s="148">
        <f>H31+J31</f>
        <v>0</v>
      </c>
      <c r="D31" s="148">
        <f>C31</f>
        <v>0</v>
      </c>
      <c r="E31" s="148">
        <f>I31+K31+M31+O31+Q31+S31+U31+W31+Y31+AA31+AC31+AE31</f>
        <v>0</v>
      </c>
      <c r="F31" s="80">
        <f>E31/B31</f>
        <v>0</v>
      </c>
      <c r="G31" s="80">
        <v>0</v>
      </c>
      <c r="H31" s="178">
        <f>H33+H35</f>
        <v>0</v>
      </c>
      <c r="I31" s="178">
        <f t="shared" ref="I31:AE31" si="13">I33+I35</f>
        <v>0</v>
      </c>
      <c r="J31" s="178">
        <f t="shared" si="13"/>
        <v>0</v>
      </c>
      <c r="K31" s="178">
        <f t="shared" si="13"/>
        <v>0</v>
      </c>
      <c r="L31" s="178">
        <f t="shared" si="13"/>
        <v>46.506239999999998</v>
      </c>
      <c r="M31" s="178">
        <f t="shared" si="13"/>
        <v>0</v>
      </c>
      <c r="N31" s="178">
        <f t="shared" si="13"/>
        <v>0</v>
      </c>
      <c r="O31" s="178">
        <f t="shared" si="13"/>
        <v>0</v>
      </c>
      <c r="P31" s="178">
        <f t="shared" si="13"/>
        <v>0</v>
      </c>
      <c r="Q31" s="178">
        <f t="shared" si="13"/>
        <v>0</v>
      </c>
      <c r="R31" s="178">
        <f>R33+R35</f>
        <v>615.34249999999997</v>
      </c>
      <c r="S31" s="178">
        <f t="shared" si="13"/>
        <v>0</v>
      </c>
      <c r="T31" s="178">
        <f t="shared" si="13"/>
        <v>582.99400000000003</v>
      </c>
      <c r="U31" s="178">
        <f t="shared" si="13"/>
        <v>0</v>
      </c>
      <c r="V31" s="178">
        <f t="shared" si="13"/>
        <v>582.95600000000002</v>
      </c>
      <c r="W31" s="178">
        <f t="shared" si="13"/>
        <v>0</v>
      </c>
      <c r="X31" s="178">
        <f t="shared" si="13"/>
        <v>0</v>
      </c>
      <c r="Y31" s="178">
        <f t="shared" si="13"/>
        <v>0</v>
      </c>
      <c r="Z31" s="178">
        <f t="shared" si="13"/>
        <v>0</v>
      </c>
      <c r="AA31" s="178">
        <f t="shared" si="13"/>
        <v>0</v>
      </c>
      <c r="AB31" s="178">
        <f t="shared" si="13"/>
        <v>0</v>
      </c>
      <c r="AC31" s="178">
        <f t="shared" si="13"/>
        <v>0</v>
      </c>
      <c r="AD31" s="178">
        <f t="shared" si="13"/>
        <v>0</v>
      </c>
      <c r="AE31" s="178">
        <f t="shared" si="13"/>
        <v>0</v>
      </c>
      <c r="AF31" s="225"/>
      <c r="AG31" s="40"/>
      <c r="AH31" s="41"/>
    </row>
    <row r="32" spans="1:34" s="109" customFormat="1" ht="38.25" customHeight="1" x14ac:dyDescent="0.25">
      <c r="A32" s="125" t="s">
        <v>126</v>
      </c>
      <c r="B32" s="155"/>
      <c r="C32" s="155"/>
      <c r="D32" s="155"/>
      <c r="E32" s="155"/>
      <c r="F32" s="124"/>
      <c r="G32" s="124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1"/>
      <c r="AF32" s="225"/>
    </row>
    <row r="33" spans="1:35" s="109" customFormat="1" ht="19.5" customHeight="1" x14ac:dyDescent="0.25">
      <c r="A33" s="113" t="s">
        <v>103</v>
      </c>
      <c r="B33" s="156">
        <f>H33+J33+L33+N33+P33+R33+T33+V33+X33+Z33+AB33+AD33</f>
        <v>1551.1325000000002</v>
      </c>
      <c r="C33" s="157">
        <f>H33+J33</f>
        <v>0</v>
      </c>
      <c r="D33" s="157">
        <f>C33</f>
        <v>0</v>
      </c>
      <c r="E33" s="157">
        <f>I33+K33+M33+O33+Q33+S33+U33+W33+Y33+AA33+AC33+AE33</f>
        <v>0</v>
      </c>
      <c r="F33" s="130">
        <f>E33/B33</f>
        <v>0</v>
      </c>
      <c r="G33" s="131">
        <v>0</v>
      </c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3">
        <f>536225/1000</f>
        <v>536.22500000000002</v>
      </c>
      <c r="S33" s="157">
        <v>0</v>
      </c>
      <c r="T33" s="183">
        <f>507472.75/1000</f>
        <v>507.47275000000002</v>
      </c>
      <c r="U33" s="157">
        <v>0</v>
      </c>
      <c r="V33" s="183">
        <f>507434.75/1000</f>
        <v>507.43475000000001</v>
      </c>
      <c r="W33" s="157">
        <v>0</v>
      </c>
      <c r="X33" s="182"/>
      <c r="Y33" s="157"/>
      <c r="Z33" s="182"/>
      <c r="AA33" s="182"/>
      <c r="AB33" s="182"/>
      <c r="AC33" s="182"/>
      <c r="AD33" s="182"/>
      <c r="AE33" s="184"/>
      <c r="AF33" s="225"/>
    </row>
    <row r="34" spans="1:35" s="109" customFormat="1" ht="70.5" customHeight="1" x14ac:dyDescent="0.25">
      <c r="A34" s="125" t="s">
        <v>138</v>
      </c>
      <c r="B34" s="155"/>
      <c r="C34" s="155"/>
      <c r="D34" s="155"/>
      <c r="E34" s="155"/>
      <c r="F34" s="124"/>
      <c r="G34" s="124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79"/>
      <c r="Z34" s="179"/>
      <c r="AA34" s="179"/>
      <c r="AB34" s="179"/>
      <c r="AC34" s="179"/>
      <c r="AD34" s="179"/>
      <c r="AE34" s="185"/>
      <c r="AF34" s="225"/>
    </row>
    <row r="35" spans="1:35" s="109" customFormat="1" ht="27" customHeight="1" x14ac:dyDescent="0.25">
      <c r="A35" s="113" t="s">
        <v>103</v>
      </c>
      <c r="B35" s="156">
        <f>H35+J35+L35+N35+P35+R35+T35+V35+X35+Z35+AB35+AD35</f>
        <v>276.66624000000002</v>
      </c>
      <c r="C35" s="157">
        <f>H35+J35</f>
        <v>0</v>
      </c>
      <c r="D35" s="157">
        <f>C35</f>
        <v>0</v>
      </c>
      <c r="E35" s="157">
        <f>I35+K35+M35+O35+Q35+S35+U35+W35+Y35+AA35+AC35+AE35</f>
        <v>0</v>
      </c>
      <c r="F35" s="130">
        <f>E35/B35</f>
        <v>0</v>
      </c>
      <c r="G35" s="130">
        <v>0</v>
      </c>
      <c r="H35" s="157"/>
      <c r="I35" s="157"/>
      <c r="J35" s="157"/>
      <c r="K35" s="157"/>
      <c r="L35" s="157">
        <f>46506.24/1000</f>
        <v>46.506239999999998</v>
      </c>
      <c r="M35" s="157"/>
      <c r="N35" s="157">
        <v>0</v>
      </c>
      <c r="O35" s="157">
        <v>0</v>
      </c>
      <c r="P35" s="157">
        <v>0</v>
      </c>
      <c r="Q35" s="157">
        <v>0</v>
      </c>
      <c r="R35" s="157">
        <f>79117.5/1000</f>
        <v>79.117500000000007</v>
      </c>
      <c r="S35" s="157">
        <v>0</v>
      </c>
      <c r="T35" s="157">
        <f>75521.25/1000</f>
        <v>75.521249999999995</v>
      </c>
      <c r="U35" s="157">
        <v>0</v>
      </c>
      <c r="V35" s="157">
        <f>75521.25/1000</f>
        <v>75.521249999999995</v>
      </c>
      <c r="W35" s="157">
        <v>0</v>
      </c>
      <c r="X35" s="157"/>
      <c r="Y35" s="182"/>
      <c r="Z35" s="182"/>
      <c r="AA35" s="182"/>
      <c r="AB35" s="182"/>
      <c r="AC35" s="182"/>
      <c r="AD35" s="182"/>
      <c r="AE35" s="184"/>
      <c r="AF35" s="226"/>
    </row>
    <row r="36" spans="1:35" s="38" customFormat="1" ht="61.5" customHeight="1" x14ac:dyDescent="0.25">
      <c r="A36" s="118" t="s">
        <v>119</v>
      </c>
      <c r="B36" s="149"/>
      <c r="C36" s="150"/>
      <c r="D36" s="150"/>
      <c r="E36" s="151"/>
      <c r="F36" s="119"/>
      <c r="G36" s="119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72"/>
      <c r="AE36" s="173"/>
      <c r="AF36" s="195" t="s">
        <v>147</v>
      </c>
      <c r="AH36" s="39"/>
    </row>
    <row r="37" spans="1:35" s="38" customFormat="1" x14ac:dyDescent="0.25">
      <c r="A37" s="70" t="s">
        <v>25</v>
      </c>
      <c r="B37" s="152">
        <f>B38</f>
        <v>0</v>
      </c>
      <c r="C37" s="152">
        <f t="shared" ref="C37:AE37" si="14">C38</f>
        <v>0</v>
      </c>
      <c r="D37" s="152">
        <f t="shared" si="14"/>
        <v>0</v>
      </c>
      <c r="E37" s="152">
        <f t="shared" si="14"/>
        <v>0</v>
      </c>
      <c r="F37" s="71">
        <f t="shared" si="14"/>
        <v>0</v>
      </c>
      <c r="G37" s="71">
        <f t="shared" si="14"/>
        <v>0</v>
      </c>
      <c r="H37" s="174">
        <f>H38</f>
        <v>0</v>
      </c>
      <c r="I37" s="174">
        <f>I38</f>
        <v>0</v>
      </c>
      <c r="J37" s="174">
        <f>J38</f>
        <v>0</v>
      </c>
      <c r="K37" s="174">
        <f t="shared" si="14"/>
        <v>0</v>
      </c>
      <c r="L37" s="174">
        <f t="shared" si="14"/>
        <v>0</v>
      </c>
      <c r="M37" s="174">
        <f t="shared" si="14"/>
        <v>0</v>
      </c>
      <c r="N37" s="174">
        <f t="shared" si="14"/>
        <v>0</v>
      </c>
      <c r="O37" s="174">
        <f t="shared" si="14"/>
        <v>0</v>
      </c>
      <c r="P37" s="174">
        <f t="shared" si="14"/>
        <v>0</v>
      </c>
      <c r="Q37" s="174">
        <f t="shared" si="14"/>
        <v>0</v>
      </c>
      <c r="R37" s="174">
        <f t="shared" si="14"/>
        <v>0</v>
      </c>
      <c r="S37" s="174">
        <f t="shared" si="14"/>
        <v>0</v>
      </c>
      <c r="T37" s="174">
        <f t="shared" si="14"/>
        <v>0</v>
      </c>
      <c r="U37" s="174">
        <f t="shared" si="14"/>
        <v>0</v>
      </c>
      <c r="V37" s="174">
        <f t="shared" si="14"/>
        <v>0</v>
      </c>
      <c r="W37" s="174">
        <f t="shared" si="14"/>
        <v>0</v>
      </c>
      <c r="X37" s="174">
        <f t="shared" si="14"/>
        <v>0</v>
      </c>
      <c r="Y37" s="174">
        <f t="shared" si="14"/>
        <v>0</v>
      </c>
      <c r="Z37" s="174">
        <f t="shared" si="14"/>
        <v>0</v>
      </c>
      <c r="AA37" s="174">
        <f t="shared" si="14"/>
        <v>0</v>
      </c>
      <c r="AB37" s="174">
        <f t="shared" si="14"/>
        <v>0</v>
      </c>
      <c r="AC37" s="174">
        <f t="shared" si="14"/>
        <v>0</v>
      </c>
      <c r="AD37" s="174">
        <f t="shared" si="14"/>
        <v>0</v>
      </c>
      <c r="AE37" s="186">
        <f t="shared" si="14"/>
        <v>0</v>
      </c>
      <c r="AF37" s="42"/>
      <c r="AH37" s="39"/>
    </row>
    <row r="38" spans="1:35" s="35" customFormat="1" ht="23.25" customHeight="1" x14ac:dyDescent="0.25">
      <c r="A38" s="77" t="s">
        <v>103</v>
      </c>
      <c r="B38" s="147">
        <f>H38+J38+L38+N38+P38+R38+T38+V38+X38+Z38+AB38+AD38</f>
        <v>0</v>
      </c>
      <c r="C38" s="148">
        <f>H38</f>
        <v>0</v>
      </c>
      <c r="D38" s="148">
        <f>H38+J38+L38+N38+P38+R38+T38+V38</f>
        <v>0</v>
      </c>
      <c r="E38" s="148">
        <f>I38+K38+M38+O38+Q38+S38+U38+W38+Y38+AA38+AC38+AE38</f>
        <v>0</v>
      </c>
      <c r="F38" s="80"/>
      <c r="G38" s="80"/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8">
        <v>0</v>
      </c>
      <c r="AE38" s="148">
        <v>0</v>
      </c>
      <c r="AF38" s="79"/>
      <c r="AH38" s="36"/>
    </row>
    <row r="39" spans="1:35" s="38" customFormat="1" ht="21.75" customHeight="1" x14ac:dyDescent="0.25">
      <c r="A39" s="139" t="s">
        <v>135</v>
      </c>
      <c r="B39" s="158">
        <f>B40+B41</f>
        <v>14955.698310000002</v>
      </c>
      <c r="C39" s="158">
        <f>C40+C41</f>
        <v>359.69162</v>
      </c>
      <c r="D39" s="158">
        <f>D40+D41</f>
        <v>359.69162</v>
      </c>
      <c r="E39" s="158">
        <f t="shared" ref="E39:AC39" si="15">E40+E41</f>
        <v>358.92627999999996</v>
      </c>
      <c r="F39" s="141">
        <f>E39/B39</f>
        <v>2.3999299301190567E-2</v>
      </c>
      <c r="G39" s="141">
        <f>E39/C39</f>
        <v>0.9978722328866042</v>
      </c>
      <c r="H39" s="158">
        <f>H40+H41</f>
        <v>0</v>
      </c>
      <c r="I39" s="158">
        <f t="shared" si="15"/>
        <v>0</v>
      </c>
      <c r="J39" s="158">
        <f>J40+J41</f>
        <v>359.69162</v>
      </c>
      <c r="K39" s="158">
        <f t="shared" si="15"/>
        <v>358.92627999999996</v>
      </c>
      <c r="L39" s="158">
        <f>L40+L41</f>
        <v>895.05519000000004</v>
      </c>
      <c r="M39" s="158">
        <f t="shared" si="15"/>
        <v>0</v>
      </c>
      <c r="N39" s="158">
        <f>N40+N41</f>
        <v>260.97399999999999</v>
      </c>
      <c r="O39" s="158">
        <f t="shared" si="15"/>
        <v>0</v>
      </c>
      <c r="P39" s="158">
        <f>P40+P41</f>
        <v>261.71899999999999</v>
      </c>
      <c r="Q39" s="158">
        <f t="shared" si="15"/>
        <v>0</v>
      </c>
      <c r="R39" s="158">
        <f>R40+R41</f>
        <v>4290.7164999999995</v>
      </c>
      <c r="S39" s="158">
        <f t="shared" si="15"/>
        <v>0</v>
      </c>
      <c r="T39" s="158">
        <f>T40+T41</f>
        <v>4053.433</v>
      </c>
      <c r="U39" s="158">
        <f t="shared" si="15"/>
        <v>0</v>
      </c>
      <c r="V39" s="158">
        <f>V40+V41</f>
        <v>4053.4310000000005</v>
      </c>
      <c r="W39" s="158">
        <f t="shared" si="15"/>
        <v>0</v>
      </c>
      <c r="X39" s="158">
        <f>X40+X41</f>
        <v>261.71799999999996</v>
      </c>
      <c r="Y39" s="158">
        <f t="shared" si="15"/>
        <v>0</v>
      </c>
      <c r="Z39" s="158">
        <f>Z40+Z41</f>
        <v>257.28399999999999</v>
      </c>
      <c r="AA39" s="158">
        <f t="shared" si="15"/>
        <v>0</v>
      </c>
      <c r="AB39" s="158">
        <f>AB40+AB41</f>
        <v>261.67599999999999</v>
      </c>
      <c r="AC39" s="158">
        <f t="shared" si="15"/>
        <v>0</v>
      </c>
      <c r="AD39" s="158">
        <f>AD40+AD41</f>
        <v>0</v>
      </c>
      <c r="AE39" s="158">
        <f>AE40+AE41</f>
        <v>0</v>
      </c>
      <c r="AF39" s="140"/>
      <c r="AG39" s="105"/>
      <c r="AH39" s="39"/>
    </row>
    <row r="40" spans="1:35" s="38" customFormat="1" ht="24" customHeight="1" x14ac:dyDescent="0.25">
      <c r="A40" s="73" t="s">
        <v>102</v>
      </c>
      <c r="B40" s="145">
        <f>B14+B27</f>
        <v>1821.7</v>
      </c>
      <c r="C40" s="145">
        <f t="shared" ref="C40:AE40" si="16">C14+C27</f>
        <v>0</v>
      </c>
      <c r="D40" s="145">
        <f>D14+D27</f>
        <v>0</v>
      </c>
      <c r="E40" s="145">
        <f t="shared" si="16"/>
        <v>0</v>
      </c>
      <c r="F40" s="132">
        <f>E40/B40</f>
        <v>0</v>
      </c>
      <c r="G40" s="132">
        <v>0</v>
      </c>
      <c r="H40" s="145">
        <f t="shared" si="16"/>
        <v>0</v>
      </c>
      <c r="I40" s="145">
        <f t="shared" si="16"/>
        <v>0</v>
      </c>
      <c r="J40" s="145">
        <f t="shared" si="16"/>
        <v>0</v>
      </c>
      <c r="K40" s="145">
        <f t="shared" si="16"/>
        <v>0</v>
      </c>
      <c r="L40" s="145">
        <f t="shared" si="16"/>
        <v>45.475000000000001</v>
      </c>
      <c r="M40" s="145">
        <f t="shared" si="16"/>
        <v>0</v>
      </c>
      <c r="N40" s="145">
        <f t="shared" si="16"/>
        <v>48.15</v>
      </c>
      <c r="O40" s="145">
        <f t="shared" si="16"/>
        <v>0</v>
      </c>
      <c r="P40" s="145">
        <f t="shared" si="16"/>
        <v>40.125</v>
      </c>
      <c r="Q40" s="145">
        <f t="shared" si="16"/>
        <v>0</v>
      </c>
      <c r="R40" s="145">
        <f t="shared" si="16"/>
        <v>0</v>
      </c>
      <c r="S40" s="145">
        <f t="shared" si="16"/>
        <v>0</v>
      </c>
      <c r="T40" s="145">
        <f t="shared" si="16"/>
        <v>561.79999999999995</v>
      </c>
      <c r="U40" s="145">
        <f t="shared" si="16"/>
        <v>0</v>
      </c>
      <c r="V40" s="145">
        <f t="shared" si="16"/>
        <v>1043.2</v>
      </c>
      <c r="W40" s="145">
        <f t="shared" si="16"/>
        <v>0</v>
      </c>
      <c r="X40" s="145">
        <f t="shared" si="16"/>
        <v>40.125</v>
      </c>
      <c r="Y40" s="145">
        <f t="shared" si="16"/>
        <v>0</v>
      </c>
      <c r="Z40" s="145">
        <f t="shared" si="16"/>
        <v>40.125</v>
      </c>
      <c r="AA40" s="145">
        <f t="shared" si="16"/>
        <v>0</v>
      </c>
      <c r="AB40" s="145">
        <f t="shared" si="16"/>
        <v>2.7</v>
      </c>
      <c r="AC40" s="145">
        <f t="shared" si="16"/>
        <v>0</v>
      </c>
      <c r="AD40" s="145">
        <f t="shared" si="16"/>
        <v>0</v>
      </c>
      <c r="AE40" s="145">
        <f t="shared" si="16"/>
        <v>0</v>
      </c>
      <c r="AF40" s="74"/>
      <c r="AG40" s="105"/>
      <c r="AH40" s="39"/>
    </row>
    <row r="41" spans="1:35" s="38" customFormat="1" ht="24" customHeight="1" x14ac:dyDescent="0.25">
      <c r="A41" s="77" t="s">
        <v>103</v>
      </c>
      <c r="B41" s="147">
        <f>B15+B28+B31+B38</f>
        <v>13133.998310000001</v>
      </c>
      <c r="C41" s="147">
        <f>C15+C28+C31+C38</f>
        <v>359.69162</v>
      </c>
      <c r="D41" s="147">
        <f t="shared" ref="D41:AE41" si="17">D15+D28+D31+D38</f>
        <v>359.69162</v>
      </c>
      <c r="E41" s="147">
        <f t="shared" si="17"/>
        <v>358.92627999999996</v>
      </c>
      <c r="F41" s="133">
        <f>E41/B41</f>
        <v>2.732802848974936E-2</v>
      </c>
      <c r="G41" s="133">
        <f>E41/C41</f>
        <v>0.9978722328866042</v>
      </c>
      <c r="H41" s="147">
        <f t="shared" si="17"/>
        <v>0</v>
      </c>
      <c r="I41" s="147">
        <f t="shared" si="17"/>
        <v>0</v>
      </c>
      <c r="J41" s="147">
        <f t="shared" si="17"/>
        <v>359.69162</v>
      </c>
      <c r="K41" s="147">
        <f t="shared" si="17"/>
        <v>358.92627999999996</v>
      </c>
      <c r="L41" s="147">
        <f t="shared" si="17"/>
        <v>849.58019000000002</v>
      </c>
      <c r="M41" s="147">
        <f t="shared" si="17"/>
        <v>0</v>
      </c>
      <c r="N41" s="147">
        <f t="shared" si="17"/>
        <v>212.82400000000001</v>
      </c>
      <c r="O41" s="147">
        <f t="shared" si="17"/>
        <v>0</v>
      </c>
      <c r="P41" s="147">
        <f t="shared" si="17"/>
        <v>221.59399999999999</v>
      </c>
      <c r="Q41" s="147">
        <f t="shared" si="17"/>
        <v>0</v>
      </c>
      <c r="R41" s="147">
        <f t="shared" si="17"/>
        <v>4290.7164999999995</v>
      </c>
      <c r="S41" s="147">
        <f t="shared" si="17"/>
        <v>0</v>
      </c>
      <c r="T41" s="147">
        <f t="shared" si="17"/>
        <v>3491.6330000000003</v>
      </c>
      <c r="U41" s="147">
        <f t="shared" si="17"/>
        <v>0</v>
      </c>
      <c r="V41" s="147">
        <f t="shared" si="17"/>
        <v>3010.2310000000002</v>
      </c>
      <c r="W41" s="147">
        <f t="shared" si="17"/>
        <v>0</v>
      </c>
      <c r="X41" s="147">
        <f t="shared" si="17"/>
        <v>221.59299999999999</v>
      </c>
      <c r="Y41" s="147">
        <f t="shared" si="17"/>
        <v>0</v>
      </c>
      <c r="Z41" s="147">
        <f t="shared" si="17"/>
        <v>217.15899999999999</v>
      </c>
      <c r="AA41" s="147">
        <f t="shared" si="17"/>
        <v>0</v>
      </c>
      <c r="AB41" s="147">
        <f t="shared" si="17"/>
        <v>258.976</v>
      </c>
      <c r="AC41" s="147">
        <f t="shared" si="17"/>
        <v>0</v>
      </c>
      <c r="AD41" s="147">
        <f t="shared" si="17"/>
        <v>0</v>
      </c>
      <c r="AE41" s="147">
        <f t="shared" si="17"/>
        <v>0</v>
      </c>
      <c r="AF41" s="78"/>
      <c r="AG41" s="105"/>
      <c r="AH41" s="39"/>
    </row>
    <row r="42" spans="1:35" s="38" customFormat="1" ht="90.75" customHeight="1" x14ac:dyDescent="0.25">
      <c r="A42" s="118" t="s">
        <v>133</v>
      </c>
      <c r="B42" s="149"/>
      <c r="C42" s="150"/>
      <c r="D42" s="150"/>
      <c r="E42" s="151"/>
      <c r="F42" s="119"/>
      <c r="G42" s="119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72"/>
      <c r="AE42" s="173"/>
      <c r="AF42" s="120"/>
      <c r="AH42" s="39"/>
    </row>
    <row r="43" spans="1:35" s="38" customFormat="1" ht="26.25" customHeight="1" x14ac:dyDescent="0.25">
      <c r="A43" s="96" t="s">
        <v>134</v>
      </c>
      <c r="B43" s="159"/>
      <c r="C43" s="160"/>
      <c r="D43" s="160"/>
      <c r="E43" s="160"/>
      <c r="F43" s="97"/>
      <c r="G43" s="97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87"/>
      <c r="AF43" s="224"/>
      <c r="AH43" s="39"/>
    </row>
    <row r="44" spans="1:35" s="38" customFormat="1" ht="39" customHeight="1" x14ac:dyDescent="0.25">
      <c r="A44" s="98" t="s">
        <v>126</v>
      </c>
      <c r="B44" s="153"/>
      <c r="C44" s="153"/>
      <c r="D44" s="153"/>
      <c r="E44" s="153"/>
      <c r="F44" s="93"/>
      <c r="G44" s="9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225"/>
      <c r="AH44" s="39"/>
    </row>
    <row r="45" spans="1:35" s="38" customFormat="1" ht="15.75" customHeight="1" x14ac:dyDescent="0.25">
      <c r="A45" s="99" t="s">
        <v>127</v>
      </c>
      <c r="B45" s="161">
        <f>B47+B46</f>
        <v>3550.5580000000004</v>
      </c>
      <c r="C45" s="161">
        <f>C47+C46</f>
        <v>0</v>
      </c>
      <c r="D45" s="161">
        <f>D47+D46</f>
        <v>0</v>
      </c>
      <c r="E45" s="161">
        <f>E47+E46</f>
        <v>0</v>
      </c>
      <c r="F45" s="100">
        <f>E45/B45</f>
        <v>0</v>
      </c>
      <c r="G45" s="100">
        <v>0</v>
      </c>
      <c r="H45" s="168">
        <f>H47+H46</f>
        <v>0</v>
      </c>
      <c r="I45" s="168">
        <f>I47+I46</f>
        <v>0</v>
      </c>
      <c r="J45" s="168">
        <f t="shared" ref="J45:AD45" si="18">J47+J46</f>
        <v>0</v>
      </c>
      <c r="K45" s="168">
        <f t="shared" si="18"/>
        <v>0</v>
      </c>
      <c r="L45" s="168">
        <f t="shared" si="18"/>
        <v>0</v>
      </c>
      <c r="M45" s="168">
        <f t="shared" si="18"/>
        <v>0</v>
      </c>
      <c r="N45" s="168">
        <f t="shared" si="18"/>
        <v>77.293999999999997</v>
      </c>
      <c r="O45" s="168">
        <f t="shared" si="18"/>
        <v>0</v>
      </c>
      <c r="P45" s="168">
        <f>P47+P46</f>
        <v>348.49199999999996</v>
      </c>
      <c r="Q45" s="168">
        <f t="shared" si="18"/>
        <v>0</v>
      </c>
      <c r="R45" s="168">
        <f>R47+R46</f>
        <v>442.19200000000001</v>
      </c>
      <c r="S45" s="168">
        <f>S47+S46</f>
        <v>0</v>
      </c>
      <c r="T45" s="168">
        <f t="shared" si="18"/>
        <v>751.14400000000001</v>
      </c>
      <c r="U45" s="168">
        <f t="shared" si="18"/>
        <v>0</v>
      </c>
      <c r="V45" s="168">
        <f t="shared" si="18"/>
        <v>694.08800000000008</v>
      </c>
      <c r="W45" s="168">
        <f t="shared" si="18"/>
        <v>0</v>
      </c>
      <c r="X45" s="168">
        <f t="shared" si="18"/>
        <v>665.02800000000002</v>
      </c>
      <c r="Y45" s="168">
        <f t="shared" si="18"/>
        <v>0</v>
      </c>
      <c r="Z45" s="168">
        <f t="shared" si="18"/>
        <v>464.03699999999998</v>
      </c>
      <c r="AA45" s="168">
        <f t="shared" si="18"/>
        <v>0</v>
      </c>
      <c r="AB45" s="168">
        <f t="shared" si="18"/>
        <v>108.283</v>
      </c>
      <c r="AC45" s="168">
        <f t="shared" si="18"/>
        <v>0</v>
      </c>
      <c r="AD45" s="168">
        <f t="shared" si="18"/>
        <v>0</v>
      </c>
      <c r="AE45" s="168">
        <f>AE47+AE46</f>
        <v>0</v>
      </c>
      <c r="AF45" s="225"/>
      <c r="AH45" s="39"/>
    </row>
    <row r="46" spans="1:35" s="38" customFormat="1" ht="21.75" customHeight="1" x14ac:dyDescent="0.25">
      <c r="A46" s="101" t="s">
        <v>102</v>
      </c>
      <c r="B46" s="162">
        <f>H46+J46+L46+N46+P46+R46+T46+V46+X46+Z46+AB46+AD46</f>
        <v>859.90000000000009</v>
      </c>
      <c r="C46" s="163">
        <f>H46+J46</f>
        <v>0</v>
      </c>
      <c r="D46" s="163"/>
      <c r="E46" s="163">
        <f>I46+K46+M46+O46+Q46+S46+U46+W46+Y46+AA46+AC46+AE46</f>
        <v>0</v>
      </c>
      <c r="F46" s="82">
        <f>E46/B46</f>
        <v>0</v>
      </c>
      <c r="G46" s="82">
        <v>0</v>
      </c>
      <c r="H46" s="117"/>
      <c r="I46" s="117"/>
      <c r="J46" s="117"/>
      <c r="K46" s="117"/>
      <c r="L46" s="117"/>
      <c r="M46" s="117"/>
      <c r="N46" s="117"/>
      <c r="O46" s="117"/>
      <c r="P46" s="117">
        <f>84340/1000</f>
        <v>84.34</v>
      </c>
      <c r="Q46" s="117"/>
      <c r="R46" s="117">
        <f>84300/1000</f>
        <v>84.3</v>
      </c>
      <c r="S46" s="117"/>
      <c r="T46" s="117">
        <f>185460/1000</f>
        <v>185.46</v>
      </c>
      <c r="U46" s="117"/>
      <c r="V46" s="117">
        <f>168600/1000</f>
        <v>168.6</v>
      </c>
      <c r="W46" s="117"/>
      <c r="X46" s="117">
        <f>168600/1000</f>
        <v>168.6</v>
      </c>
      <c r="Y46" s="117"/>
      <c r="Z46" s="117">
        <f>134880/1000</f>
        <v>134.88</v>
      </c>
      <c r="AA46" s="117"/>
      <c r="AB46" s="117">
        <f>33720/1000</f>
        <v>33.72</v>
      </c>
      <c r="AC46" s="117"/>
      <c r="AD46" s="117"/>
      <c r="AE46" s="117"/>
      <c r="AF46" s="225"/>
      <c r="AH46" s="39"/>
    </row>
    <row r="47" spans="1:35" s="38" customFormat="1" ht="22.5" customHeight="1" x14ac:dyDescent="0.25">
      <c r="A47" s="101" t="s">
        <v>103</v>
      </c>
      <c r="B47" s="162">
        <f>H47+J47+L47+N47+P47+R47+T47+V47+X47+Z47+AB47+AD47</f>
        <v>2690.6580000000004</v>
      </c>
      <c r="C47" s="163">
        <f>H47+J47</f>
        <v>0</v>
      </c>
      <c r="D47" s="163">
        <f>C47</f>
        <v>0</v>
      </c>
      <c r="E47" s="163">
        <f>I47+K47+M47+O47+Q47+S47+U47+W47+Y47+AA47+AC47+AE47</f>
        <v>0</v>
      </c>
      <c r="F47" s="82">
        <f>E47/B47</f>
        <v>0</v>
      </c>
      <c r="G47" s="82">
        <v>0</v>
      </c>
      <c r="H47" s="117"/>
      <c r="I47" s="117"/>
      <c r="J47" s="117"/>
      <c r="K47" s="117"/>
      <c r="L47" s="117"/>
      <c r="M47" s="117"/>
      <c r="N47" s="117">
        <f>77294/1000</f>
        <v>77.293999999999997</v>
      </c>
      <c r="O47" s="117"/>
      <c r="P47" s="117">
        <f>264152/1000</f>
        <v>264.15199999999999</v>
      </c>
      <c r="Q47" s="117"/>
      <c r="R47" s="117">
        <f>357892/1000</f>
        <v>357.892</v>
      </c>
      <c r="S47" s="117"/>
      <c r="T47" s="117">
        <f>565684/1000</f>
        <v>565.68399999999997</v>
      </c>
      <c r="U47" s="117"/>
      <c r="V47" s="117">
        <f>525488/1000</f>
        <v>525.48800000000006</v>
      </c>
      <c r="W47" s="117"/>
      <c r="X47" s="117">
        <f>496428/1000</f>
        <v>496.428</v>
      </c>
      <c r="Y47" s="117"/>
      <c r="Z47" s="117">
        <f>329157/1000</f>
        <v>329.15699999999998</v>
      </c>
      <c r="AA47" s="117"/>
      <c r="AB47" s="117">
        <f>74563/1000</f>
        <v>74.563000000000002</v>
      </c>
      <c r="AC47" s="117"/>
      <c r="AD47" s="117"/>
      <c r="AE47" s="117"/>
      <c r="AF47" s="225"/>
      <c r="AH47" s="39"/>
    </row>
    <row r="48" spans="1:35" s="38" customFormat="1" ht="102.75" customHeight="1" x14ac:dyDescent="0.25">
      <c r="A48" s="98" t="s">
        <v>128</v>
      </c>
      <c r="B48" s="153"/>
      <c r="C48" s="153"/>
      <c r="D48" s="153"/>
      <c r="E48" s="153"/>
      <c r="F48" s="93"/>
      <c r="G48" s="9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225"/>
      <c r="AH48" s="103"/>
      <c r="AI48" s="104"/>
    </row>
    <row r="49" spans="1:35" s="38" customFormat="1" ht="22.5" customHeight="1" x14ac:dyDescent="0.25">
      <c r="A49" s="101" t="s">
        <v>103</v>
      </c>
      <c r="B49" s="162">
        <f>H49+J49+L49+N49+P49+R49+T49+V49+X49+Z49+AB49+AD49</f>
        <v>236.642</v>
      </c>
      <c r="C49" s="163">
        <f>H49+J49</f>
        <v>0</v>
      </c>
      <c r="D49" s="164"/>
      <c r="E49" s="163">
        <f>I49+K49+M49+O49+Q49+S49+U49+W49+Y49+AA49+AC49+AE49</f>
        <v>0</v>
      </c>
      <c r="F49" s="82">
        <f>E49/B49</f>
        <v>0</v>
      </c>
      <c r="G49" s="82">
        <v>0</v>
      </c>
      <c r="H49" s="117"/>
      <c r="I49" s="117"/>
      <c r="J49" s="117"/>
      <c r="K49" s="117"/>
      <c r="L49" s="117">
        <f>58142/1000</f>
        <v>58.142000000000003</v>
      </c>
      <c r="M49" s="117"/>
      <c r="N49" s="117">
        <f>17500/1000</f>
        <v>17.5</v>
      </c>
      <c r="O49" s="117"/>
      <c r="P49" s="117">
        <f>17500/1000</f>
        <v>17.5</v>
      </c>
      <c r="Q49" s="117"/>
      <c r="R49" s="117">
        <f>38500/1000</f>
        <v>38.5</v>
      </c>
      <c r="S49" s="117"/>
      <c r="T49" s="117">
        <f>35000/1000</f>
        <v>35</v>
      </c>
      <c r="U49" s="117"/>
      <c r="V49" s="117">
        <f>35000/1000</f>
        <v>35</v>
      </c>
      <c r="W49" s="117"/>
      <c r="X49" s="117">
        <f>28000/1000</f>
        <v>28</v>
      </c>
      <c r="Y49" s="117"/>
      <c r="Z49" s="117">
        <f>7000/1000</f>
        <v>7</v>
      </c>
      <c r="AA49" s="117"/>
      <c r="AB49" s="117"/>
      <c r="AC49" s="117"/>
      <c r="AD49" s="117"/>
      <c r="AE49" s="117"/>
      <c r="AF49" s="225"/>
      <c r="AH49" s="103"/>
      <c r="AI49" s="104"/>
    </row>
    <row r="50" spans="1:35" s="38" customFormat="1" ht="22.5" customHeight="1" x14ac:dyDescent="0.25">
      <c r="A50" s="126" t="s">
        <v>130</v>
      </c>
      <c r="B50" s="161">
        <f>B52+B51</f>
        <v>3787.2000000000003</v>
      </c>
      <c r="C50" s="161">
        <f>C52+C51</f>
        <v>0</v>
      </c>
      <c r="D50" s="161">
        <f>D52+D51</f>
        <v>0</v>
      </c>
      <c r="E50" s="161">
        <f>E52+E51</f>
        <v>0</v>
      </c>
      <c r="F50" s="100">
        <f>E50/B50</f>
        <v>0</v>
      </c>
      <c r="G50" s="100">
        <v>0</v>
      </c>
      <c r="H50" s="168">
        <f>H52+H51</f>
        <v>0</v>
      </c>
      <c r="I50" s="168">
        <f>I52+I51</f>
        <v>0</v>
      </c>
      <c r="J50" s="168">
        <f t="shared" ref="J50:AB50" si="19">J52+J51</f>
        <v>0</v>
      </c>
      <c r="K50" s="168">
        <f t="shared" si="19"/>
        <v>0</v>
      </c>
      <c r="L50" s="168">
        <f>L52+L51</f>
        <v>58.142000000000003</v>
      </c>
      <c r="M50" s="168">
        <f>M52+M51</f>
        <v>0</v>
      </c>
      <c r="N50" s="168">
        <f>N52+N51</f>
        <v>94.793999999999997</v>
      </c>
      <c r="O50" s="168">
        <f>O52+O51</f>
        <v>0</v>
      </c>
      <c r="P50" s="168">
        <f>P52+P51</f>
        <v>365.99199999999996</v>
      </c>
      <c r="Q50" s="168">
        <f t="shared" si="19"/>
        <v>0</v>
      </c>
      <c r="R50" s="168">
        <f t="shared" si="19"/>
        <v>480.69200000000001</v>
      </c>
      <c r="S50" s="168">
        <f t="shared" si="19"/>
        <v>0</v>
      </c>
      <c r="T50" s="168">
        <f t="shared" si="19"/>
        <v>786.14400000000001</v>
      </c>
      <c r="U50" s="168">
        <f t="shared" si="19"/>
        <v>0</v>
      </c>
      <c r="V50" s="168">
        <f t="shared" si="19"/>
        <v>729.08800000000008</v>
      </c>
      <c r="W50" s="168">
        <f t="shared" si="19"/>
        <v>0</v>
      </c>
      <c r="X50" s="168">
        <f t="shared" si="19"/>
        <v>693.02800000000002</v>
      </c>
      <c r="Y50" s="168">
        <f t="shared" si="19"/>
        <v>0</v>
      </c>
      <c r="Z50" s="168">
        <f t="shared" si="19"/>
        <v>471.03699999999998</v>
      </c>
      <c r="AA50" s="168">
        <f>AA52+AA51</f>
        <v>0</v>
      </c>
      <c r="AB50" s="168">
        <f t="shared" si="19"/>
        <v>108.283</v>
      </c>
      <c r="AC50" s="168">
        <f>AC52+AC51</f>
        <v>0</v>
      </c>
      <c r="AD50" s="168">
        <f>AD52+AD51</f>
        <v>0</v>
      </c>
      <c r="AE50" s="168">
        <f>AE52+AE51</f>
        <v>0</v>
      </c>
      <c r="AF50" s="225"/>
      <c r="AG50" s="105"/>
      <c r="AH50" s="39"/>
    </row>
    <row r="51" spans="1:35" s="38" customFormat="1" ht="22.5" customHeight="1" x14ac:dyDescent="0.25">
      <c r="A51" s="101" t="s">
        <v>102</v>
      </c>
      <c r="B51" s="162">
        <f>H51+J51+L51+N51+P51+R51+T51+V51+X51+Z51+AB51+AD51</f>
        <v>859.90000000000009</v>
      </c>
      <c r="C51" s="163">
        <f>C46</f>
        <v>0</v>
      </c>
      <c r="D51" s="163">
        <f>D46</f>
        <v>0</v>
      </c>
      <c r="E51" s="163">
        <f>E46</f>
        <v>0</v>
      </c>
      <c r="F51" s="82">
        <f>E51/B51</f>
        <v>0</v>
      </c>
      <c r="G51" s="82">
        <v>0</v>
      </c>
      <c r="H51" s="115">
        <f>H46</f>
        <v>0</v>
      </c>
      <c r="I51" s="115">
        <f t="shared" ref="I51:AE51" si="20">I46</f>
        <v>0</v>
      </c>
      <c r="J51" s="115">
        <f t="shared" si="20"/>
        <v>0</v>
      </c>
      <c r="K51" s="115">
        <f t="shared" si="20"/>
        <v>0</v>
      </c>
      <c r="L51" s="115">
        <f t="shared" si="20"/>
        <v>0</v>
      </c>
      <c r="M51" s="115">
        <f t="shared" si="20"/>
        <v>0</v>
      </c>
      <c r="N51" s="115">
        <f t="shared" si="20"/>
        <v>0</v>
      </c>
      <c r="O51" s="115">
        <f t="shared" si="20"/>
        <v>0</v>
      </c>
      <c r="P51" s="115">
        <f t="shared" si="20"/>
        <v>84.34</v>
      </c>
      <c r="Q51" s="115">
        <f t="shared" si="20"/>
        <v>0</v>
      </c>
      <c r="R51" s="115">
        <f t="shared" si="20"/>
        <v>84.3</v>
      </c>
      <c r="S51" s="115">
        <f t="shared" si="20"/>
        <v>0</v>
      </c>
      <c r="T51" s="115">
        <f t="shared" si="20"/>
        <v>185.46</v>
      </c>
      <c r="U51" s="115">
        <f t="shared" si="20"/>
        <v>0</v>
      </c>
      <c r="V51" s="115">
        <f t="shared" si="20"/>
        <v>168.6</v>
      </c>
      <c r="W51" s="115">
        <f t="shared" si="20"/>
        <v>0</v>
      </c>
      <c r="X51" s="115">
        <f t="shared" si="20"/>
        <v>168.6</v>
      </c>
      <c r="Y51" s="115">
        <f t="shared" si="20"/>
        <v>0</v>
      </c>
      <c r="Z51" s="115">
        <f t="shared" si="20"/>
        <v>134.88</v>
      </c>
      <c r="AA51" s="115">
        <f t="shared" si="20"/>
        <v>0</v>
      </c>
      <c r="AB51" s="115">
        <f t="shared" si="20"/>
        <v>33.72</v>
      </c>
      <c r="AC51" s="115">
        <f t="shared" si="20"/>
        <v>0</v>
      </c>
      <c r="AD51" s="115">
        <f t="shared" si="20"/>
        <v>0</v>
      </c>
      <c r="AE51" s="115">
        <f t="shared" si="20"/>
        <v>0</v>
      </c>
      <c r="AF51" s="225"/>
      <c r="AG51" s="106"/>
      <c r="AH51" s="39"/>
    </row>
    <row r="52" spans="1:35" s="38" customFormat="1" ht="22.5" customHeight="1" x14ac:dyDescent="0.25">
      <c r="A52" s="101" t="s">
        <v>103</v>
      </c>
      <c r="B52" s="162">
        <f>B47+B49</f>
        <v>2927.3</v>
      </c>
      <c r="C52" s="163">
        <f>C47+C49</f>
        <v>0</v>
      </c>
      <c r="D52" s="163">
        <f>C52</f>
        <v>0</v>
      </c>
      <c r="E52" s="163">
        <f>E47+E49</f>
        <v>0</v>
      </c>
      <c r="F52" s="82">
        <f>E52/B52</f>
        <v>0</v>
      </c>
      <c r="G52" s="82">
        <v>0</v>
      </c>
      <c r="H52" s="115">
        <f>H47+H49</f>
        <v>0</v>
      </c>
      <c r="I52" s="115">
        <f t="shared" ref="I52:AE52" si="21">I47+I49</f>
        <v>0</v>
      </c>
      <c r="J52" s="115">
        <f t="shared" si="21"/>
        <v>0</v>
      </c>
      <c r="K52" s="115">
        <f t="shared" si="21"/>
        <v>0</v>
      </c>
      <c r="L52" s="115">
        <f t="shared" si="21"/>
        <v>58.142000000000003</v>
      </c>
      <c r="M52" s="115">
        <f t="shared" si="21"/>
        <v>0</v>
      </c>
      <c r="N52" s="115">
        <f t="shared" si="21"/>
        <v>94.793999999999997</v>
      </c>
      <c r="O52" s="115">
        <f t="shared" si="21"/>
        <v>0</v>
      </c>
      <c r="P52" s="115">
        <f t="shared" si="21"/>
        <v>281.65199999999999</v>
      </c>
      <c r="Q52" s="115">
        <f t="shared" si="21"/>
        <v>0</v>
      </c>
      <c r="R52" s="115">
        <f t="shared" si="21"/>
        <v>396.392</v>
      </c>
      <c r="S52" s="115">
        <f t="shared" si="21"/>
        <v>0</v>
      </c>
      <c r="T52" s="115">
        <f t="shared" si="21"/>
        <v>600.68399999999997</v>
      </c>
      <c r="U52" s="115">
        <f t="shared" si="21"/>
        <v>0</v>
      </c>
      <c r="V52" s="115">
        <f t="shared" si="21"/>
        <v>560.48800000000006</v>
      </c>
      <c r="W52" s="115">
        <f t="shared" si="21"/>
        <v>0</v>
      </c>
      <c r="X52" s="115">
        <f t="shared" si="21"/>
        <v>524.428</v>
      </c>
      <c r="Y52" s="115">
        <f t="shared" si="21"/>
        <v>0</v>
      </c>
      <c r="Z52" s="115">
        <f t="shared" si="21"/>
        <v>336.15699999999998</v>
      </c>
      <c r="AA52" s="115">
        <f t="shared" si="21"/>
        <v>0</v>
      </c>
      <c r="AB52" s="115">
        <f t="shared" si="21"/>
        <v>74.563000000000002</v>
      </c>
      <c r="AC52" s="115">
        <f t="shared" si="21"/>
        <v>0</v>
      </c>
      <c r="AD52" s="115">
        <f t="shared" si="21"/>
        <v>0</v>
      </c>
      <c r="AE52" s="115">
        <f t="shared" si="21"/>
        <v>0</v>
      </c>
      <c r="AF52" s="226"/>
      <c r="AG52" s="106"/>
      <c r="AH52" s="39"/>
    </row>
    <row r="53" spans="1:35" s="38" customFormat="1" ht="22.5" customHeight="1" x14ac:dyDescent="0.25">
      <c r="A53" s="107" t="s">
        <v>132</v>
      </c>
      <c r="B53" s="165"/>
      <c r="C53" s="165"/>
      <c r="D53" s="165"/>
      <c r="E53" s="165"/>
      <c r="F53" s="102"/>
      <c r="G53" s="102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227" t="s">
        <v>144</v>
      </c>
      <c r="AH53" s="39"/>
    </row>
    <row r="54" spans="1:35" s="38" customFormat="1" ht="39" customHeight="1" x14ac:dyDescent="0.25">
      <c r="A54" s="98" t="s">
        <v>126</v>
      </c>
      <c r="B54" s="153"/>
      <c r="C54" s="153"/>
      <c r="D54" s="153"/>
      <c r="E54" s="153"/>
      <c r="F54" s="93"/>
      <c r="G54" s="9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228"/>
      <c r="AH54" s="39"/>
    </row>
    <row r="55" spans="1:35" s="38" customFormat="1" ht="15.75" customHeight="1" x14ac:dyDescent="0.25">
      <c r="A55" s="99" t="s">
        <v>127</v>
      </c>
      <c r="B55" s="161">
        <f>B57+B56</f>
        <v>2793.8998999999999</v>
      </c>
      <c r="C55" s="161">
        <f>C57+C56</f>
        <v>445.95148999999998</v>
      </c>
      <c r="D55" s="161">
        <f>D57+D56</f>
        <v>386.94153</v>
      </c>
      <c r="E55" s="161">
        <f>E57+E56</f>
        <v>0</v>
      </c>
      <c r="F55" s="100">
        <f>E55/B55</f>
        <v>0</v>
      </c>
      <c r="G55" s="100">
        <f>E55/C55</f>
        <v>0</v>
      </c>
      <c r="H55" s="168">
        <f>H57+H56</f>
        <v>86.868220000000008</v>
      </c>
      <c r="I55" s="168">
        <f>I57+I56</f>
        <v>0</v>
      </c>
      <c r="J55" s="168">
        <f>J57+J56</f>
        <v>359.08326999999997</v>
      </c>
      <c r="K55" s="168">
        <f t="shared" ref="K55:M55" si="22">K57+K56</f>
        <v>0</v>
      </c>
      <c r="L55" s="168">
        <f t="shared" si="22"/>
        <v>171.75943999999998</v>
      </c>
      <c r="M55" s="168">
        <f t="shared" si="22"/>
        <v>0</v>
      </c>
      <c r="N55" s="168">
        <f>N57+N56</f>
        <v>317.66441999999995</v>
      </c>
      <c r="O55" s="168">
        <f>O57+O56</f>
        <v>0</v>
      </c>
      <c r="P55" s="168">
        <f>P57+P56</f>
        <v>170.22825</v>
      </c>
      <c r="Q55" s="168">
        <f t="shared" ref="Q55:AB55" si="23">Q57+Q56</f>
        <v>0</v>
      </c>
      <c r="R55" s="168">
        <f t="shared" si="23"/>
        <v>319.36766</v>
      </c>
      <c r="S55" s="168">
        <f t="shared" si="23"/>
        <v>0</v>
      </c>
      <c r="T55" s="168">
        <f t="shared" si="23"/>
        <v>135.53776999999999</v>
      </c>
      <c r="U55" s="168">
        <f t="shared" si="23"/>
        <v>0</v>
      </c>
      <c r="V55" s="168">
        <f t="shared" si="23"/>
        <v>225.82169999999999</v>
      </c>
      <c r="W55" s="168">
        <f t="shared" si="23"/>
        <v>0</v>
      </c>
      <c r="X55" s="168">
        <f t="shared" si="23"/>
        <v>156.46987000000001</v>
      </c>
      <c r="Y55" s="168">
        <f t="shared" si="23"/>
        <v>0</v>
      </c>
      <c r="Z55" s="168">
        <f t="shared" si="23"/>
        <v>317.14032999999995</v>
      </c>
      <c r="AA55" s="168">
        <f t="shared" si="23"/>
        <v>0</v>
      </c>
      <c r="AB55" s="168">
        <f t="shared" si="23"/>
        <v>170.06996999999998</v>
      </c>
      <c r="AC55" s="168">
        <f>AC57+AC56</f>
        <v>0</v>
      </c>
      <c r="AD55" s="168">
        <f>AD57+AD56</f>
        <v>363.88900000000001</v>
      </c>
      <c r="AE55" s="168">
        <f>AE57+AE56</f>
        <v>0</v>
      </c>
      <c r="AF55" s="228"/>
      <c r="AH55" s="39"/>
    </row>
    <row r="56" spans="1:35" s="38" customFormat="1" ht="21.75" customHeight="1" x14ac:dyDescent="0.25">
      <c r="A56" s="101" t="s">
        <v>102</v>
      </c>
      <c r="B56" s="162">
        <f>H56+J56+L56+N56+P56+R56+T56+V56+X56+Z56+AB56+AD56</f>
        <v>674.4</v>
      </c>
      <c r="C56" s="163">
        <f>H56+J56</f>
        <v>59.00996</v>
      </c>
      <c r="D56" s="163"/>
      <c r="E56" s="163">
        <f>I56+K56+M56+O56+Q56+S56+U56+W56+Y56+AA56+AC56+AE56</f>
        <v>0</v>
      </c>
      <c r="F56" s="82">
        <f>E56/B56</f>
        <v>0</v>
      </c>
      <c r="G56" s="82">
        <f>E56/C56</f>
        <v>0</v>
      </c>
      <c r="H56" s="117"/>
      <c r="I56" s="117"/>
      <c r="J56" s="117">
        <f>59009.96/1000</f>
        <v>59.00996</v>
      </c>
      <c r="K56" s="117"/>
      <c r="L56" s="117">
        <f>59009.96/1000</f>
        <v>59.00996</v>
      </c>
      <c r="M56" s="117"/>
      <c r="N56" s="117">
        <f>59009.96/1000</f>
        <v>59.00996</v>
      </c>
      <c r="O56" s="117"/>
      <c r="P56" s="117">
        <f>59009.96/1000</f>
        <v>59.00996</v>
      </c>
      <c r="Q56" s="117"/>
      <c r="R56" s="117">
        <f>59009.96/1000</f>
        <v>59.00996</v>
      </c>
      <c r="S56" s="117"/>
      <c r="T56" s="117">
        <f>42149.97/1000</f>
        <v>42.149970000000003</v>
      </c>
      <c r="U56" s="117"/>
      <c r="V56" s="117">
        <f>42149.97/1000</f>
        <v>42.149970000000003</v>
      </c>
      <c r="W56" s="117"/>
      <c r="X56" s="117">
        <f>59009.96/1000</f>
        <v>59.00996</v>
      </c>
      <c r="Y56" s="117"/>
      <c r="Z56" s="117">
        <f>59009.96/1000</f>
        <v>59.00996</v>
      </c>
      <c r="AA56" s="117"/>
      <c r="AB56" s="117">
        <f>59009.96/1000</f>
        <v>59.00996</v>
      </c>
      <c r="AC56" s="117"/>
      <c r="AD56" s="117">
        <f>118020.38/1000</f>
        <v>118.02038</v>
      </c>
      <c r="AE56" s="117"/>
      <c r="AF56" s="228"/>
      <c r="AH56" s="39"/>
    </row>
    <row r="57" spans="1:35" s="38" customFormat="1" ht="22.5" customHeight="1" x14ac:dyDescent="0.25">
      <c r="A57" s="101" t="s">
        <v>103</v>
      </c>
      <c r="B57" s="162">
        <f>H57+J57+L57+N57+P57+R57+T57+V57+X57+Z57+AB57+AD57</f>
        <v>2119.4998999999998</v>
      </c>
      <c r="C57" s="163">
        <f>H57+J57</f>
        <v>386.94153</v>
      </c>
      <c r="D57" s="163">
        <f>C57</f>
        <v>386.94153</v>
      </c>
      <c r="E57" s="163">
        <f>I57+K57+M57+O57+Q57+S57+U57+W57+Y57+AA57+AC57+AE57</f>
        <v>0</v>
      </c>
      <c r="F57" s="82">
        <f>E57/B57</f>
        <v>0</v>
      </c>
      <c r="G57" s="82">
        <f>E57/C57</f>
        <v>0</v>
      </c>
      <c r="H57" s="117">
        <f>86868.22/1000</f>
        <v>86.868220000000008</v>
      </c>
      <c r="I57" s="117"/>
      <c r="J57" s="117">
        <f>300073.31/1000</f>
        <v>300.07330999999999</v>
      </c>
      <c r="K57" s="117"/>
      <c r="L57" s="117">
        <f>112749.48/1000</f>
        <v>112.74947999999999</v>
      </c>
      <c r="M57" s="117"/>
      <c r="N57" s="117">
        <f>258654.46/1000</f>
        <v>258.65445999999997</v>
      </c>
      <c r="O57" s="117"/>
      <c r="P57" s="117">
        <f>111218.29/1000</f>
        <v>111.21829</v>
      </c>
      <c r="Q57" s="117"/>
      <c r="R57" s="117">
        <f>260357.7/1000</f>
        <v>260.35770000000002</v>
      </c>
      <c r="S57" s="117"/>
      <c r="T57" s="117">
        <f>93387.8/1000</f>
        <v>93.387799999999999</v>
      </c>
      <c r="U57" s="117"/>
      <c r="V57" s="117">
        <f>183671.73/1000</f>
        <v>183.67173</v>
      </c>
      <c r="W57" s="117"/>
      <c r="X57" s="117">
        <f>97459.91/1000</f>
        <v>97.459910000000008</v>
      </c>
      <c r="Y57" s="117"/>
      <c r="Z57" s="117">
        <f>258130.37/1000</f>
        <v>258.13036999999997</v>
      </c>
      <c r="AA57" s="117"/>
      <c r="AB57" s="117">
        <f>111060.01/1000</f>
        <v>111.06000999999999</v>
      </c>
      <c r="AC57" s="117"/>
      <c r="AD57" s="117">
        <f>245868.62/1000</f>
        <v>245.86861999999999</v>
      </c>
      <c r="AE57" s="117"/>
      <c r="AF57" s="228"/>
      <c r="AH57" s="39"/>
    </row>
    <row r="58" spans="1:35" s="38" customFormat="1" ht="102.75" customHeight="1" x14ac:dyDescent="0.25">
      <c r="A58" s="98" t="s">
        <v>128</v>
      </c>
      <c r="B58" s="153"/>
      <c r="C58" s="153"/>
      <c r="D58" s="153"/>
      <c r="E58" s="153"/>
      <c r="F58" s="93"/>
      <c r="G58" s="9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228"/>
      <c r="AH58" s="103"/>
      <c r="AI58" s="104"/>
    </row>
    <row r="59" spans="1:35" s="38" customFormat="1" ht="22.5" customHeight="1" x14ac:dyDescent="0.25">
      <c r="A59" s="101" t="s">
        <v>103</v>
      </c>
      <c r="B59" s="162">
        <f>H59+J59+L59+N59+P59+R59+T59+V59+X59+Z59+AB59+AD59</f>
        <v>155.69999999999999</v>
      </c>
      <c r="C59" s="163">
        <f>H59+J59</f>
        <v>36.9</v>
      </c>
      <c r="D59" s="164">
        <f>C59</f>
        <v>36.9</v>
      </c>
      <c r="E59" s="163">
        <f>I59+K59+M59+O59+Q59+S59+U59+W59+Y59+AA59+AC59+AE59</f>
        <v>0</v>
      </c>
      <c r="F59" s="82">
        <f>E59/B59</f>
        <v>0</v>
      </c>
      <c r="G59" s="82">
        <f>E59/C59</f>
        <v>0</v>
      </c>
      <c r="H59" s="117">
        <f>25200/1000</f>
        <v>25.2</v>
      </c>
      <c r="I59" s="117"/>
      <c r="J59" s="117">
        <f>11700/1000</f>
        <v>11.7</v>
      </c>
      <c r="K59" s="117"/>
      <c r="L59" s="117">
        <f>25200/1000</f>
        <v>25.2</v>
      </c>
      <c r="M59" s="117"/>
      <c r="N59" s="117"/>
      <c r="O59" s="117"/>
      <c r="P59" s="117">
        <f>25200/1000</f>
        <v>25.2</v>
      </c>
      <c r="Q59" s="117"/>
      <c r="R59" s="117"/>
      <c r="S59" s="117"/>
      <c r="T59" s="117">
        <f>18000/1000</f>
        <v>18</v>
      </c>
      <c r="U59" s="117"/>
      <c r="V59" s="117"/>
      <c r="W59" s="117"/>
      <c r="X59" s="117">
        <f>25200/1000</f>
        <v>25.2</v>
      </c>
      <c r="Y59" s="117"/>
      <c r="Z59" s="117"/>
      <c r="AA59" s="117"/>
      <c r="AB59" s="117">
        <f>25200/1000</f>
        <v>25.2</v>
      </c>
      <c r="AC59" s="117"/>
      <c r="AD59" s="117"/>
      <c r="AE59" s="117"/>
      <c r="AF59" s="228"/>
      <c r="AH59" s="103"/>
      <c r="AI59" s="104"/>
    </row>
    <row r="60" spans="1:35" s="38" customFormat="1" ht="22.5" customHeight="1" x14ac:dyDescent="0.25">
      <c r="A60" s="126" t="s">
        <v>136</v>
      </c>
      <c r="B60" s="161">
        <f>B61+B62</f>
        <v>2949.5998999999997</v>
      </c>
      <c r="C60" s="161">
        <f t="shared" ref="C60:AE60" si="24">C61+C62</f>
        <v>482.85148999999996</v>
      </c>
      <c r="D60" s="161">
        <f t="shared" si="24"/>
        <v>423.84152999999998</v>
      </c>
      <c r="E60" s="161">
        <f t="shared" si="24"/>
        <v>0</v>
      </c>
      <c r="F60" s="81">
        <f t="shared" ref="F60:F61" si="25">E60/B60</f>
        <v>0</v>
      </c>
      <c r="G60" s="81">
        <f>E60/C60</f>
        <v>0</v>
      </c>
      <c r="H60" s="161">
        <f t="shared" si="24"/>
        <v>112.06822000000001</v>
      </c>
      <c r="I60" s="161">
        <f t="shared" si="24"/>
        <v>0</v>
      </c>
      <c r="J60" s="161">
        <f t="shared" si="24"/>
        <v>370.78326999999996</v>
      </c>
      <c r="K60" s="161">
        <f t="shared" si="24"/>
        <v>0</v>
      </c>
      <c r="L60" s="161">
        <f t="shared" si="24"/>
        <v>196.95944</v>
      </c>
      <c r="M60" s="161">
        <f t="shared" si="24"/>
        <v>0</v>
      </c>
      <c r="N60" s="161">
        <f t="shared" si="24"/>
        <v>317.66441999999995</v>
      </c>
      <c r="O60" s="161">
        <f t="shared" si="24"/>
        <v>0</v>
      </c>
      <c r="P60" s="161">
        <f t="shared" si="24"/>
        <v>195.42824999999999</v>
      </c>
      <c r="Q60" s="161">
        <f t="shared" si="24"/>
        <v>0</v>
      </c>
      <c r="R60" s="161">
        <f t="shared" si="24"/>
        <v>319.36766</v>
      </c>
      <c r="S60" s="161">
        <f t="shared" si="24"/>
        <v>0</v>
      </c>
      <c r="T60" s="161">
        <f t="shared" si="24"/>
        <v>153.53776999999999</v>
      </c>
      <c r="U60" s="161">
        <f t="shared" si="24"/>
        <v>0</v>
      </c>
      <c r="V60" s="161">
        <f t="shared" si="24"/>
        <v>225.82169999999999</v>
      </c>
      <c r="W60" s="161">
        <f t="shared" si="24"/>
        <v>0</v>
      </c>
      <c r="X60" s="161">
        <f t="shared" si="24"/>
        <v>181.66987</v>
      </c>
      <c r="Y60" s="161">
        <f t="shared" si="24"/>
        <v>0</v>
      </c>
      <c r="Z60" s="161">
        <f t="shared" si="24"/>
        <v>317.14032999999995</v>
      </c>
      <c r="AA60" s="161">
        <f t="shared" si="24"/>
        <v>0</v>
      </c>
      <c r="AB60" s="161">
        <f t="shared" si="24"/>
        <v>195.26997</v>
      </c>
      <c r="AC60" s="161">
        <f t="shared" si="24"/>
        <v>0</v>
      </c>
      <c r="AD60" s="161">
        <f t="shared" si="24"/>
        <v>363.88900000000001</v>
      </c>
      <c r="AE60" s="161">
        <f t="shared" si="24"/>
        <v>0</v>
      </c>
      <c r="AF60" s="228"/>
      <c r="AG60" s="105"/>
      <c r="AH60" s="39"/>
    </row>
    <row r="61" spans="1:35" s="38" customFormat="1" ht="22.5" customHeight="1" x14ac:dyDescent="0.25">
      <c r="A61" s="101" t="s">
        <v>102</v>
      </c>
      <c r="B61" s="162">
        <f>B56</f>
        <v>674.4</v>
      </c>
      <c r="C61" s="162">
        <f t="shared" ref="C61:AE61" si="26">C56</f>
        <v>59.00996</v>
      </c>
      <c r="D61" s="162">
        <f t="shared" si="26"/>
        <v>0</v>
      </c>
      <c r="E61" s="162">
        <f t="shared" si="26"/>
        <v>0</v>
      </c>
      <c r="F61" s="82">
        <f t="shared" si="25"/>
        <v>0</v>
      </c>
      <c r="G61" s="82">
        <f t="shared" ref="G61:G62" si="27">E61/C61</f>
        <v>0</v>
      </c>
      <c r="H61" s="162">
        <f t="shared" si="26"/>
        <v>0</v>
      </c>
      <c r="I61" s="162">
        <f t="shared" si="26"/>
        <v>0</v>
      </c>
      <c r="J61" s="162">
        <f t="shared" si="26"/>
        <v>59.00996</v>
      </c>
      <c r="K61" s="162">
        <f t="shared" si="26"/>
        <v>0</v>
      </c>
      <c r="L61" s="162">
        <f t="shared" si="26"/>
        <v>59.00996</v>
      </c>
      <c r="M61" s="162">
        <f t="shared" si="26"/>
        <v>0</v>
      </c>
      <c r="N61" s="162">
        <f t="shared" si="26"/>
        <v>59.00996</v>
      </c>
      <c r="O61" s="162">
        <f t="shared" si="26"/>
        <v>0</v>
      </c>
      <c r="P61" s="162">
        <f t="shared" si="26"/>
        <v>59.00996</v>
      </c>
      <c r="Q61" s="162">
        <f t="shared" si="26"/>
        <v>0</v>
      </c>
      <c r="R61" s="162">
        <f t="shared" si="26"/>
        <v>59.00996</v>
      </c>
      <c r="S61" s="162">
        <f t="shared" si="26"/>
        <v>0</v>
      </c>
      <c r="T61" s="162">
        <f t="shared" si="26"/>
        <v>42.149970000000003</v>
      </c>
      <c r="U61" s="162">
        <f t="shared" si="26"/>
        <v>0</v>
      </c>
      <c r="V61" s="162">
        <f t="shared" si="26"/>
        <v>42.149970000000003</v>
      </c>
      <c r="W61" s="162">
        <f t="shared" si="26"/>
        <v>0</v>
      </c>
      <c r="X61" s="162">
        <f t="shared" si="26"/>
        <v>59.00996</v>
      </c>
      <c r="Y61" s="162">
        <f t="shared" si="26"/>
        <v>0</v>
      </c>
      <c r="Z61" s="162">
        <f t="shared" si="26"/>
        <v>59.00996</v>
      </c>
      <c r="AA61" s="162">
        <f t="shared" si="26"/>
        <v>0</v>
      </c>
      <c r="AB61" s="162">
        <f t="shared" si="26"/>
        <v>59.00996</v>
      </c>
      <c r="AC61" s="162">
        <f t="shared" si="26"/>
        <v>0</v>
      </c>
      <c r="AD61" s="162">
        <f t="shared" si="26"/>
        <v>118.02038</v>
      </c>
      <c r="AE61" s="162">
        <f t="shared" si="26"/>
        <v>0</v>
      </c>
      <c r="AF61" s="228"/>
      <c r="AG61" s="106"/>
      <c r="AH61" s="39"/>
    </row>
    <row r="62" spans="1:35" s="38" customFormat="1" ht="22.5" customHeight="1" x14ac:dyDescent="0.25">
      <c r="A62" s="101" t="s">
        <v>103</v>
      </c>
      <c r="B62" s="162">
        <f>B57+B59</f>
        <v>2275.1998999999996</v>
      </c>
      <c r="C62" s="162">
        <f>C57+C59</f>
        <v>423.84152999999998</v>
      </c>
      <c r="D62" s="162">
        <f t="shared" ref="D62:AE62" si="28">D57+D59</f>
        <v>423.84152999999998</v>
      </c>
      <c r="E62" s="162">
        <f t="shared" si="28"/>
        <v>0</v>
      </c>
      <c r="F62" s="82">
        <f>E62/B62</f>
        <v>0</v>
      </c>
      <c r="G62" s="82">
        <f t="shared" si="27"/>
        <v>0</v>
      </c>
      <c r="H62" s="162">
        <f t="shared" si="28"/>
        <v>112.06822000000001</v>
      </c>
      <c r="I62" s="162">
        <f t="shared" si="28"/>
        <v>0</v>
      </c>
      <c r="J62" s="162">
        <f t="shared" si="28"/>
        <v>311.77330999999998</v>
      </c>
      <c r="K62" s="162">
        <f t="shared" si="28"/>
        <v>0</v>
      </c>
      <c r="L62" s="162">
        <f t="shared" si="28"/>
        <v>137.94947999999999</v>
      </c>
      <c r="M62" s="162">
        <f t="shared" si="28"/>
        <v>0</v>
      </c>
      <c r="N62" s="162">
        <f t="shared" si="28"/>
        <v>258.65445999999997</v>
      </c>
      <c r="O62" s="162">
        <f t="shared" si="28"/>
        <v>0</v>
      </c>
      <c r="P62" s="162">
        <f t="shared" si="28"/>
        <v>136.41828999999998</v>
      </c>
      <c r="Q62" s="162">
        <f t="shared" si="28"/>
        <v>0</v>
      </c>
      <c r="R62" s="162">
        <f t="shared" si="28"/>
        <v>260.35770000000002</v>
      </c>
      <c r="S62" s="162">
        <f t="shared" si="28"/>
        <v>0</v>
      </c>
      <c r="T62" s="162">
        <f t="shared" si="28"/>
        <v>111.3878</v>
      </c>
      <c r="U62" s="162">
        <f t="shared" si="28"/>
        <v>0</v>
      </c>
      <c r="V62" s="162">
        <f t="shared" si="28"/>
        <v>183.67173</v>
      </c>
      <c r="W62" s="162">
        <f t="shared" si="28"/>
        <v>0</v>
      </c>
      <c r="X62" s="162">
        <f t="shared" si="28"/>
        <v>122.65991000000001</v>
      </c>
      <c r="Y62" s="162">
        <f t="shared" si="28"/>
        <v>0</v>
      </c>
      <c r="Z62" s="162">
        <f t="shared" si="28"/>
        <v>258.13036999999997</v>
      </c>
      <c r="AA62" s="162">
        <f t="shared" si="28"/>
        <v>0</v>
      </c>
      <c r="AB62" s="162">
        <f t="shared" si="28"/>
        <v>136.26000999999999</v>
      </c>
      <c r="AC62" s="162">
        <f t="shared" si="28"/>
        <v>0</v>
      </c>
      <c r="AD62" s="162">
        <f t="shared" si="28"/>
        <v>245.86861999999999</v>
      </c>
      <c r="AE62" s="162">
        <f t="shared" si="28"/>
        <v>0</v>
      </c>
      <c r="AF62" s="229"/>
      <c r="AG62" s="106"/>
      <c r="AH62" s="39"/>
    </row>
    <row r="63" spans="1:35" s="38" customFormat="1" ht="21.75" customHeight="1" x14ac:dyDescent="0.25">
      <c r="A63" s="70" t="s">
        <v>131</v>
      </c>
      <c r="B63" s="152">
        <f>B64+B65</f>
        <v>6736.7999</v>
      </c>
      <c r="C63" s="152">
        <f>C65+C64</f>
        <v>482.85148999999996</v>
      </c>
      <c r="D63" s="152">
        <f>D65+D64</f>
        <v>423.84152999999998</v>
      </c>
      <c r="E63" s="152">
        <f>E65+E64</f>
        <v>0</v>
      </c>
      <c r="F63" s="71">
        <f>E63/B63</f>
        <v>0</v>
      </c>
      <c r="G63" s="71">
        <f>E63/C63</f>
        <v>0</v>
      </c>
      <c r="H63" s="174">
        <f t="shared" ref="H63:M63" si="29">H65+H64</f>
        <v>112.06822000000001</v>
      </c>
      <c r="I63" s="174">
        <f t="shared" si="29"/>
        <v>0</v>
      </c>
      <c r="J63" s="174">
        <f t="shared" si="29"/>
        <v>370.78326999999996</v>
      </c>
      <c r="K63" s="174">
        <f t="shared" si="29"/>
        <v>0</v>
      </c>
      <c r="L63" s="174">
        <f t="shared" si="29"/>
        <v>255.10144</v>
      </c>
      <c r="M63" s="174">
        <f t="shared" si="29"/>
        <v>0</v>
      </c>
      <c r="N63" s="174">
        <f t="shared" ref="N63:AE63" si="30">N65+N64</f>
        <v>412.45841999999993</v>
      </c>
      <c r="O63" s="174">
        <f t="shared" si="30"/>
        <v>0</v>
      </c>
      <c r="P63" s="174">
        <f t="shared" si="30"/>
        <v>561.42025000000001</v>
      </c>
      <c r="Q63" s="174">
        <f t="shared" si="30"/>
        <v>0</v>
      </c>
      <c r="R63" s="174">
        <f t="shared" si="30"/>
        <v>800.05966000000012</v>
      </c>
      <c r="S63" s="174">
        <f t="shared" si="30"/>
        <v>0</v>
      </c>
      <c r="T63" s="174">
        <f>T65+T64</f>
        <v>939.68176999999991</v>
      </c>
      <c r="U63" s="174">
        <f>U65+U64</f>
        <v>0</v>
      </c>
      <c r="V63" s="174">
        <f t="shared" si="30"/>
        <v>954.90970000000004</v>
      </c>
      <c r="W63" s="174">
        <f t="shared" si="30"/>
        <v>0</v>
      </c>
      <c r="X63" s="174">
        <f t="shared" si="30"/>
        <v>874.69786999999997</v>
      </c>
      <c r="Y63" s="174">
        <f t="shared" si="30"/>
        <v>0</v>
      </c>
      <c r="Z63" s="174">
        <f t="shared" si="30"/>
        <v>788.17732999999998</v>
      </c>
      <c r="AA63" s="174">
        <f t="shared" si="30"/>
        <v>0</v>
      </c>
      <c r="AB63" s="174">
        <f t="shared" si="30"/>
        <v>303.55297000000002</v>
      </c>
      <c r="AC63" s="174">
        <f t="shared" si="30"/>
        <v>0</v>
      </c>
      <c r="AD63" s="174">
        <f t="shared" si="30"/>
        <v>363.88900000000001</v>
      </c>
      <c r="AE63" s="174">
        <f t="shared" si="30"/>
        <v>0</v>
      </c>
      <c r="AF63" s="72"/>
      <c r="AG63" s="105"/>
      <c r="AH63" s="39"/>
    </row>
    <row r="64" spans="1:35" s="38" customFormat="1" ht="28.5" customHeight="1" x14ac:dyDescent="0.25">
      <c r="A64" s="88" t="s">
        <v>102</v>
      </c>
      <c r="B64" s="108">
        <f>B51+B61</f>
        <v>1534.3000000000002</v>
      </c>
      <c r="C64" s="108">
        <f t="shared" ref="C64:AE64" si="31">C51+C61</f>
        <v>59.00996</v>
      </c>
      <c r="D64" s="108">
        <f t="shared" si="31"/>
        <v>0</v>
      </c>
      <c r="E64" s="108">
        <f t="shared" si="31"/>
        <v>0</v>
      </c>
      <c r="F64" s="134">
        <f>E64/B64</f>
        <v>0</v>
      </c>
      <c r="G64" s="134">
        <f>E64/C64</f>
        <v>0</v>
      </c>
      <c r="H64" s="108">
        <f t="shared" si="31"/>
        <v>0</v>
      </c>
      <c r="I64" s="108">
        <f t="shared" si="31"/>
        <v>0</v>
      </c>
      <c r="J64" s="108">
        <f t="shared" si="31"/>
        <v>59.00996</v>
      </c>
      <c r="K64" s="108">
        <f t="shared" si="31"/>
        <v>0</v>
      </c>
      <c r="L64" s="108">
        <f t="shared" si="31"/>
        <v>59.00996</v>
      </c>
      <c r="M64" s="108">
        <f t="shared" si="31"/>
        <v>0</v>
      </c>
      <c r="N64" s="108">
        <f t="shared" si="31"/>
        <v>59.00996</v>
      </c>
      <c r="O64" s="108">
        <f t="shared" si="31"/>
        <v>0</v>
      </c>
      <c r="P64" s="108">
        <f t="shared" si="31"/>
        <v>143.34996000000001</v>
      </c>
      <c r="Q64" s="108">
        <f t="shared" si="31"/>
        <v>0</v>
      </c>
      <c r="R64" s="108">
        <f t="shared" si="31"/>
        <v>143.30995999999999</v>
      </c>
      <c r="S64" s="108">
        <f t="shared" si="31"/>
        <v>0</v>
      </c>
      <c r="T64" s="108">
        <f t="shared" si="31"/>
        <v>227.60997</v>
      </c>
      <c r="U64" s="108">
        <f t="shared" si="31"/>
        <v>0</v>
      </c>
      <c r="V64" s="108">
        <f t="shared" si="31"/>
        <v>210.74996999999999</v>
      </c>
      <c r="W64" s="108">
        <f t="shared" si="31"/>
        <v>0</v>
      </c>
      <c r="X64" s="108">
        <f t="shared" si="31"/>
        <v>227.60996</v>
      </c>
      <c r="Y64" s="108">
        <f t="shared" si="31"/>
        <v>0</v>
      </c>
      <c r="Z64" s="108">
        <f t="shared" si="31"/>
        <v>193.88996</v>
      </c>
      <c r="AA64" s="108">
        <f t="shared" si="31"/>
        <v>0</v>
      </c>
      <c r="AB64" s="108">
        <f t="shared" si="31"/>
        <v>92.729960000000005</v>
      </c>
      <c r="AC64" s="108">
        <f t="shared" si="31"/>
        <v>0</v>
      </c>
      <c r="AD64" s="108">
        <f t="shared" si="31"/>
        <v>118.02038</v>
      </c>
      <c r="AE64" s="108">
        <f t="shared" si="31"/>
        <v>0</v>
      </c>
      <c r="AF64" s="108"/>
      <c r="AG64" s="106"/>
      <c r="AH64" s="39"/>
    </row>
    <row r="65" spans="1:43" s="35" customFormat="1" ht="26.25" customHeight="1" x14ac:dyDescent="0.25">
      <c r="A65" s="85" t="s">
        <v>103</v>
      </c>
      <c r="B65" s="147">
        <f>B52+B62</f>
        <v>5202.4998999999998</v>
      </c>
      <c r="C65" s="147">
        <f t="shared" ref="C65:AE65" si="32">C52+C62</f>
        <v>423.84152999999998</v>
      </c>
      <c r="D65" s="147">
        <f t="shared" si="32"/>
        <v>423.84152999999998</v>
      </c>
      <c r="E65" s="147">
        <f t="shared" si="32"/>
        <v>0</v>
      </c>
      <c r="F65" s="133">
        <f>E65/B65</f>
        <v>0</v>
      </c>
      <c r="G65" s="133">
        <f>E65/C65</f>
        <v>0</v>
      </c>
      <c r="H65" s="147">
        <f t="shared" si="32"/>
        <v>112.06822000000001</v>
      </c>
      <c r="I65" s="147">
        <f t="shared" si="32"/>
        <v>0</v>
      </c>
      <c r="J65" s="147">
        <f t="shared" si="32"/>
        <v>311.77330999999998</v>
      </c>
      <c r="K65" s="147">
        <f t="shared" si="32"/>
        <v>0</v>
      </c>
      <c r="L65" s="147">
        <f t="shared" si="32"/>
        <v>196.09147999999999</v>
      </c>
      <c r="M65" s="147">
        <f t="shared" si="32"/>
        <v>0</v>
      </c>
      <c r="N65" s="147">
        <f t="shared" si="32"/>
        <v>353.44845999999995</v>
      </c>
      <c r="O65" s="147">
        <f t="shared" si="32"/>
        <v>0</v>
      </c>
      <c r="P65" s="147">
        <f t="shared" si="32"/>
        <v>418.07029</v>
      </c>
      <c r="Q65" s="147">
        <f t="shared" si="32"/>
        <v>0</v>
      </c>
      <c r="R65" s="147">
        <f t="shared" si="32"/>
        <v>656.74970000000008</v>
      </c>
      <c r="S65" s="147">
        <f t="shared" si="32"/>
        <v>0</v>
      </c>
      <c r="T65" s="147">
        <f t="shared" si="32"/>
        <v>712.07179999999994</v>
      </c>
      <c r="U65" s="147">
        <f t="shared" si="32"/>
        <v>0</v>
      </c>
      <c r="V65" s="147">
        <f t="shared" si="32"/>
        <v>744.15973000000008</v>
      </c>
      <c r="W65" s="147">
        <f t="shared" si="32"/>
        <v>0</v>
      </c>
      <c r="X65" s="147">
        <f t="shared" si="32"/>
        <v>647.08790999999997</v>
      </c>
      <c r="Y65" s="147">
        <f t="shared" si="32"/>
        <v>0</v>
      </c>
      <c r="Z65" s="147">
        <f t="shared" si="32"/>
        <v>594.28737000000001</v>
      </c>
      <c r="AA65" s="147">
        <f t="shared" si="32"/>
        <v>0</v>
      </c>
      <c r="AB65" s="147">
        <f t="shared" si="32"/>
        <v>210.82301000000001</v>
      </c>
      <c r="AC65" s="147">
        <f t="shared" si="32"/>
        <v>0</v>
      </c>
      <c r="AD65" s="147">
        <f t="shared" si="32"/>
        <v>245.86861999999999</v>
      </c>
      <c r="AE65" s="147">
        <f t="shared" si="32"/>
        <v>0</v>
      </c>
      <c r="AF65" s="78"/>
      <c r="AG65" s="106"/>
      <c r="AH65" s="36"/>
    </row>
    <row r="66" spans="1:43" s="38" customFormat="1" ht="127.5" customHeight="1" x14ac:dyDescent="0.25">
      <c r="A66" s="118" t="s">
        <v>137</v>
      </c>
      <c r="B66" s="149"/>
      <c r="C66" s="150"/>
      <c r="D66" s="150"/>
      <c r="E66" s="151"/>
      <c r="F66" s="119"/>
      <c r="G66" s="119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72"/>
      <c r="AE66" s="173"/>
      <c r="AF66" s="196" t="s">
        <v>139</v>
      </c>
      <c r="AG66" s="106"/>
      <c r="AH66" s="39"/>
    </row>
    <row r="67" spans="1:43" s="38" customFormat="1" x14ac:dyDescent="0.25">
      <c r="A67" s="70" t="s">
        <v>25</v>
      </c>
      <c r="B67" s="152">
        <f>B68</f>
        <v>0</v>
      </c>
      <c r="C67" s="152">
        <f>C68</f>
        <v>0</v>
      </c>
      <c r="D67" s="152">
        <f>D68</f>
        <v>0</v>
      </c>
      <c r="E67" s="152">
        <f t="shared" ref="E67:AE67" si="33">E68</f>
        <v>0</v>
      </c>
      <c r="F67" s="71">
        <v>0</v>
      </c>
      <c r="G67" s="71">
        <v>0</v>
      </c>
      <c r="H67" s="152">
        <f>H68</f>
        <v>0</v>
      </c>
      <c r="I67" s="152">
        <f t="shared" si="33"/>
        <v>0</v>
      </c>
      <c r="J67" s="152">
        <f t="shared" si="33"/>
        <v>0</v>
      </c>
      <c r="K67" s="152">
        <f t="shared" si="33"/>
        <v>0</v>
      </c>
      <c r="L67" s="152">
        <f t="shared" si="33"/>
        <v>0</v>
      </c>
      <c r="M67" s="152">
        <f t="shared" si="33"/>
        <v>0</v>
      </c>
      <c r="N67" s="152">
        <f t="shared" si="33"/>
        <v>0</v>
      </c>
      <c r="O67" s="152">
        <f t="shared" si="33"/>
        <v>0</v>
      </c>
      <c r="P67" s="152">
        <f t="shared" si="33"/>
        <v>0</v>
      </c>
      <c r="Q67" s="152">
        <f t="shared" si="33"/>
        <v>0</v>
      </c>
      <c r="R67" s="152">
        <f t="shared" si="33"/>
        <v>0</v>
      </c>
      <c r="S67" s="152">
        <f t="shared" si="33"/>
        <v>0</v>
      </c>
      <c r="T67" s="152">
        <f t="shared" si="33"/>
        <v>0</v>
      </c>
      <c r="U67" s="152">
        <f t="shared" si="33"/>
        <v>0</v>
      </c>
      <c r="V67" s="152">
        <f t="shared" si="33"/>
        <v>0</v>
      </c>
      <c r="W67" s="152">
        <f t="shared" si="33"/>
        <v>0</v>
      </c>
      <c r="X67" s="152">
        <f t="shared" si="33"/>
        <v>0</v>
      </c>
      <c r="Y67" s="152">
        <f t="shared" si="33"/>
        <v>0</v>
      </c>
      <c r="Z67" s="152">
        <f t="shared" si="33"/>
        <v>0</v>
      </c>
      <c r="AA67" s="152">
        <f t="shared" si="33"/>
        <v>0</v>
      </c>
      <c r="AB67" s="152">
        <f t="shared" si="33"/>
        <v>0</v>
      </c>
      <c r="AC67" s="152">
        <f t="shared" si="33"/>
        <v>0</v>
      </c>
      <c r="AD67" s="152">
        <f t="shared" si="33"/>
        <v>0</v>
      </c>
      <c r="AE67" s="177">
        <f t="shared" si="33"/>
        <v>0</v>
      </c>
      <c r="AF67" s="42"/>
      <c r="AG67" s="106"/>
      <c r="AH67" s="39"/>
    </row>
    <row r="68" spans="1:43" s="38" customFormat="1" ht="20.25" customHeight="1" x14ac:dyDescent="0.25">
      <c r="A68" s="73" t="s">
        <v>102</v>
      </c>
      <c r="B68" s="145">
        <f>H68+J68+L68+N68+P68+R68+T68+V68+X68+Z68+AB68+AD68</f>
        <v>0</v>
      </c>
      <c r="C68" s="146">
        <f>H68+J68+L68+N68+P68+R68+T68+V68+X68+Z68+AB68</f>
        <v>0</v>
      </c>
      <c r="D68" s="146">
        <v>0</v>
      </c>
      <c r="E68" s="146">
        <f>I68+K68+M68+O68+Q68+S68+U68+W68+Y68+AA68+AC68+AE68</f>
        <v>0</v>
      </c>
      <c r="F68" s="76">
        <v>0</v>
      </c>
      <c r="G68" s="76">
        <v>0</v>
      </c>
      <c r="H68" s="146">
        <v>0</v>
      </c>
      <c r="I68" s="146">
        <v>0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46">
        <v>0</v>
      </c>
      <c r="P68" s="146">
        <v>0</v>
      </c>
      <c r="Q68" s="146">
        <v>0</v>
      </c>
      <c r="R68" s="146">
        <v>0</v>
      </c>
      <c r="S68" s="146">
        <v>0</v>
      </c>
      <c r="T68" s="146"/>
      <c r="U68" s="146"/>
      <c r="V68" s="146">
        <v>0</v>
      </c>
      <c r="W68" s="146">
        <v>0</v>
      </c>
      <c r="X68" s="146">
        <v>0</v>
      </c>
      <c r="Y68" s="146">
        <v>0</v>
      </c>
      <c r="Z68" s="146"/>
      <c r="AA68" s="146"/>
      <c r="AB68" s="146"/>
      <c r="AC68" s="146">
        <v>0</v>
      </c>
      <c r="AD68" s="146">
        <v>0</v>
      </c>
      <c r="AE68" s="188">
        <v>0</v>
      </c>
      <c r="AF68" s="75"/>
      <c r="AG68" s="106"/>
      <c r="AH68" s="39"/>
    </row>
    <row r="69" spans="1:43" s="38" customFormat="1" ht="51" customHeight="1" x14ac:dyDescent="0.25">
      <c r="A69" s="91" t="s">
        <v>112</v>
      </c>
      <c r="B69" s="166">
        <f t="shared" ref="B69:AD69" si="34">B71+B72</f>
        <v>3287.2000000000003</v>
      </c>
      <c r="C69" s="166">
        <f t="shared" si="34"/>
        <v>801.84136000000012</v>
      </c>
      <c r="D69" s="166">
        <f t="shared" si="34"/>
        <v>796.4</v>
      </c>
      <c r="E69" s="166">
        <f t="shared" si="34"/>
        <v>771.75135</v>
      </c>
      <c r="F69" s="135">
        <f>E69/B69</f>
        <v>0.23477468666342174</v>
      </c>
      <c r="G69" s="135">
        <f>E69/C69</f>
        <v>0.96247386141318514</v>
      </c>
      <c r="H69" s="166">
        <f t="shared" si="34"/>
        <v>549.18630000000007</v>
      </c>
      <c r="I69" s="166">
        <f t="shared" si="34"/>
        <v>501.40995000000004</v>
      </c>
      <c r="J69" s="166">
        <f t="shared" si="34"/>
        <v>252.65505999999999</v>
      </c>
      <c r="K69" s="166">
        <f t="shared" si="34"/>
        <v>270.34140000000002</v>
      </c>
      <c r="L69" s="166">
        <f t="shared" si="34"/>
        <v>106.63405999999999</v>
      </c>
      <c r="M69" s="166">
        <f t="shared" si="34"/>
        <v>0</v>
      </c>
      <c r="N69" s="166">
        <f t="shared" si="34"/>
        <v>275.43006000000003</v>
      </c>
      <c r="O69" s="166">
        <f t="shared" si="34"/>
        <v>0</v>
      </c>
      <c r="P69" s="166">
        <f t="shared" si="34"/>
        <v>160.66605999999999</v>
      </c>
      <c r="Q69" s="166">
        <f t="shared" si="34"/>
        <v>0</v>
      </c>
      <c r="R69" s="166">
        <f t="shared" si="34"/>
        <v>404.28805999999997</v>
      </c>
      <c r="S69" s="166">
        <f t="shared" si="34"/>
        <v>0</v>
      </c>
      <c r="T69" s="166">
        <f t="shared" si="34"/>
        <v>306.48205999999999</v>
      </c>
      <c r="U69" s="166">
        <f t="shared" si="34"/>
        <v>0</v>
      </c>
      <c r="V69" s="166">
        <f t="shared" si="34"/>
        <v>429.85205999999999</v>
      </c>
      <c r="W69" s="166">
        <f t="shared" si="34"/>
        <v>0</v>
      </c>
      <c r="X69" s="166">
        <f t="shared" si="34"/>
        <v>222.39406</v>
      </c>
      <c r="Y69" s="166">
        <f t="shared" si="34"/>
        <v>0</v>
      </c>
      <c r="Z69" s="166">
        <f t="shared" si="34"/>
        <v>177.75106</v>
      </c>
      <c r="AA69" s="166">
        <f t="shared" si="34"/>
        <v>0</v>
      </c>
      <c r="AB69" s="166">
        <f t="shared" si="34"/>
        <v>115.36206</v>
      </c>
      <c r="AC69" s="166">
        <f t="shared" si="34"/>
        <v>0</v>
      </c>
      <c r="AD69" s="166">
        <f t="shared" si="34"/>
        <v>286.4991</v>
      </c>
      <c r="AE69" s="189"/>
      <c r="AF69" s="43"/>
      <c r="AG69" s="106"/>
      <c r="AH69" s="39"/>
    </row>
    <row r="70" spans="1:43" s="38" customFormat="1" x14ac:dyDescent="0.25">
      <c r="A70" s="70" t="s">
        <v>25</v>
      </c>
      <c r="B70" s="152">
        <f>B71+B72</f>
        <v>3287.2000000000003</v>
      </c>
      <c r="C70" s="152">
        <f t="shared" ref="C70:AD70" si="35">C71+C72</f>
        <v>801.84136000000012</v>
      </c>
      <c r="D70" s="152">
        <f t="shared" si="35"/>
        <v>796.4</v>
      </c>
      <c r="E70" s="152">
        <f t="shared" si="35"/>
        <v>771.75135</v>
      </c>
      <c r="F70" s="71">
        <f>E70/B70</f>
        <v>0.23477468666342174</v>
      </c>
      <c r="G70" s="71">
        <f t="shared" ref="G70:G74" si="36">E70/C70</f>
        <v>0.96247386141318514</v>
      </c>
      <c r="H70" s="152">
        <f>H71+H72</f>
        <v>549.18630000000007</v>
      </c>
      <c r="I70" s="152">
        <f t="shared" si="35"/>
        <v>501.40995000000004</v>
      </c>
      <c r="J70" s="152">
        <f>J71+J72</f>
        <v>252.65505999999999</v>
      </c>
      <c r="K70" s="152">
        <f t="shared" si="35"/>
        <v>270.34140000000002</v>
      </c>
      <c r="L70" s="152">
        <f>L71+L72</f>
        <v>106.63405999999999</v>
      </c>
      <c r="M70" s="152">
        <f t="shared" si="35"/>
        <v>0</v>
      </c>
      <c r="N70" s="152">
        <f>N71+N72</f>
        <v>275.43006000000003</v>
      </c>
      <c r="O70" s="152">
        <f t="shared" si="35"/>
        <v>0</v>
      </c>
      <c r="P70" s="152">
        <f t="shared" si="35"/>
        <v>160.66605999999999</v>
      </c>
      <c r="Q70" s="152">
        <f t="shared" si="35"/>
        <v>0</v>
      </c>
      <c r="R70" s="152">
        <f t="shared" si="35"/>
        <v>404.28805999999997</v>
      </c>
      <c r="S70" s="152">
        <f t="shared" si="35"/>
        <v>0</v>
      </c>
      <c r="T70" s="152">
        <f t="shared" si="35"/>
        <v>306.48205999999999</v>
      </c>
      <c r="U70" s="152">
        <f t="shared" si="35"/>
        <v>0</v>
      </c>
      <c r="V70" s="152">
        <f t="shared" si="35"/>
        <v>429.85205999999999</v>
      </c>
      <c r="W70" s="152">
        <f t="shared" si="35"/>
        <v>0</v>
      </c>
      <c r="X70" s="152">
        <f t="shared" si="35"/>
        <v>222.39406</v>
      </c>
      <c r="Y70" s="152">
        <f t="shared" si="35"/>
        <v>0</v>
      </c>
      <c r="Z70" s="152">
        <f t="shared" si="35"/>
        <v>177.75106</v>
      </c>
      <c r="AA70" s="152">
        <f t="shared" si="35"/>
        <v>0</v>
      </c>
      <c r="AB70" s="152">
        <f t="shared" si="35"/>
        <v>115.36206</v>
      </c>
      <c r="AC70" s="152">
        <f t="shared" si="35"/>
        <v>0</v>
      </c>
      <c r="AD70" s="152">
        <f t="shared" si="35"/>
        <v>286.4991</v>
      </c>
      <c r="AE70" s="186">
        <f t="shared" ref="AE70" si="37">AE71</f>
        <v>0</v>
      </c>
      <c r="AF70" s="42"/>
      <c r="AG70" s="106"/>
      <c r="AH70" s="39"/>
    </row>
    <row r="71" spans="1:43" s="65" customFormat="1" ht="24.75" customHeight="1" x14ac:dyDescent="0.25">
      <c r="A71" s="88" t="s">
        <v>102</v>
      </c>
      <c r="B71" s="145">
        <f>H71+J71+L71+N71+P71+R71+T71+V71+X71+Z71+AB71+AD71</f>
        <v>3287.2000000000003</v>
      </c>
      <c r="C71" s="145">
        <f>C74</f>
        <v>801.84136000000012</v>
      </c>
      <c r="D71" s="145">
        <f t="shared" ref="D71:AC71" si="38">D74</f>
        <v>796.4</v>
      </c>
      <c r="E71" s="145">
        <f t="shared" si="38"/>
        <v>771.75135</v>
      </c>
      <c r="F71" s="136">
        <f>E71/C71</f>
        <v>0.96247386141318514</v>
      </c>
      <c r="G71" s="136">
        <f t="shared" si="36"/>
        <v>0.96247386141318514</v>
      </c>
      <c r="H71" s="145">
        <f>H74</f>
        <v>549.18630000000007</v>
      </c>
      <c r="I71" s="145">
        <f t="shared" si="38"/>
        <v>501.40995000000004</v>
      </c>
      <c r="J71" s="145">
        <f>J74</f>
        <v>252.65505999999999</v>
      </c>
      <c r="K71" s="145">
        <f t="shared" si="38"/>
        <v>270.34140000000002</v>
      </c>
      <c r="L71" s="145">
        <f>L74</f>
        <v>106.63405999999999</v>
      </c>
      <c r="M71" s="145">
        <f t="shared" si="38"/>
        <v>0</v>
      </c>
      <c r="N71" s="145">
        <f>N74</f>
        <v>275.43006000000003</v>
      </c>
      <c r="O71" s="145">
        <f t="shared" si="38"/>
        <v>0</v>
      </c>
      <c r="P71" s="145">
        <f>P74</f>
        <v>160.66605999999999</v>
      </c>
      <c r="Q71" s="145">
        <f t="shared" si="38"/>
        <v>0</v>
      </c>
      <c r="R71" s="145">
        <f>R74</f>
        <v>404.28805999999997</v>
      </c>
      <c r="S71" s="145">
        <f t="shared" si="38"/>
        <v>0</v>
      </c>
      <c r="T71" s="145">
        <f>T74</f>
        <v>306.48205999999999</v>
      </c>
      <c r="U71" s="145">
        <f t="shared" si="38"/>
        <v>0</v>
      </c>
      <c r="V71" s="145">
        <f>V74</f>
        <v>429.85205999999999</v>
      </c>
      <c r="W71" s="145">
        <f t="shared" si="38"/>
        <v>0</v>
      </c>
      <c r="X71" s="145">
        <f>X74</f>
        <v>222.39406</v>
      </c>
      <c r="Y71" s="145">
        <f t="shared" si="38"/>
        <v>0</v>
      </c>
      <c r="Z71" s="145">
        <f>Z74</f>
        <v>177.75106</v>
      </c>
      <c r="AA71" s="145">
        <f t="shared" si="38"/>
        <v>0</v>
      </c>
      <c r="AB71" s="145">
        <f>AB74</f>
        <v>115.36206</v>
      </c>
      <c r="AC71" s="145">
        <f t="shared" si="38"/>
        <v>0</v>
      </c>
      <c r="AD71" s="145">
        <f>AD74</f>
        <v>286.4991</v>
      </c>
      <c r="AE71" s="190"/>
      <c r="AF71" s="66"/>
      <c r="AG71" s="106"/>
      <c r="AH71" s="39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1:43" s="38" customFormat="1" ht="22.5" customHeight="1" x14ac:dyDescent="0.25">
      <c r="A72" s="85" t="s">
        <v>103</v>
      </c>
      <c r="B72" s="147">
        <f>H72+J72+L72+N72+P72+R72+T72+V72+X72+Z72+AB72+AD72</f>
        <v>0</v>
      </c>
      <c r="C72" s="147">
        <f t="shared" ref="C72:AF72" si="39">C77</f>
        <v>0</v>
      </c>
      <c r="D72" s="147">
        <f t="shared" si="39"/>
        <v>0</v>
      </c>
      <c r="E72" s="147">
        <f t="shared" si="39"/>
        <v>0</v>
      </c>
      <c r="F72" s="133">
        <v>0</v>
      </c>
      <c r="G72" s="133">
        <v>0</v>
      </c>
      <c r="H72" s="147">
        <f t="shared" si="39"/>
        <v>0</v>
      </c>
      <c r="I72" s="147">
        <f t="shared" si="39"/>
        <v>0</v>
      </c>
      <c r="J72" s="147">
        <f t="shared" si="39"/>
        <v>0</v>
      </c>
      <c r="K72" s="147">
        <f t="shared" si="39"/>
        <v>0</v>
      </c>
      <c r="L72" s="147">
        <f t="shared" si="39"/>
        <v>0</v>
      </c>
      <c r="M72" s="147">
        <f t="shared" si="39"/>
        <v>0</v>
      </c>
      <c r="N72" s="147">
        <f t="shared" si="39"/>
        <v>0</v>
      </c>
      <c r="O72" s="147">
        <f t="shared" si="39"/>
        <v>0</v>
      </c>
      <c r="P72" s="147">
        <f t="shared" si="39"/>
        <v>0</v>
      </c>
      <c r="Q72" s="147">
        <f t="shared" si="39"/>
        <v>0</v>
      </c>
      <c r="R72" s="147">
        <f t="shared" si="39"/>
        <v>0</v>
      </c>
      <c r="S72" s="147">
        <f t="shared" si="39"/>
        <v>0</v>
      </c>
      <c r="T72" s="147">
        <f t="shared" si="39"/>
        <v>0</v>
      </c>
      <c r="U72" s="147">
        <f t="shared" si="39"/>
        <v>0</v>
      </c>
      <c r="V72" s="147">
        <f t="shared" si="39"/>
        <v>0</v>
      </c>
      <c r="W72" s="147">
        <f t="shared" si="39"/>
        <v>0</v>
      </c>
      <c r="X72" s="147">
        <f t="shared" si="39"/>
        <v>0</v>
      </c>
      <c r="Y72" s="147">
        <f t="shared" si="39"/>
        <v>0</v>
      </c>
      <c r="Z72" s="147">
        <f t="shared" si="39"/>
        <v>0</v>
      </c>
      <c r="AA72" s="147">
        <f t="shared" si="39"/>
        <v>0</v>
      </c>
      <c r="AB72" s="147">
        <f t="shared" si="39"/>
        <v>0</v>
      </c>
      <c r="AC72" s="147">
        <f t="shared" si="39"/>
        <v>0</v>
      </c>
      <c r="AD72" s="147">
        <f t="shared" si="39"/>
        <v>0</v>
      </c>
      <c r="AE72" s="147">
        <f t="shared" si="39"/>
        <v>0</v>
      </c>
      <c r="AF72" s="78">
        <f t="shared" si="39"/>
        <v>0</v>
      </c>
      <c r="AG72" s="106"/>
      <c r="AH72" s="39"/>
    </row>
    <row r="73" spans="1:43" s="65" customFormat="1" ht="143.25" customHeight="1" x14ac:dyDescent="0.25">
      <c r="A73" s="198" t="s">
        <v>121</v>
      </c>
      <c r="B73" s="167">
        <f>B74</f>
        <v>3287.2000000000003</v>
      </c>
      <c r="C73" s="167">
        <f t="shared" ref="C73:AD73" si="40">C74</f>
        <v>801.84136000000012</v>
      </c>
      <c r="D73" s="167">
        <f>D74</f>
        <v>796.4</v>
      </c>
      <c r="E73" s="167">
        <f t="shared" si="40"/>
        <v>771.75135</v>
      </c>
      <c r="F73" s="128">
        <f t="shared" ref="F73:F74" si="41">E73/B73</f>
        <v>0.23477468666342174</v>
      </c>
      <c r="G73" s="128">
        <f t="shared" si="36"/>
        <v>0.96247386141318514</v>
      </c>
      <c r="H73" s="167">
        <f>H74</f>
        <v>549.18630000000007</v>
      </c>
      <c r="I73" s="167">
        <f>I74</f>
        <v>501.40995000000004</v>
      </c>
      <c r="J73" s="167">
        <f>J74</f>
        <v>252.65505999999999</v>
      </c>
      <c r="K73" s="167">
        <f>K74</f>
        <v>270.34140000000002</v>
      </c>
      <c r="L73" s="167">
        <f>L74</f>
        <v>106.63405999999999</v>
      </c>
      <c r="M73" s="167">
        <f t="shared" si="40"/>
        <v>0</v>
      </c>
      <c r="N73" s="167">
        <f t="shared" si="40"/>
        <v>275.43006000000003</v>
      </c>
      <c r="O73" s="167">
        <f t="shared" si="40"/>
        <v>0</v>
      </c>
      <c r="P73" s="167">
        <f t="shared" si="40"/>
        <v>160.66605999999999</v>
      </c>
      <c r="Q73" s="167">
        <f t="shared" si="40"/>
        <v>0</v>
      </c>
      <c r="R73" s="167">
        <f t="shared" si="40"/>
        <v>404.28805999999997</v>
      </c>
      <c r="S73" s="167">
        <f t="shared" si="40"/>
        <v>0</v>
      </c>
      <c r="T73" s="167">
        <f t="shared" si="40"/>
        <v>306.48205999999999</v>
      </c>
      <c r="U73" s="167">
        <f t="shared" si="40"/>
        <v>0</v>
      </c>
      <c r="V73" s="167">
        <f t="shared" si="40"/>
        <v>429.85205999999999</v>
      </c>
      <c r="W73" s="167">
        <f t="shared" si="40"/>
        <v>0</v>
      </c>
      <c r="X73" s="167">
        <f t="shared" si="40"/>
        <v>222.39406</v>
      </c>
      <c r="Y73" s="167">
        <f t="shared" si="40"/>
        <v>0</v>
      </c>
      <c r="Z73" s="167">
        <f t="shared" si="40"/>
        <v>177.75106</v>
      </c>
      <c r="AA73" s="167">
        <f t="shared" si="40"/>
        <v>0</v>
      </c>
      <c r="AB73" s="167">
        <f t="shared" si="40"/>
        <v>115.36206</v>
      </c>
      <c r="AC73" s="167">
        <f t="shared" si="40"/>
        <v>0</v>
      </c>
      <c r="AD73" s="167">
        <f t="shared" si="40"/>
        <v>286.4991</v>
      </c>
      <c r="AE73" s="191"/>
      <c r="AF73" s="197" t="s">
        <v>145</v>
      </c>
      <c r="AG73" s="106"/>
      <c r="AH73" s="39"/>
      <c r="AI73" s="38"/>
      <c r="AJ73" s="38"/>
      <c r="AK73" s="38"/>
      <c r="AL73" s="38"/>
      <c r="AM73" s="38"/>
      <c r="AN73" s="38"/>
      <c r="AO73" s="38"/>
      <c r="AP73" s="38"/>
      <c r="AQ73" s="38"/>
    </row>
    <row r="74" spans="1:43" s="65" customFormat="1" ht="24.75" customHeight="1" x14ac:dyDescent="0.25">
      <c r="A74" s="88" t="s">
        <v>102</v>
      </c>
      <c r="B74" s="145">
        <f>H74+J74+L74+N74+P74+R74+T74+V74+X74+Z74+AB74+AD74</f>
        <v>3287.2000000000003</v>
      </c>
      <c r="C74" s="146">
        <f>H74+J74</f>
        <v>801.84136000000012</v>
      </c>
      <c r="D74" s="146">
        <f>796400/1000</f>
        <v>796.4</v>
      </c>
      <c r="E74" s="146">
        <f>I74+K74+M74+O74+Q74+S74+U74+W74+Y74+AA74+AC74+AE74</f>
        <v>771.75135</v>
      </c>
      <c r="F74" s="76">
        <f t="shared" si="41"/>
        <v>0.23477468666342174</v>
      </c>
      <c r="G74" s="76">
        <f t="shared" si="36"/>
        <v>0.96247386141318514</v>
      </c>
      <c r="H74" s="146">
        <f>549186.3/1000</f>
        <v>549.18630000000007</v>
      </c>
      <c r="I74" s="146">
        <f>501409.95/1000</f>
        <v>501.40995000000004</v>
      </c>
      <c r="J74" s="146">
        <f>252655.06/1000</f>
        <v>252.65505999999999</v>
      </c>
      <c r="K74" s="146">
        <f>270341.4/1000</f>
        <v>270.34140000000002</v>
      </c>
      <c r="L74" s="146">
        <f>106634.06/1000</f>
        <v>106.63405999999999</v>
      </c>
      <c r="M74" s="175"/>
      <c r="N74" s="146">
        <f>275430.06/1000</f>
        <v>275.43006000000003</v>
      </c>
      <c r="O74" s="175"/>
      <c r="P74" s="146">
        <f>160666.06/1000</f>
        <v>160.66605999999999</v>
      </c>
      <c r="Q74" s="175"/>
      <c r="R74" s="146">
        <f>404288.06/1000</f>
        <v>404.28805999999997</v>
      </c>
      <c r="S74" s="175"/>
      <c r="T74" s="146">
        <f>306482.06/1000</f>
        <v>306.48205999999999</v>
      </c>
      <c r="U74" s="175"/>
      <c r="V74" s="146">
        <f>429852.06/1000</f>
        <v>429.85205999999999</v>
      </c>
      <c r="W74" s="175"/>
      <c r="X74" s="146">
        <f>222394.06/1000</f>
        <v>222.39406</v>
      </c>
      <c r="Y74" s="175"/>
      <c r="Z74" s="146">
        <f>177751.06/1000</f>
        <v>177.75106</v>
      </c>
      <c r="AA74" s="175"/>
      <c r="AB74" s="146">
        <f>115362.06/1000</f>
        <v>115.36206</v>
      </c>
      <c r="AC74" s="175"/>
      <c r="AD74" s="146">
        <f>286499.1/1000</f>
        <v>286.4991</v>
      </c>
      <c r="AE74" s="190"/>
      <c r="AF74" s="175"/>
      <c r="AG74" s="106"/>
      <c r="AH74" s="39"/>
      <c r="AI74" s="38"/>
      <c r="AJ74" s="38"/>
      <c r="AK74" s="38"/>
      <c r="AL74" s="38"/>
      <c r="AM74" s="38"/>
      <c r="AN74" s="38"/>
      <c r="AO74" s="38"/>
      <c r="AP74" s="38"/>
      <c r="AQ74" s="38"/>
    </row>
    <row r="75" spans="1:43" s="38" customFormat="1" ht="89.25" customHeight="1" x14ac:dyDescent="0.25">
      <c r="A75" s="84" t="s">
        <v>122</v>
      </c>
      <c r="B75" s="167">
        <f>B77</f>
        <v>0</v>
      </c>
      <c r="C75" s="167">
        <f t="shared" ref="C75:AB75" si="42">C77</f>
        <v>0</v>
      </c>
      <c r="D75" s="167"/>
      <c r="E75" s="167">
        <f t="shared" si="42"/>
        <v>0</v>
      </c>
      <c r="F75" s="128">
        <v>0</v>
      </c>
      <c r="G75" s="128">
        <v>0</v>
      </c>
      <c r="H75" s="167">
        <f>H77</f>
        <v>0</v>
      </c>
      <c r="I75" s="167">
        <f>I77</f>
        <v>0</v>
      </c>
      <c r="J75" s="167">
        <f t="shared" si="42"/>
        <v>0</v>
      </c>
      <c r="K75" s="167">
        <f t="shared" si="42"/>
        <v>0</v>
      </c>
      <c r="L75" s="167">
        <f t="shared" si="42"/>
        <v>0</v>
      </c>
      <c r="M75" s="167">
        <f t="shared" si="42"/>
        <v>0</v>
      </c>
      <c r="N75" s="167">
        <f t="shared" si="42"/>
        <v>0</v>
      </c>
      <c r="O75" s="167">
        <f t="shared" si="42"/>
        <v>0</v>
      </c>
      <c r="P75" s="167">
        <f t="shared" si="42"/>
        <v>0</v>
      </c>
      <c r="Q75" s="167">
        <f t="shared" si="42"/>
        <v>0</v>
      </c>
      <c r="R75" s="167">
        <f t="shared" si="42"/>
        <v>0</v>
      </c>
      <c r="S75" s="167">
        <f t="shared" si="42"/>
        <v>0</v>
      </c>
      <c r="T75" s="167">
        <f t="shared" si="42"/>
        <v>0</v>
      </c>
      <c r="U75" s="167">
        <f t="shared" si="42"/>
        <v>0</v>
      </c>
      <c r="V75" s="167">
        <f t="shared" si="42"/>
        <v>0</v>
      </c>
      <c r="W75" s="167">
        <f t="shared" si="42"/>
        <v>0</v>
      </c>
      <c r="X75" s="167">
        <f t="shared" si="42"/>
        <v>0</v>
      </c>
      <c r="Y75" s="167">
        <f t="shared" si="42"/>
        <v>0</v>
      </c>
      <c r="Z75" s="167">
        <f t="shared" si="42"/>
        <v>0</v>
      </c>
      <c r="AA75" s="167">
        <f t="shared" si="42"/>
        <v>0</v>
      </c>
      <c r="AB75" s="167">
        <f t="shared" si="42"/>
        <v>0</v>
      </c>
      <c r="AC75" s="167">
        <f t="shared" ref="AC75" si="43">AC77</f>
        <v>0</v>
      </c>
      <c r="AD75" s="167">
        <f t="shared" ref="AD75" si="44">AD77</f>
        <v>0</v>
      </c>
      <c r="AE75" s="167"/>
      <c r="AF75" s="66"/>
      <c r="AG75" s="106"/>
      <c r="AH75" s="39"/>
    </row>
    <row r="76" spans="1:43" s="38" customFormat="1" x14ac:dyDescent="0.25">
      <c r="A76" s="70" t="s">
        <v>25</v>
      </c>
      <c r="B76" s="152">
        <f>B77</f>
        <v>0</v>
      </c>
      <c r="C76" s="152">
        <f t="shared" ref="C76:AD76" si="45">C77</f>
        <v>0</v>
      </c>
      <c r="D76" s="152">
        <f t="shared" si="45"/>
        <v>0</v>
      </c>
      <c r="E76" s="152">
        <f t="shared" si="45"/>
        <v>0</v>
      </c>
      <c r="F76" s="71">
        <v>0</v>
      </c>
      <c r="G76" s="137">
        <v>0</v>
      </c>
      <c r="H76" s="152">
        <f>H77</f>
        <v>0</v>
      </c>
      <c r="I76" s="152">
        <f t="shared" si="45"/>
        <v>0</v>
      </c>
      <c r="J76" s="152">
        <f>J77</f>
        <v>0</v>
      </c>
      <c r="K76" s="152">
        <f t="shared" si="45"/>
        <v>0</v>
      </c>
      <c r="L76" s="152">
        <f t="shared" si="45"/>
        <v>0</v>
      </c>
      <c r="M76" s="152">
        <f t="shared" si="45"/>
        <v>0</v>
      </c>
      <c r="N76" s="152">
        <f t="shared" si="45"/>
        <v>0</v>
      </c>
      <c r="O76" s="152">
        <f t="shared" si="45"/>
        <v>0</v>
      </c>
      <c r="P76" s="152">
        <f t="shared" si="45"/>
        <v>0</v>
      </c>
      <c r="Q76" s="152">
        <f t="shared" si="45"/>
        <v>0</v>
      </c>
      <c r="R76" s="152">
        <f t="shared" si="45"/>
        <v>0</v>
      </c>
      <c r="S76" s="152">
        <f t="shared" si="45"/>
        <v>0</v>
      </c>
      <c r="T76" s="152">
        <f t="shared" si="45"/>
        <v>0</v>
      </c>
      <c r="U76" s="152">
        <f t="shared" si="45"/>
        <v>0</v>
      </c>
      <c r="V76" s="152">
        <f t="shared" si="45"/>
        <v>0</v>
      </c>
      <c r="W76" s="152">
        <f t="shared" si="45"/>
        <v>0</v>
      </c>
      <c r="X76" s="152">
        <f t="shared" si="45"/>
        <v>0</v>
      </c>
      <c r="Y76" s="152">
        <f t="shared" si="45"/>
        <v>0</v>
      </c>
      <c r="Z76" s="152">
        <f t="shared" si="45"/>
        <v>0</v>
      </c>
      <c r="AA76" s="152">
        <f t="shared" si="45"/>
        <v>0</v>
      </c>
      <c r="AB76" s="152">
        <f t="shared" si="45"/>
        <v>0</v>
      </c>
      <c r="AC76" s="152">
        <f t="shared" si="45"/>
        <v>0</v>
      </c>
      <c r="AD76" s="152">
        <f t="shared" si="45"/>
        <v>0</v>
      </c>
      <c r="AE76" s="186">
        <f t="shared" ref="AE76" si="46">AE77</f>
        <v>0</v>
      </c>
      <c r="AF76" s="42"/>
      <c r="AG76" s="106"/>
      <c r="AH76" s="39"/>
    </row>
    <row r="77" spans="1:43" s="38" customFormat="1" ht="22.5" customHeight="1" x14ac:dyDescent="0.25">
      <c r="A77" s="85" t="s">
        <v>103</v>
      </c>
      <c r="B77" s="147">
        <f>H77+J77+L77+N77+P77+R77+T77+V77+X77+Z77+AB77+AD77</f>
        <v>0</v>
      </c>
      <c r="C77" s="148">
        <f>H77+J77+L77+N77+P77+R77+T77+V77+X77+Z77+AB77</f>
        <v>0</v>
      </c>
      <c r="D77" s="148"/>
      <c r="E77" s="148">
        <f>I77+K77+M77+O77+Q77+S77+U77+W77+Y77+AA77+AC77+AE77</f>
        <v>0</v>
      </c>
      <c r="F77" s="80">
        <v>0</v>
      </c>
      <c r="G77" s="80">
        <v>0</v>
      </c>
      <c r="H77" s="178">
        <f t="shared" ref="H77:AD77" si="47">H79+H81</f>
        <v>0</v>
      </c>
      <c r="I77" s="178">
        <f t="shared" si="47"/>
        <v>0</v>
      </c>
      <c r="J77" s="178">
        <f t="shared" si="47"/>
        <v>0</v>
      </c>
      <c r="K77" s="178">
        <f t="shared" si="47"/>
        <v>0</v>
      </c>
      <c r="L77" s="178">
        <f t="shared" si="47"/>
        <v>0</v>
      </c>
      <c r="M77" s="178">
        <f t="shared" si="47"/>
        <v>0</v>
      </c>
      <c r="N77" s="178">
        <f t="shared" si="47"/>
        <v>0</v>
      </c>
      <c r="O77" s="178">
        <f t="shared" si="47"/>
        <v>0</v>
      </c>
      <c r="P77" s="178">
        <f t="shared" si="47"/>
        <v>0</v>
      </c>
      <c r="Q77" s="178">
        <f t="shared" si="47"/>
        <v>0</v>
      </c>
      <c r="R77" s="178">
        <f t="shared" si="47"/>
        <v>0</v>
      </c>
      <c r="S77" s="178">
        <f t="shared" si="47"/>
        <v>0</v>
      </c>
      <c r="T77" s="178">
        <f t="shared" si="47"/>
        <v>0</v>
      </c>
      <c r="U77" s="178">
        <f t="shared" si="47"/>
        <v>0</v>
      </c>
      <c r="V77" s="178">
        <f t="shared" si="47"/>
        <v>0</v>
      </c>
      <c r="W77" s="178">
        <f t="shared" si="47"/>
        <v>0</v>
      </c>
      <c r="X77" s="178">
        <f t="shared" si="47"/>
        <v>0</v>
      </c>
      <c r="Y77" s="178">
        <f t="shared" si="47"/>
        <v>0</v>
      </c>
      <c r="Z77" s="178">
        <f t="shared" si="47"/>
        <v>0</v>
      </c>
      <c r="AA77" s="178">
        <f t="shared" si="47"/>
        <v>0</v>
      </c>
      <c r="AB77" s="178">
        <f t="shared" si="47"/>
        <v>0</v>
      </c>
      <c r="AC77" s="178">
        <f t="shared" si="47"/>
        <v>0</v>
      </c>
      <c r="AD77" s="178">
        <f t="shared" si="47"/>
        <v>0</v>
      </c>
      <c r="AE77" s="178"/>
      <c r="AF77" s="83"/>
      <c r="AG77" s="106"/>
      <c r="AH77" s="39"/>
    </row>
    <row r="78" spans="1:43" s="38" customFormat="1" ht="73.5" customHeight="1" x14ac:dyDescent="0.25">
      <c r="A78" s="142" t="s">
        <v>114</v>
      </c>
      <c r="B78" s="162"/>
      <c r="C78" s="168"/>
      <c r="D78" s="168"/>
      <c r="E78" s="168"/>
      <c r="F78" s="81"/>
      <c r="G78" s="81"/>
      <c r="H78" s="168"/>
      <c r="I78" s="168"/>
      <c r="J78" s="168"/>
      <c r="K78" s="168"/>
      <c r="L78" s="168"/>
      <c r="M78" s="194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92"/>
      <c r="AF78" s="193" t="s">
        <v>140</v>
      </c>
      <c r="AG78" s="106"/>
      <c r="AH78" s="39"/>
    </row>
    <row r="79" spans="1:43" s="35" customFormat="1" ht="23.25" customHeight="1" x14ac:dyDescent="0.25">
      <c r="A79" s="77" t="s">
        <v>103</v>
      </c>
      <c r="B79" s="147">
        <f>H79+J79+L79+N79+P79+R79+T79+V79+X79+Z79+AB79+AD79</f>
        <v>0</v>
      </c>
      <c r="C79" s="148">
        <f>H79+J79+L79+N79+P79+R79+T79+V79</f>
        <v>0</v>
      </c>
      <c r="D79" s="148">
        <f>H79+J79+L79+N79+P79+R79+T79+V79</f>
        <v>0</v>
      </c>
      <c r="E79" s="148">
        <f>I79+K79+M79+O79+Q79+S79+U79+W79+Y79+AA79+AC79+AE79</f>
        <v>0</v>
      </c>
      <c r="F79" s="80">
        <v>0</v>
      </c>
      <c r="G79" s="80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48">
        <v>0</v>
      </c>
      <c r="S79" s="148">
        <v>0</v>
      </c>
      <c r="T79" s="148">
        <v>0</v>
      </c>
      <c r="U79" s="148">
        <v>0</v>
      </c>
      <c r="V79" s="148">
        <v>0</v>
      </c>
      <c r="W79" s="148">
        <v>0</v>
      </c>
      <c r="X79" s="148">
        <v>0</v>
      </c>
      <c r="Y79" s="148">
        <v>0</v>
      </c>
      <c r="Z79" s="148">
        <v>0</v>
      </c>
      <c r="AA79" s="148">
        <v>0</v>
      </c>
      <c r="AB79" s="148">
        <v>0</v>
      </c>
      <c r="AC79" s="148">
        <v>0</v>
      </c>
      <c r="AD79" s="148">
        <v>0</v>
      </c>
      <c r="AE79" s="178">
        <v>0</v>
      </c>
      <c r="AF79" s="83"/>
      <c r="AG79" s="106"/>
      <c r="AH79" s="36"/>
    </row>
    <row r="80" spans="1:43" s="38" customFormat="1" ht="176.25" customHeight="1" x14ac:dyDescent="0.25">
      <c r="A80" s="142" t="s">
        <v>115</v>
      </c>
      <c r="B80" s="162"/>
      <c r="C80" s="168"/>
      <c r="D80" s="168"/>
      <c r="E80" s="168"/>
      <c r="F80" s="81"/>
      <c r="G80" s="81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92"/>
      <c r="AF80" s="199" t="s">
        <v>146</v>
      </c>
      <c r="AG80" s="106"/>
      <c r="AH80" s="39"/>
    </row>
    <row r="81" spans="1:43" s="35" customFormat="1" ht="23.25" customHeight="1" x14ac:dyDescent="0.25">
      <c r="A81" s="77" t="s">
        <v>103</v>
      </c>
      <c r="B81" s="147">
        <f>H81+J81+L81+N81+P81+R81+T81+V81+X81+Z81+AB81+AD81</f>
        <v>0</v>
      </c>
      <c r="C81" s="148">
        <f>H81+J81+L81+N81+P81+R81+T81+V81</f>
        <v>0</v>
      </c>
      <c r="D81" s="148">
        <f>H81+J81+L81+N81+P81+R81+T81+V81</f>
        <v>0</v>
      </c>
      <c r="E81" s="148">
        <f>I81+K81+M81+O81+Q81+S81+U81+W81+Y81+AA81+AC81+AE81</f>
        <v>0</v>
      </c>
      <c r="F81" s="80"/>
      <c r="G81" s="80"/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8">
        <v>0</v>
      </c>
      <c r="Z81" s="148">
        <v>0</v>
      </c>
      <c r="AA81" s="148">
        <v>0</v>
      </c>
      <c r="AB81" s="148">
        <v>0</v>
      </c>
      <c r="AC81" s="148">
        <v>0</v>
      </c>
      <c r="AD81" s="148">
        <v>0</v>
      </c>
      <c r="AE81" s="178">
        <v>0</v>
      </c>
      <c r="AF81" s="83"/>
      <c r="AG81" s="106"/>
      <c r="AH81" s="36"/>
    </row>
    <row r="82" spans="1:43" s="38" customFormat="1" ht="63" customHeight="1" x14ac:dyDescent="0.25">
      <c r="A82" s="87" t="s">
        <v>116</v>
      </c>
      <c r="B82" s="169">
        <f>B83</f>
        <v>0</v>
      </c>
      <c r="C82" s="169">
        <f t="shared" ref="C82:AD82" si="48">C83</f>
        <v>0</v>
      </c>
      <c r="D82" s="169">
        <f t="shared" si="48"/>
        <v>0</v>
      </c>
      <c r="E82" s="169">
        <f t="shared" si="48"/>
        <v>0</v>
      </c>
      <c r="F82" s="138">
        <v>0</v>
      </c>
      <c r="G82" s="138">
        <v>0</v>
      </c>
      <c r="H82" s="169">
        <f>H83</f>
        <v>0</v>
      </c>
      <c r="I82" s="169">
        <f t="shared" si="48"/>
        <v>0</v>
      </c>
      <c r="J82" s="169">
        <f t="shared" si="48"/>
        <v>0</v>
      </c>
      <c r="K82" s="169">
        <f t="shared" si="48"/>
        <v>0</v>
      </c>
      <c r="L82" s="169">
        <f t="shared" si="48"/>
        <v>0</v>
      </c>
      <c r="M82" s="169">
        <f t="shared" si="48"/>
        <v>0</v>
      </c>
      <c r="N82" s="169">
        <f t="shared" si="48"/>
        <v>0</v>
      </c>
      <c r="O82" s="169">
        <f t="shared" si="48"/>
        <v>0</v>
      </c>
      <c r="P82" s="169">
        <f t="shared" si="48"/>
        <v>0</v>
      </c>
      <c r="Q82" s="169">
        <f t="shared" si="48"/>
        <v>0</v>
      </c>
      <c r="R82" s="169">
        <f t="shared" si="48"/>
        <v>0</v>
      </c>
      <c r="S82" s="169">
        <f t="shared" si="48"/>
        <v>0</v>
      </c>
      <c r="T82" s="169">
        <f t="shared" si="48"/>
        <v>0</v>
      </c>
      <c r="U82" s="169">
        <f t="shared" si="48"/>
        <v>0</v>
      </c>
      <c r="V82" s="169">
        <f t="shared" si="48"/>
        <v>0</v>
      </c>
      <c r="W82" s="169">
        <f t="shared" si="48"/>
        <v>0</v>
      </c>
      <c r="X82" s="169">
        <f t="shared" si="48"/>
        <v>0</v>
      </c>
      <c r="Y82" s="169">
        <f t="shared" si="48"/>
        <v>0</v>
      </c>
      <c r="Z82" s="169">
        <f t="shared" si="48"/>
        <v>0</v>
      </c>
      <c r="AA82" s="169">
        <f t="shared" si="48"/>
        <v>0</v>
      </c>
      <c r="AB82" s="169">
        <f t="shared" si="48"/>
        <v>0</v>
      </c>
      <c r="AC82" s="169">
        <f t="shared" si="48"/>
        <v>0</v>
      </c>
      <c r="AD82" s="169">
        <f t="shared" si="48"/>
        <v>0</v>
      </c>
      <c r="AE82" s="189"/>
      <c r="AF82" s="43"/>
      <c r="AG82" s="106"/>
      <c r="AH82" s="39"/>
    </row>
    <row r="83" spans="1:43" s="65" customFormat="1" ht="99" customHeight="1" x14ac:dyDescent="0.25">
      <c r="A83" s="84" t="s">
        <v>123</v>
      </c>
      <c r="B83" s="167">
        <f>B84</f>
        <v>0</v>
      </c>
      <c r="C83" s="167">
        <f t="shared" ref="C83" si="49">C84</f>
        <v>0</v>
      </c>
      <c r="D83" s="167">
        <f>D84</f>
        <v>0</v>
      </c>
      <c r="E83" s="167">
        <f t="shared" ref="E83" si="50">E84</f>
        <v>0</v>
      </c>
      <c r="F83" s="128">
        <v>0</v>
      </c>
      <c r="G83" s="128">
        <v>0</v>
      </c>
      <c r="H83" s="167">
        <f t="shared" ref="H83" si="51">H84</f>
        <v>0</v>
      </c>
      <c r="I83" s="167">
        <f t="shared" ref="I83" si="52">I84</f>
        <v>0</v>
      </c>
      <c r="J83" s="167">
        <f t="shared" ref="J83" si="53">J84</f>
        <v>0</v>
      </c>
      <c r="K83" s="167">
        <f t="shared" ref="K83" si="54">K84</f>
        <v>0</v>
      </c>
      <c r="L83" s="167">
        <f t="shared" ref="L83" si="55">L84</f>
        <v>0</v>
      </c>
      <c r="M83" s="167">
        <f t="shared" ref="M83" si="56">M84</f>
        <v>0</v>
      </c>
      <c r="N83" s="167">
        <f t="shared" ref="N83" si="57">N84</f>
        <v>0</v>
      </c>
      <c r="O83" s="167">
        <f t="shared" ref="O83" si="58">O84</f>
        <v>0</v>
      </c>
      <c r="P83" s="167">
        <f t="shared" ref="P83" si="59">P84</f>
        <v>0</v>
      </c>
      <c r="Q83" s="167">
        <f t="shared" ref="Q83" si="60">Q84</f>
        <v>0</v>
      </c>
      <c r="R83" s="167">
        <f t="shared" ref="R83" si="61">R84</f>
        <v>0</v>
      </c>
      <c r="S83" s="167">
        <f t="shared" ref="S83" si="62">S84</f>
        <v>0</v>
      </c>
      <c r="T83" s="167">
        <f t="shared" ref="T83" si="63">T84</f>
        <v>0</v>
      </c>
      <c r="U83" s="167">
        <f t="shared" ref="U83" si="64">U84</f>
        <v>0</v>
      </c>
      <c r="V83" s="167">
        <f t="shared" ref="V83" si="65">V84</f>
        <v>0</v>
      </c>
      <c r="W83" s="167">
        <f t="shared" ref="W83" si="66">W84</f>
        <v>0</v>
      </c>
      <c r="X83" s="167">
        <f t="shared" ref="X83" si="67">X84</f>
        <v>0</v>
      </c>
      <c r="Y83" s="167">
        <f t="shared" ref="Y83" si="68">Y84</f>
        <v>0</v>
      </c>
      <c r="Z83" s="167">
        <f t="shared" ref="Z83" si="69">Z84</f>
        <v>0</v>
      </c>
      <c r="AA83" s="167">
        <f t="shared" ref="AA83" si="70">AA84</f>
        <v>0</v>
      </c>
      <c r="AB83" s="167">
        <f t="shared" ref="AB83" si="71">AB84</f>
        <v>0</v>
      </c>
      <c r="AC83" s="167">
        <f t="shared" ref="AC83" si="72">AC84</f>
        <v>0</v>
      </c>
      <c r="AD83" s="167">
        <f t="shared" ref="AD83" si="73">AD84</f>
        <v>0</v>
      </c>
      <c r="AE83" s="191"/>
      <c r="AF83" s="193" t="s">
        <v>139</v>
      </c>
      <c r="AG83" s="106"/>
      <c r="AH83" s="39"/>
      <c r="AI83" s="38"/>
      <c r="AJ83" s="38"/>
      <c r="AK83" s="38"/>
      <c r="AL83" s="38"/>
      <c r="AM83" s="38"/>
      <c r="AN83" s="38"/>
      <c r="AO83" s="38"/>
      <c r="AP83" s="38"/>
      <c r="AQ83" s="38"/>
    </row>
    <row r="84" spans="1:43" s="65" customFormat="1" ht="24.75" customHeight="1" x14ac:dyDescent="0.25">
      <c r="A84" s="88" t="s">
        <v>102</v>
      </c>
      <c r="B84" s="145">
        <f>H84+J84+L84+N84+P84+R84+T84+V84+X84+Z84+AB84+AD84</f>
        <v>0</v>
      </c>
      <c r="C84" s="146">
        <f>H84+J84+L84+N84+P84+R84+T84+V84+X84+Z84+AB84</f>
        <v>0</v>
      </c>
      <c r="D84" s="146"/>
      <c r="E84" s="146">
        <f>I84+K84+M84+O84+Q84+S84+U84+W84+Y84+AA84+AC84+AE84</f>
        <v>0</v>
      </c>
      <c r="F84" s="76">
        <v>0</v>
      </c>
      <c r="G84" s="76">
        <v>0</v>
      </c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66"/>
      <c r="AG84" s="106"/>
      <c r="AH84" s="39"/>
      <c r="AI84" s="38"/>
      <c r="AJ84" s="38"/>
      <c r="AK84" s="38"/>
      <c r="AL84" s="38"/>
      <c r="AM84" s="38"/>
      <c r="AN84" s="38"/>
      <c r="AO84" s="38"/>
      <c r="AP84" s="38"/>
      <c r="AQ84" s="38"/>
    </row>
    <row r="85" spans="1:43" s="45" customFormat="1" ht="25.5" customHeight="1" x14ac:dyDescent="0.25">
      <c r="A85" s="70" t="s">
        <v>104</v>
      </c>
      <c r="B85" s="152">
        <f>B86+B87</f>
        <v>24979.698210000002</v>
      </c>
      <c r="C85" s="152">
        <f>C86+C87</f>
        <v>1644.38447</v>
      </c>
      <c r="D85" s="152">
        <f>D86+D87</f>
        <v>1579.9331499999998</v>
      </c>
      <c r="E85" s="152">
        <f t="shared" ref="E85:AE85" si="74">E86+E87</f>
        <v>1130.6776299999999</v>
      </c>
      <c r="F85" s="71">
        <f t="shared" ref="F85:F87" si="75">E85/B85</f>
        <v>4.5263862697402853E-2</v>
      </c>
      <c r="G85" s="71">
        <f t="shared" ref="G85:G87" si="76">E85/C85</f>
        <v>0.68759931185679457</v>
      </c>
      <c r="H85" s="152">
        <f t="shared" si="74"/>
        <v>661.25452000000007</v>
      </c>
      <c r="I85" s="152">
        <f t="shared" si="74"/>
        <v>501.40995000000004</v>
      </c>
      <c r="J85" s="152">
        <f t="shared" si="74"/>
        <v>983.12995000000001</v>
      </c>
      <c r="K85" s="152">
        <f t="shared" si="74"/>
        <v>629.26767999999993</v>
      </c>
      <c r="L85" s="152">
        <f t="shared" si="74"/>
        <v>1256.7906899999998</v>
      </c>
      <c r="M85" s="152">
        <f t="shared" si="74"/>
        <v>0</v>
      </c>
      <c r="N85" s="152">
        <f t="shared" si="74"/>
        <v>948.86248000000001</v>
      </c>
      <c r="O85" s="152">
        <f t="shared" si="74"/>
        <v>0</v>
      </c>
      <c r="P85" s="152">
        <f t="shared" si="74"/>
        <v>983.80530999999996</v>
      </c>
      <c r="Q85" s="152">
        <f t="shared" si="74"/>
        <v>0</v>
      </c>
      <c r="R85" s="152">
        <f t="shared" si="74"/>
        <v>5495.0642200000002</v>
      </c>
      <c r="S85" s="152">
        <f t="shared" si="74"/>
        <v>0</v>
      </c>
      <c r="T85" s="152">
        <f t="shared" si="74"/>
        <v>5299.5968300000004</v>
      </c>
      <c r="U85" s="152">
        <f t="shared" si="74"/>
        <v>0</v>
      </c>
      <c r="V85" s="152">
        <f t="shared" si="74"/>
        <v>5438.1927599999999</v>
      </c>
      <c r="W85" s="152">
        <f t="shared" si="74"/>
        <v>0</v>
      </c>
      <c r="X85" s="152">
        <f t="shared" si="74"/>
        <v>1358.8099299999999</v>
      </c>
      <c r="Y85" s="152">
        <f t="shared" si="74"/>
        <v>0</v>
      </c>
      <c r="Z85" s="152">
        <f t="shared" si="74"/>
        <v>1223.2123900000001</v>
      </c>
      <c r="AA85" s="152">
        <f t="shared" si="74"/>
        <v>0</v>
      </c>
      <c r="AB85" s="152">
        <f t="shared" si="74"/>
        <v>680.59103000000005</v>
      </c>
      <c r="AC85" s="152">
        <f t="shared" si="74"/>
        <v>0</v>
      </c>
      <c r="AD85" s="152">
        <f t="shared" si="74"/>
        <v>650.38810000000001</v>
      </c>
      <c r="AE85" s="152">
        <f t="shared" si="74"/>
        <v>0</v>
      </c>
      <c r="AF85" s="44"/>
      <c r="AG85" s="106"/>
      <c r="AH85" s="46"/>
    </row>
    <row r="86" spans="1:43" s="38" customFormat="1" ht="24" customHeight="1" x14ac:dyDescent="0.25">
      <c r="A86" s="73" t="s">
        <v>102</v>
      </c>
      <c r="B86" s="145">
        <f>B10+B74</f>
        <v>6643.2000000000007</v>
      </c>
      <c r="C86" s="145">
        <f>C10+C74+C84</f>
        <v>860.8513200000001</v>
      </c>
      <c r="D86" s="145">
        <f>D10+D74+D84</f>
        <v>796.4</v>
      </c>
      <c r="E86" s="145">
        <f>E10+E74+E84</f>
        <v>771.75135</v>
      </c>
      <c r="F86" s="136">
        <f t="shared" si="75"/>
        <v>0.11617162662572253</v>
      </c>
      <c r="G86" s="136">
        <f t="shared" si="76"/>
        <v>0.89649784123000464</v>
      </c>
      <c r="H86" s="145">
        <f t="shared" ref="H86:AE86" si="77">H10+H74</f>
        <v>549.18630000000007</v>
      </c>
      <c r="I86" s="145">
        <f t="shared" si="77"/>
        <v>501.40995000000004</v>
      </c>
      <c r="J86" s="145">
        <f t="shared" si="77"/>
        <v>311.66501999999997</v>
      </c>
      <c r="K86" s="145">
        <f t="shared" si="77"/>
        <v>270.34140000000002</v>
      </c>
      <c r="L86" s="145">
        <f t="shared" si="77"/>
        <v>211.11901999999998</v>
      </c>
      <c r="M86" s="145">
        <f t="shared" si="77"/>
        <v>0</v>
      </c>
      <c r="N86" s="145">
        <f t="shared" si="77"/>
        <v>382.59002000000004</v>
      </c>
      <c r="O86" s="145">
        <f t="shared" si="77"/>
        <v>0</v>
      </c>
      <c r="P86" s="145">
        <f t="shared" si="77"/>
        <v>344.14102000000003</v>
      </c>
      <c r="Q86" s="145">
        <f t="shared" si="77"/>
        <v>0</v>
      </c>
      <c r="R86" s="145">
        <f t="shared" si="77"/>
        <v>547.59801999999991</v>
      </c>
      <c r="S86" s="145">
        <f t="shared" si="77"/>
        <v>0</v>
      </c>
      <c r="T86" s="145">
        <f t="shared" si="77"/>
        <v>1095.89203</v>
      </c>
      <c r="U86" s="145">
        <f t="shared" si="77"/>
        <v>0</v>
      </c>
      <c r="V86" s="145">
        <f t="shared" si="77"/>
        <v>1683.8020300000001</v>
      </c>
      <c r="W86" s="145">
        <f t="shared" si="77"/>
        <v>0</v>
      </c>
      <c r="X86" s="145">
        <f t="shared" si="77"/>
        <v>490.12901999999997</v>
      </c>
      <c r="Y86" s="145">
        <f t="shared" si="77"/>
        <v>0</v>
      </c>
      <c r="Z86" s="145">
        <f t="shared" si="77"/>
        <v>411.76602000000003</v>
      </c>
      <c r="AA86" s="145">
        <f t="shared" si="77"/>
        <v>0</v>
      </c>
      <c r="AB86" s="145">
        <f t="shared" si="77"/>
        <v>210.79202000000001</v>
      </c>
      <c r="AC86" s="145">
        <f t="shared" si="77"/>
        <v>0</v>
      </c>
      <c r="AD86" s="145">
        <f t="shared" si="77"/>
        <v>404.51947999999999</v>
      </c>
      <c r="AE86" s="145">
        <f t="shared" si="77"/>
        <v>0</v>
      </c>
      <c r="AF86" s="74"/>
      <c r="AG86" s="106"/>
      <c r="AH86" s="39"/>
    </row>
    <row r="87" spans="1:43" s="38" customFormat="1" ht="27.75" customHeight="1" x14ac:dyDescent="0.25">
      <c r="A87" s="77" t="s">
        <v>103</v>
      </c>
      <c r="B87" s="147">
        <f>B11+B72</f>
        <v>18336.498210000002</v>
      </c>
      <c r="C87" s="147">
        <f>C11+C72</f>
        <v>783.53314999999998</v>
      </c>
      <c r="D87" s="147">
        <f>D11+D72</f>
        <v>783.53314999999998</v>
      </c>
      <c r="E87" s="147">
        <f>E11+E72</f>
        <v>358.92627999999996</v>
      </c>
      <c r="F87" s="133">
        <f t="shared" si="75"/>
        <v>1.9574417966253543E-2</v>
      </c>
      <c r="G87" s="133">
        <f t="shared" si="76"/>
        <v>0.45808691055381634</v>
      </c>
      <c r="H87" s="147">
        <f t="shared" ref="H87:AE87" si="78">H11+H72</f>
        <v>112.06822000000001</v>
      </c>
      <c r="I87" s="147">
        <f t="shared" si="78"/>
        <v>0</v>
      </c>
      <c r="J87" s="147">
        <f t="shared" si="78"/>
        <v>671.46492999999998</v>
      </c>
      <c r="K87" s="147">
        <f t="shared" si="78"/>
        <v>358.92627999999996</v>
      </c>
      <c r="L87" s="147">
        <f t="shared" si="78"/>
        <v>1045.6716699999999</v>
      </c>
      <c r="M87" s="147">
        <f t="shared" si="78"/>
        <v>0</v>
      </c>
      <c r="N87" s="147">
        <f t="shared" si="78"/>
        <v>566.27245999999991</v>
      </c>
      <c r="O87" s="147">
        <f t="shared" si="78"/>
        <v>0</v>
      </c>
      <c r="P87" s="147">
        <f t="shared" si="78"/>
        <v>639.66428999999994</v>
      </c>
      <c r="Q87" s="147">
        <f t="shared" si="78"/>
        <v>0</v>
      </c>
      <c r="R87" s="147">
        <f t="shared" si="78"/>
        <v>4947.4661999999998</v>
      </c>
      <c r="S87" s="147">
        <f t="shared" si="78"/>
        <v>0</v>
      </c>
      <c r="T87" s="147">
        <f t="shared" si="78"/>
        <v>4203.7048000000004</v>
      </c>
      <c r="U87" s="147">
        <f t="shared" si="78"/>
        <v>0</v>
      </c>
      <c r="V87" s="147">
        <f t="shared" si="78"/>
        <v>3754.3907300000001</v>
      </c>
      <c r="W87" s="147">
        <f t="shared" si="78"/>
        <v>0</v>
      </c>
      <c r="X87" s="147">
        <f t="shared" si="78"/>
        <v>868.68090999999993</v>
      </c>
      <c r="Y87" s="147">
        <f t="shared" si="78"/>
        <v>0</v>
      </c>
      <c r="Z87" s="147">
        <f t="shared" si="78"/>
        <v>811.44637</v>
      </c>
      <c r="AA87" s="147">
        <f t="shared" si="78"/>
        <v>0</v>
      </c>
      <c r="AB87" s="147">
        <f t="shared" si="78"/>
        <v>469.79901000000001</v>
      </c>
      <c r="AC87" s="147">
        <f t="shared" si="78"/>
        <v>0</v>
      </c>
      <c r="AD87" s="147">
        <f t="shared" si="78"/>
        <v>245.86861999999999</v>
      </c>
      <c r="AE87" s="147">
        <f t="shared" si="78"/>
        <v>0</v>
      </c>
      <c r="AF87" s="78"/>
      <c r="AG87" s="106"/>
      <c r="AH87" s="39"/>
    </row>
    <row r="88" spans="1:43" s="38" customFormat="1" x14ac:dyDescent="0.3">
      <c r="A88" s="47"/>
      <c r="B88" s="47"/>
      <c r="C88" s="48"/>
      <c r="D88" s="48"/>
      <c r="E88" s="49"/>
      <c r="F88" s="49"/>
      <c r="G88" s="49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1"/>
      <c r="AH88" s="39"/>
    </row>
    <row r="89" spans="1:43" s="38" customFormat="1" ht="64.5" customHeight="1" x14ac:dyDescent="0.3">
      <c r="A89" s="47" t="s">
        <v>105</v>
      </c>
      <c r="B89" s="57"/>
      <c r="C89" s="62"/>
      <c r="D89" s="62"/>
      <c r="E89" s="49"/>
      <c r="F89" s="49"/>
      <c r="G89" s="49"/>
      <c r="H89" s="230" t="s">
        <v>124</v>
      </c>
      <c r="I89" s="230"/>
      <c r="J89" s="230"/>
      <c r="K89" s="50"/>
      <c r="L89" s="50"/>
      <c r="M89" s="50"/>
      <c r="N89" s="50"/>
      <c r="O89" s="50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50"/>
      <c r="AD89" s="50"/>
      <c r="AE89" s="50"/>
      <c r="AF89" s="51"/>
      <c r="AH89" s="39"/>
    </row>
    <row r="90" spans="1:43" ht="15.75" customHeight="1" x14ac:dyDescent="0.3">
      <c r="B90" s="60" t="s">
        <v>106</v>
      </c>
      <c r="D90" s="231" t="s">
        <v>107</v>
      </c>
      <c r="E90" s="231"/>
      <c r="F90" s="231"/>
      <c r="G90" s="63"/>
      <c r="H90" s="232" t="s">
        <v>107</v>
      </c>
      <c r="I90" s="232"/>
      <c r="J90" s="232"/>
      <c r="M90" s="35"/>
      <c r="N90" s="35"/>
      <c r="P90" s="234"/>
      <c r="Q90" s="234"/>
      <c r="R90" s="234"/>
      <c r="S90" s="234"/>
      <c r="T90" s="234"/>
      <c r="U90" s="53"/>
      <c r="AA90" s="57"/>
      <c r="AB90" s="61"/>
      <c r="AC90" s="61"/>
      <c r="AD90" s="54"/>
    </row>
    <row r="91" spans="1:43" ht="15.75" customHeight="1" x14ac:dyDescent="0.3">
      <c r="A91" s="53"/>
      <c r="B91" s="52"/>
      <c r="E91" s="53"/>
      <c r="F91" s="54"/>
      <c r="G91" s="54"/>
      <c r="H91" s="55"/>
      <c r="I91" s="56"/>
      <c r="M91" s="35"/>
      <c r="N91" s="35"/>
      <c r="P91" s="234"/>
      <c r="Q91" s="234"/>
      <c r="R91" s="234"/>
      <c r="S91" s="234"/>
      <c r="T91" s="234"/>
      <c r="U91" s="53"/>
      <c r="V91" s="20"/>
      <c r="W91" s="20"/>
      <c r="X91" s="20"/>
      <c r="Y91" s="20"/>
      <c r="AA91" s="20"/>
      <c r="AB91" s="35"/>
      <c r="AC91" s="61"/>
      <c r="AD91" s="54"/>
      <c r="AE91" s="20"/>
      <c r="AF91" s="19"/>
      <c r="AG91" s="19"/>
      <c r="AH91" s="58"/>
      <c r="AI91" s="19"/>
      <c r="AJ91" s="19"/>
      <c r="AK91" s="19"/>
      <c r="AL91" s="19"/>
      <c r="AM91" s="19"/>
      <c r="AN91" s="19"/>
      <c r="AO91" s="19"/>
      <c r="AP91" s="19"/>
      <c r="AQ91" s="18"/>
    </row>
    <row r="92" spans="1:43" ht="18.75" customHeight="1" x14ac:dyDescent="0.25">
      <c r="A92" s="239" t="s">
        <v>108</v>
      </c>
      <c r="B92" s="239"/>
      <c r="C92" s="239"/>
      <c r="D92" s="239"/>
      <c r="E92" s="239"/>
      <c r="F92" s="239"/>
      <c r="G92" s="239"/>
      <c r="H92" s="239"/>
      <c r="U92" s="59"/>
      <c r="Y92" s="59"/>
    </row>
    <row r="93" spans="1:43" ht="15.75" customHeight="1" x14ac:dyDescent="0.25">
      <c r="A93" s="18" t="s">
        <v>109</v>
      </c>
    </row>
    <row r="94" spans="1:43" ht="15.75" customHeight="1" x14ac:dyDescent="0.25">
      <c r="A94" s="67"/>
    </row>
    <row r="95" spans="1:43" ht="15.75" customHeight="1" x14ac:dyDescent="0.25"/>
    <row r="96" spans="1:43" ht="15.75" customHeight="1" x14ac:dyDescent="0.25"/>
    <row r="97" spans="6:7" ht="15.75" customHeight="1" x14ac:dyDescent="0.25">
      <c r="F97" s="20"/>
      <c r="G97" s="20"/>
    </row>
    <row r="98" spans="6:7" ht="15.75" customHeight="1" x14ac:dyDescent="0.25"/>
  </sheetData>
  <mergeCells count="33">
    <mergeCell ref="A2:AF2"/>
    <mergeCell ref="AD4:AE4"/>
    <mergeCell ref="AB4:AC4"/>
    <mergeCell ref="Z4:AA4"/>
    <mergeCell ref="X4:Y4"/>
    <mergeCell ref="V4:W4"/>
    <mergeCell ref="T4:U4"/>
    <mergeCell ref="R4:S4"/>
    <mergeCell ref="P4:Q4"/>
    <mergeCell ref="N4:O4"/>
    <mergeCell ref="L4:M4"/>
    <mergeCell ref="J4:K4"/>
    <mergeCell ref="H4:I4"/>
    <mergeCell ref="AB3:AD3"/>
    <mergeCell ref="F4:G4"/>
    <mergeCell ref="E4:E5"/>
    <mergeCell ref="A92:H92"/>
    <mergeCell ref="A4:A5"/>
    <mergeCell ref="B4:B5"/>
    <mergeCell ref="D4:D5"/>
    <mergeCell ref="C4:C5"/>
    <mergeCell ref="AF4:AF5"/>
    <mergeCell ref="AF12:AF15"/>
    <mergeCell ref="AF24:AF28"/>
    <mergeCell ref="AF16:AF23"/>
    <mergeCell ref="AF29:AF35"/>
    <mergeCell ref="AF43:AF52"/>
    <mergeCell ref="AF53:AF62"/>
    <mergeCell ref="H89:J89"/>
    <mergeCell ref="D90:F90"/>
    <mergeCell ref="H90:J90"/>
    <mergeCell ref="P89:AB89"/>
    <mergeCell ref="P90:T91"/>
  </mergeCells>
  <printOptions horizontalCentered="1"/>
  <pageMargins left="0" right="0" top="0.98425196850393704" bottom="0.1574803149606299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сетевой 2019</vt:lpstr>
      <vt:lpstr>'сетевой 2019'!Заголовки_для_печати</vt:lpstr>
      <vt:lpstr>'сетевой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2019-03-06T06:43:48Z</dcterms:modified>
</cp:coreProperties>
</file>