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ultsevaEV\Desktop\"/>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'2018'!$A$1:$AG$76</definedName>
  </definedNames>
  <calcPr calcId="152511"/>
</workbook>
</file>

<file path=xl/calcChain.xml><?xml version="1.0" encoding="utf-8"?>
<calcChain xmlns="http://schemas.openxmlformats.org/spreadsheetml/2006/main">
  <c r="Y38" i="28" l="1"/>
  <c r="G45" i="28" l="1"/>
  <c r="C45" i="28"/>
  <c r="G23" i="28"/>
  <c r="G27" i="28"/>
  <c r="G19" i="28"/>
  <c r="E40" i="28" l="1"/>
  <c r="E41" i="28"/>
  <c r="C60" i="28" l="1"/>
  <c r="B60" i="28"/>
  <c r="AC60" i="28"/>
  <c r="C29" i="28"/>
  <c r="AA27" i="28"/>
  <c r="E51" i="28"/>
  <c r="D51" i="28" s="1"/>
  <c r="C21" i="28"/>
  <c r="B19" i="28"/>
  <c r="AC21" i="28"/>
  <c r="AC17" i="28"/>
  <c r="AC16" i="28"/>
  <c r="C11" i="28"/>
  <c r="AC11" i="28"/>
  <c r="AC65" i="28" l="1"/>
  <c r="AK8" i="28" l="1"/>
  <c r="AK10" i="28"/>
  <c r="AK12" i="28"/>
  <c r="AK14" i="28"/>
  <c r="AK15" i="28"/>
  <c r="AK18" i="28"/>
  <c r="AK20" i="28"/>
  <c r="AK22" i="28"/>
  <c r="AK24" i="28"/>
  <c r="AK25" i="28"/>
  <c r="AK26" i="28"/>
  <c r="AK34" i="28"/>
  <c r="AK35" i="28"/>
  <c r="AK39" i="28"/>
  <c r="AK40" i="28"/>
  <c r="AK41" i="28"/>
  <c r="AK42" i="28"/>
  <c r="AK46" i="28"/>
  <c r="AK49" i="28"/>
  <c r="AK51" i="28"/>
  <c r="AK54" i="28"/>
  <c r="AK55" i="28"/>
  <c r="AK59" i="28"/>
  <c r="AK64" i="28"/>
  <c r="AJ8" i="28"/>
  <c r="AJ10" i="28"/>
  <c r="AJ11" i="28"/>
  <c r="AJ12" i="28"/>
  <c r="AJ14" i="28"/>
  <c r="AJ15" i="28"/>
  <c r="AJ18" i="28"/>
  <c r="AJ20" i="28"/>
  <c r="AJ21" i="28"/>
  <c r="AJ22" i="28"/>
  <c r="AJ24" i="28"/>
  <c r="AJ25" i="28"/>
  <c r="AJ26" i="28"/>
  <c r="AJ29" i="28"/>
  <c r="AJ34" i="28"/>
  <c r="AJ35" i="28"/>
  <c r="AJ39" i="28"/>
  <c r="AJ40" i="28"/>
  <c r="AJ42" i="28"/>
  <c r="AJ46" i="28"/>
  <c r="AJ49" i="28"/>
  <c r="AJ54" i="28"/>
  <c r="AJ59" i="28"/>
  <c r="AJ60" i="28"/>
  <c r="AJ64" i="28"/>
  <c r="AI8" i="28"/>
  <c r="AI10" i="28"/>
  <c r="AI11" i="28"/>
  <c r="AI12" i="28"/>
  <c r="AI14" i="28"/>
  <c r="AI15" i="28"/>
  <c r="AI18" i="28"/>
  <c r="AI20" i="28"/>
  <c r="AI21" i="28"/>
  <c r="AI22" i="28"/>
  <c r="AI24" i="28"/>
  <c r="AI25" i="28"/>
  <c r="AI26" i="28"/>
  <c r="AI29" i="28"/>
  <c r="AI34" i="28"/>
  <c r="AI35" i="28"/>
  <c r="AI39" i="28"/>
  <c r="AI40" i="28"/>
  <c r="AI42" i="28"/>
  <c r="AI46" i="28"/>
  <c r="AI49" i="28"/>
  <c r="AI54" i="28"/>
  <c r="AI59" i="28"/>
  <c r="AI60" i="28"/>
  <c r="AI64" i="28"/>
  <c r="Y69" i="28"/>
  <c r="AB69" i="28"/>
  <c r="AC69" i="28"/>
  <c r="AD69" i="28"/>
  <c r="AE69" i="28"/>
  <c r="T72" i="28"/>
  <c r="U72" i="28"/>
  <c r="V72" i="28"/>
  <c r="W72" i="28"/>
  <c r="X72" i="28"/>
  <c r="Y72" i="28"/>
  <c r="Z72" i="28"/>
  <c r="AA72" i="28"/>
  <c r="AB72" i="28"/>
  <c r="AC72" i="28"/>
  <c r="AD72" i="28"/>
  <c r="AE72" i="28"/>
  <c r="I72" i="28"/>
  <c r="K72" i="28"/>
  <c r="M72" i="28"/>
  <c r="O72" i="28"/>
  <c r="P72" i="28"/>
  <c r="Q72" i="28"/>
  <c r="R72" i="28"/>
  <c r="S72" i="28"/>
  <c r="AK72" i="28" l="1"/>
  <c r="E72" i="28"/>
  <c r="D72" i="28" s="1"/>
  <c r="AD38" i="28"/>
  <c r="D46" i="28"/>
  <c r="D45" i="28" s="1"/>
  <c r="D44" i="28" s="1"/>
  <c r="D41" i="28" l="1"/>
  <c r="AA65" i="28"/>
  <c r="AA60" i="28" l="1"/>
  <c r="AA21" i="28"/>
  <c r="AA17" i="28"/>
  <c r="AA16" i="28"/>
  <c r="AA11" i="28"/>
  <c r="AA69" i="28" l="1"/>
  <c r="C49" i="28"/>
  <c r="T70" i="28" l="1"/>
  <c r="C25" i="28" l="1"/>
  <c r="C19" i="28"/>
  <c r="C46" i="28" l="1"/>
  <c r="C44" i="28" s="1"/>
  <c r="X16" i="28" l="1"/>
  <c r="X69" i="28" s="1"/>
  <c r="V16" i="28"/>
  <c r="AK73" i="28" l="1"/>
  <c r="AJ73" i="28"/>
  <c r="W65" i="28" l="1"/>
  <c r="W28" i="28" l="1"/>
  <c r="W16" i="28"/>
  <c r="W17" i="28"/>
  <c r="W11" i="28"/>
  <c r="W69" i="28" s="1"/>
  <c r="E46" i="28" l="1"/>
  <c r="G46" i="28" l="1"/>
  <c r="G44" i="28" s="1"/>
  <c r="E45" i="28"/>
  <c r="E44" i="28" s="1"/>
  <c r="E55" i="28"/>
  <c r="U65" i="28" l="1"/>
  <c r="U16" i="28" l="1"/>
  <c r="U60" i="28" l="1"/>
  <c r="U31" i="28"/>
  <c r="U29" i="28"/>
  <c r="U28" i="28"/>
  <c r="U21" i="28"/>
  <c r="U11" i="28"/>
  <c r="E29" i="28" l="1"/>
  <c r="G29" i="28" s="1"/>
  <c r="AK29" i="28"/>
  <c r="U69" i="28"/>
  <c r="T65" i="28"/>
  <c r="T69" i="28" s="1"/>
  <c r="V55" i="28"/>
  <c r="AD17" i="28"/>
  <c r="V17" i="28"/>
  <c r="T17" i="28"/>
  <c r="R17" i="28"/>
  <c r="C17" i="28" l="1"/>
  <c r="AJ17" i="28"/>
  <c r="AI17" i="28"/>
  <c r="R71" i="28"/>
  <c r="P16" i="28"/>
  <c r="R65" i="28"/>
  <c r="B29" i="28"/>
  <c r="F29" i="28" s="1"/>
  <c r="S30" i="28"/>
  <c r="AK30" i="28" s="1"/>
  <c r="T28" i="28"/>
  <c r="S28" i="28"/>
  <c r="S17" i="28"/>
  <c r="E17" i="28" s="1"/>
  <c r="D17" i="28" s="1"/>
  <c r="S21" i="28"/>
  <c r="S60" i="28"/>
  <c r="S11" i="28"/>
  <c r="S69" i="28" l="1"/>
  <c r="E28" i="28"/>
  <c r="AK28" i="28"/>
  <c r="AK17" i="28"/>
  <c r="E30" i="28"/>
  <c r="P51" i="28"/>
  <c r="C51" i="28" s="1"/>
  <c r="R30" i="28"/>
  <c r="P30" i="28"/>
  <c r="P27" i="28" s="1"/>
  <c r="R16" i="28"/>
  <c r="AJ51" i="28" l="1"/>
  <c r="AI51" i="28"/>
  <c r="E27" i="28"/>
  <c r="D30" i="28"/>
  <c r="B51" i="28"/>
  <c r="D29" i="28"/>
  <c r="R13" i="28"/>
  <c r="P71" i="28"/>
  <c r="N68" i="28"/>
  <c r="O68" i="28"/>
  <c r="P68" i="28"/>
  <c r="O67" i="28"/>
  <c r="P67" i="28"/>
  <c r="E53" i="28" l="1"/>
  <c r="Q65" i="28" l="1"/>
  <c r="G51" i="28" l="1"/>
  <c r="Q60" i="28"/>
  <c r="Q21" i="28"/>
  <c r="B11" i="28"/>
  <c r="Q11" i="28"/>
  <c r="Q69" i="28" l="1"/>
  <c r="E25" i="28"/>
  <c r="G25" i="28" s="1"/>
  <c r="D25" i="28"/>
  <c r="Q71" i="28" l="1"/>
  <c r="S71" i="28"/>
  <c r="U71" i="28"/>
  <c r="W71" i="28"/>
  <c r="Y71" i="28"/>
  <c r="AA71" i="28"/>
  <c r="AC71" i="28"/>
  <c r="AE71" i="28"/>
  <c r="AC48" i="28"/>
  <c r="AE48" i="28"/>
  <c r="W48" i="28"/>
  <c r="Y48" i="28"/>
  <c r="AA48" i="28"/>
  <c r="K48" i="28"/>
  <c r="O48" i="28"/>
  <c r="Q48" i="28"/>
  <c r="S48" i="28"/>
  <c r="U48" i="28"/>
  <c r="AD71" i="28"/>
  <c r="AB71" i="28"/>
  <c r="Z71" i="28"/>
  <c r="X71" i="28"/>
  <c r="V71" i="28"/>
  <c r="T71" i="28"/>
  <c r="AC13" i="28"/>
  <c r="AE13" i="28"/>
  <c r="S13" i="28"/>
  <c r="U13" i="28"/>
  <c r="W13" i="28"/>
  <c r="Y13" i="28"/>
  <c r="AA13" i="28"/>
  <c r="J13" i="28"/>
  <c r="K13" i="28"/>
  <c r="L13" i="28"/>
  <c r="N13" i="28"/>
  <c r="Q13" i="28"/>
  <c r="B17" i="28"/>
  <c r="B71" i="28" s="1"/>
  <c r="E71" i="28" l="1"/>
  <c r="D71" i="28" s="1"/>
  <c r="AK71" i="28"/>
  <c r="AI71" i="28"/>
  <c r="C71" i="28"/>
  <c r="AJ71" i="28"/>
  <c r="F17" i="28"/>
  <c r="F51" i="28"/>
  <c r="G17" i="28"/>
  <c r="AB31" i="28"/>
  <c r="AC31" i="28"/>
  <c r="AD31" i="28"/>
  <c r="AE31" i="28"/>
  <c r="V31" i="28"/>
  <c r="W31" i="28"/>
  <c r="X31" i="28"/>
  <c r="H31" i="28"/>
  <c r="I31" i="28"/>
  <c r="J31" i="28"/>
  <c r="K31" i="28"/>
  <c r="M31" i="28"/>
  <c r="N31" i="28"/>
  <c r="O31" i="28"/>
  <c r="Q31" i="28"/>
  <c r="B34" i="28"/>
  <c r="C34" i="28"/>
  <c r="D34" i="28" s="1"/>
  <c r="E34" i="28"/>
  <c r="B35" i="28"/>
  <c r="C35" i="28"/>
  <c r="D35" i="28" s="1"/>
  <c r="E35" i="28"/>
  <c r="O27" i="28"/>
  <c r="N27" i="28"/>
  <c r="M27" i="28"/>
  <c r="AK31" i="28" l="1"/>
  <c r="F34" i="28"/>
  <c r="F35" i="28"/>
  <c r="E31" i="28"/>
  <c r="F71" i="28"/>
  <c r="G71" i="28"/>
  <c r="G34" i="28"/>
  <c r="G35" i="28"/>
  <c r="O65" i="28"/>
  <c r="C54" i="28" l="1"/>
  <c r="O60" i="28"/>
  <c r="O21" i="28"/>
  <c r="O13" i="28"/>
  <c r="O11" i="28"/>
  <c r="N65" i="28"/>
  <c r="L50" i="28"/>
  <c r="L48" i="28" s="1"/>
  <c r="Z48" i="28"/>
  <c r="N50" i="28"/>
  <c r="O69" i="28" l="1"/>
  <c r="N48" i="28"/>
  <c r="N69" i="28"/>
  <c r="R28" i="28"/>
  <c r="C28" i="28" s="1"/>
  <c r="AJ28" i="28" l="1"/>
  <c r="AI28" i="28"/>
  <c r="R27" i="28"/>
  <c r="B28" i="28"/>
  <c r="F28" i="28" s="1"/>
  <c r="H68" i="28"/>
  <c r="AE70" i="28"/>
  <c r="H70" i="28"/>
  <c r="I70" i="28"/>
  <c r="J70" i="28"/>
  <c r="K70" i="28"/>
  <c r="M70" i="28"/>
  <c r="N70" i="28"/>
  <c r="O70" i="28"/>
  <c r="P70" i="28"/>
  <c r="Q70" i="28"/>
  <c r="R70" i="28"/>
  <c r="S70" i="28"/>
  <c r="U70" i="28"/>
  <c r="V70" i="28"/>
  <c r="W70" i="28"/>
  <c r="X70" i="28"/>
  <c r="Y70" i="28"/>
  <c r="AA70" i="28"/>
  <c r="AB70" i="28"/>
  <c r="AC70" i="28"/>
  <c r="AD70" i="28"/>
  <c r="I27" i="28"/>
  <c r="J27" i="28"/>
  <c r="K27" i="28"/>
  <c r="Q27" i="28"/>
  <c r="S27" i="28"/>
  <c r="U27" i="28"/>
  <c r="V27" i="28"/>
  <c r="W27" i="28"/>
  <c r="X27" i="28"/>
  <c r="Y27" i="28"/>
  <c r="AB27" i="28"/>
  <c r="AC27" i="28"/>
  <c r="AD27" i="28"/>
  <c r="AE27" i="28"/>
  <c r="H27" i="28"/>
  <c r="AK70" i="28" l="1"/>
  <c r="AK27" i="28"/>
  <c r="E70" i="28"/>
  <c r="D28" i="28"/>
  <c r="G28" i="28"/>
  <c r="L68" i="28"/>
  <c r="L30" i="28"/>
  <c r="Z30" i="28"/>
  <c r="Z69" i="28" s="1"/>
  <c r="C30" i="28" l="1"/>
  <c r="AJ30" i="28"/>
  <c r="AI30" i="28"/>
  <c r="B30" i="28"/>
  <c r="L27" i="28"/>
  <c r="Z27" i="28"/>
  <c r="L31" i="28"/>
  <c r="C31" i="28" s="1"/>
  <c r="T27" i="28"/>
  <c r="B27" i="28" l="1"/>
  <c r="B31" i="28"/>
  <c r="F31" i="28" s="1"/>
  <c r="AI31" i="28"/>
  <c r="AJ31" i="28"/>
  <c r="AJ27" i="28"/>
  <c r="AI27" i="28"/>
  <c r="G31" i="28"/>
  <c r="Z70" i="28"/>
  <c r="F27" i="28"/>
  <c r="F30" i="28"/>
  <c r="L70" i="28"/>
  <c r="D27" i="28"/>
  <c r="G30" i="28"/>
  <c r="C27" i="28"/>
  <c r="AI70" i="28" l="1"/>
  <c r="AJ70" i="28"/>
  <c r="C70" i="28"/>
  <c r="D70" i="28" s="1"/>
  <c r="D31" i="28"/>
  <c r="G70" i="28"/>
  <c r="B70" i="28"/>
  <c r="F70" i="28"/>
  <c r="M50" i="28"/>
  <c r="M48" i="28" s="1"/>
  <c r="M60" i="28"/>
  <c r="M13" i="28" l="1"/>
  <c r="M11" i="28"/>
  <c r="M65" i="28"/>
  <c r="M69" i="28" l="1"/>
  <c r="K65" i="28"/>
  <c r="K21" i="28" l="1"/>
  <c r="E21" i="28" s="1"/>
  <c r="D21" i="28" s="1"/>
  <c r="K11" i="28"/>
  <c r="E11" i="28" s="1"/>
  <c r="AK21" i="28" l="1"/>
  <c r="D11" i="28"/>
  <c r="K69" i="28"/>
  <c r="AK11" i="28"/>
  <c r="V65" i="28"/>
  <c r="V69" i="28" s="1"/>
  <c r="P65" i="28"/>
  <c r="P69" i="28" s="1"/>
  <c r="H65" i="28"/>
  <c r="C65" i="28" s="1"/>
  <c r="AD48" i="28"/>
  <c r="AB48" i="28"/>
  <c r="X48" i="28"/>
  <c r="V48" i="28"/>
  <c r="T48" i="28"/>
  <c r="R50" i="28"/>
  <c r="R69" i="28" s="1"/>
  <c r="P48" i="28"/>
  <c r="J50" i="28"/>
  <c r="H50" i="28"/>
  <c r="X13" i="28"/>
  <c r="H16" i="28"/>
  <c r="C16" i="28" l="1"/>
  <c r="B16" i="28"/>
  <c r="C50" i="28"/>
  <c r="J48" i="28"/>
  <c r="J69" i="28"/>
  <c r="AJ65" i="28"/>
  <c r="AI65" i="28"/>
  <c r="AJ16" i="28"/>
  <c r="AI16" i="28"/>
  <c r="H69" i="28"/>
  <c r="AI50" i="28"/>
  <c r="AJ50" i="28"/>
  <c r="R48" i="28"/>
  <c r="B50" i="28"/>
  <c r="P66" i="28"/>
  <c r="B48" i="28"/>
  <c r="C48" i="28"/>
  <c r="C47" i="28" s="1"/>
  <c r="C43" i="28" s="1"/>
  <c r="H48" i="28"/>
  <c r="H13" i="28"/>
  <c r="V13" i="28"/>
  <c r="Z13" i="28"/>
  <c r="AD13" i="28"/>
  <c r="P13" i="28"/>
  <c r="T13" i="28"/>
  <c r="AB13" i="28"/>
  <c r="B65" i="28"/>
  <c r="AI48" i="28" l="1"/>
  <c r="AJ48" i="28"/>
  <c r="AJ13" i="28"/>
  <c r="AI13" i="28"/>
  <c r="I65" i="28"/>
  <c r="E65" i="28" s="1"/>
  <c r="D65" i="28" l="1"/>
  <c r="AK65" i="28"/>
  <c r="I50" i="28"/>
  <c r="E50" i="28" s="1"/>
  <c r="D50" i="28" l="1"/>
  <c r="AK50" i="28"/>
  <c r="I48" i="28"/>
  <c r="AK48" i="28" s="1"/>
  <c r="I60" i="28"/>
  <c r="E60" i="28" s="1"/>
  <c r="I16" i="28"/>
  <c r="G50" i="28" l="1"/>
  <c r="D60" i="28"/>
  <c r="AK60" i="28"/>
  <c r="AK16" i="28"/>
  <c r="I69" i="28"/>
  <c r="AK69" i="28" s="1"/>
  <c r="E16" i="28"/>
  <c r="D16" i="28" s="1"/>
  <c r="E48" i="28"/>
  <c r="I13" i="28"/>
  <c r="AK13" i="28" s="1"/>
  <c r="E58" i="28" l="1"/>
  <c r="E69" i="28"/>
  <c r="D69" i="28" s="1"/>
  <c r="G48" i="28"/>
  <c r="G47" i="28" s="1"/>
  <c r="F48" i="28"/>
  <c r="E39" i="28"/>
  <c r="E42" i="28"/>
  <c r="E24" i="28"/>
  <c r="C23" i="28"/>
  <c r="E20" i="28"/>
  <c r="F21" i="28"/>
  <c r="E14" i="28"/>
  <c r="E15" i="28"/>
  <c r="C14" i="28"/>
  <c r="H67" i="28"/>
  <c r="L55" i="28"/>
  <c r="I45" i="28"/>
  <c r="J45" i="28"/>
  <c r="J44" i="28" s="1"/>
  <c r="K45" i="28"/>
  <c r="K44" i="28" s="1"/>
  <c r="L45" i="28"/>
  <c r="L44" i="28" s="1"/>
  <c r="M45" i="28"/>
  <c r="N45" i="28"/>
  <c r="N44" i="28" s="1"/>
  <c r="O45" i="28"/>
  <c r="O44" i="28" s="1"/>
  <c r="P45" i="28"/>
  <c r="P44" i="28" s="1"/>
  <c r="Q45" i="28"/>
  <c r="R45" i="28"/>
  <c r="R44" i="28" s="1"/>
  <c r="S45" i="28"/>
  <c r="S44" i="28" s="1"/>
  <c r="T45" i="28"/>
  <c r="T44" i="28" s="1"/>
  <c r="U45" i="28"/>
  <c r="V45" i="28"/>
  <c r="V44" i="28" s="1"/>
  <c r="W45" i="28"/>
  <c r="W44" i="28" s="1"/>
  <c r="X45" i="28"/>
  <c r="X44" i="28" s="1"/>
  <c r="Y45" i="28"/>
  <c r="Z45" i="28"/>
  <c r="Z44" i="28" s="1"/>
  <c r="AA45" i="28"/>
  <c r="AA44" i="28" s="1"/>
  <c r="AB45" i="28"/>
  <c r="AB44" i="28" s="1"/>
  <c r="AC45" i="28"/>
  <c r="AD45" i="28"/>
  <c r="AD44" i="28" s="1"/>
  <c r="AE45" i="28"/>
  <c r="AE44" i="28" s="1"/>
  <c r="H45" i="28"/>
  <c r="B46" i="28"/>
  <c r="N41" i="28"/>
  <c r="N72" i="28" s="1"/>
  <c r="L41" i="28"/>
  <c r="L72" i="28" s="1"/>
  <c r="J41" i="28"/>
  <c r="J72" i="28" s="1"/>
  <c r="H41" i="28"/>
  <c r="C41" i="28" l="1"/>
  <c r="AJ41" i="28"/>
  <c r="AI41" i="28"/>
  <c r="H72" i="28"/>
  <c r="AK45" i="28"/>
  <c r="AJ45" i="28"/>
  <c r="AI45" i="28"/>
  <c r="AJ55" i="28"/>
  <c r="AI55" i="28"/>
  <c r="L69" i="28"/>
  <c r="E13" i="28"/>
  <c r="D13" i="28" s="1"/>
  <c r="C55" i="28"/>
  <c r="G55" i="28" s="1"/>
  <c r="G53" i="28" s="1"/>
  <c r="B55" i="28"/>
  <c r="B45" i="28"/>
  <c r="B44" i="28" s="1"/>
  <c r="H38" i="28"/>
  <c r="F46" i="28"/>
  <c r="F44" i="28" s="1"/>
  <c r="AC44" i="28"/>
  <c r="Y44" i="28"/>
  <c r="U44" i="28"/>
  <c r="Q44" i="28"/>
  <c r="M44" i="28"/>
  <c r="H44" i="28"/>
  <c r="B41" i="28"/>
  <c r="F41" i="28" s="1"/>
  <c r="E19" i="28"/>
  <c r="F50" i="28"/>
  <c r="F47" i="28" s="1"/>
  <c r="F16" i="28"/>
  <c r="E9" i="28"/>
  <c r="D9" i="28" s="1"/>
  <c r="G11" i="28"/>
  <c r="I44" i="28"/>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AJ33" i="28" l="1"/>
  <c r="AI33" i="28"/>
  <c r="AI44" i="28"/>
  <c r="AJ44" i="28"/>
  <c r="AJ69" i="28"/>
  <c r="B69" i="28"/>
  <c r="AI69" i="28"/>
  <c r="C69" i="28"/>
  <c r="AG69" i="28" s="1"/>
  <c r="AJ72" i="28"/>
  <c r="AI72" i="28"/>
  <c r="B72" i="28"/>
  <c r="F72" i="28" s="1"/>
  <c r="C72" i="28"/>
  <c r="AK33" i="28"/>
  <c r="AK44" i="28"/>
  <c r="E7" i="28"/>
  <c r="H66" i="28"/>
  <c r="L32" i="28"/>
  <c r="B33" i="28"/>
  <c r="C33" i="28"/>
  <c r="D33" i="28" s="1"/>
  <c r="M32" i="28"/>
  <c r="AK32" i="28" s="1"/>
  <c r="E33" i="28"/>
  <c r="H37" i="28"/>
  <c r="E37" i="28"/>
  <c r="D38" i="28"/>
  <c r="D37" i="28" s="1"/>
  <c r="D36" i="28" s="1"/>
  <c r="G41" i="28"/>
  <c r="AG35" i="28"/>
  <c r="AG34" i="28"/>
  <c r="AI32" i="28" l="1"/>
  <c r="AJ32" i="28"/>
  <c r="G72" i="28"/>
  <c r="F69" i="28"/>
  <c r="E32" i="28"/>
  <c r="F33" i="28"/>
  <c r="G33" i="28"/>
  <c r="B32" i="28"/>
  <c r="C32" i="28"/>
  <c r="D32" i="28" s="1"/>
  <c r="AG33" i="28"/>
  <c r="E36" i="28"/>
  <c r="I68" i="28"/>
  <c r="J68" i="28"/>
  <c r="K68" i="28"/>
  <c r="M68" i="28"/>
  <c r="Q68" i="28"/>
  <c r="R68" i="28"/>
  <c r="S68" i="28"/>
  <c r="T68" i="28"/>
  <c r="U68" i="28"/>
  <c r="V68" i="28"/>
  <c r="W68" i="28"/>
  <c r="X68" i="28"/>
  <c r="Y68" i="28"/>
  <c r="Z68" i="28"/>
  <c r="AA68" i="28"/>
  <c r="AB68" i="28"/>
  <c r="AC68" i="28"/>
  <c r="AD68" i="28"/>
  <c r="AE68" i="28"/>
  <c r="I67" i="28"/>
  <c r="J67" i="28"/>
  <c r="K67" i="28"/>
  <c r="L67" i="28"/>
  <c r="L66" i="28" s="1"/>
  <c r="M67" i="28"/>
  <c r="N67" i="28"/>
  <c r="Q67" i="28"/>
  <c r="R67" i="28"/>
  <c r="S67" i="28"/>
  <c r="T67" i="28"/>
  <c r="U67" i="28"/>
  <c r="V67" i="28"/>
  <c r="W67" i="28"/>
  <c r="X67" i="28"/>
  <c r="Y67" i="28"/>
  <c r="Z67" i="28"/>
  <c r="AA67" i="28"/>
  <c r="AB67" i="28"/>
  <c r="AC67" i="28"/>
  <c r="AD67" i="28"/>
  <c r="AE67" i="28"/>
  <c r="D55" i="28"/>
  <c r="D53" i="28" s="1"/>
  <c r="D52" i="28" s="1"/>
  <c r="E54" i="28"/>
  <c r="D54" i="28"/>
  <c r="B54" i="28"/>
  <c r="AE53" i="28"/>
  <c r="AD53" i="28"/>
  <c r="AC53" i="28"/>
  <c r="AC52" i="28" s="1"/>
  <c r="AB53" i="28"/>
  <c r="AB52" i="28" s="1"/>
  <c r="AA53" i="28"/>
  <c r="Z53" i="28"/>
  <c r="Y53" i="28"/>
  <c r="Y52" i="28" s="1"/>
  <c r="X53" i="28"/>
  <c r="X52" i="28" s="1"/>
  <c r="W53" i="28"/>
  <c r="V53" i="28"/>
  <c r="V52" i="28" s="1"/>
  <c r="U53" i="28"/>
  <c r="U52" i="28" s="1"/>
  <c r="T53" i="28"/>
  <c r="S53" i="28"/>
  <c r="R53" i="28"/>
  <c r="Q53" i="28"/>
  <c r="Q52" i="28" s="1"/>
  <c r="P53" i="28"/>
  <c r="P52" i="28" s="1"/>
  <c r="O53" i="28"/>
  <c r="N53" i="28"/>
  <c r="N52" i="28" s="1"/>
  <c r="M53" i="28"/>
  <c r="M52" i="28" s="1"/>
  <c r="L53" i="28"/>
  <c r="L52" i="28" s="1"/>
  <c r="K53" i="28"/>
  <c r="K52" i="28" s="1"/>
  <c r="J53" i="28"/>
  <c r="J52" i="28" s="1"/>
  <c r="I53" i="28"/>
  <c r="AK53" i="28" s="1"/>
  <c r="H53" i="28"/>
  <c r="C53" i="28"/>
  <c r="C52" i="28" s="1"/>
  <c r="B53" i="28"/>
  <c r="B52" i="28" s="1"/>
  <c r="AE52" i="28"/>
  <c r="AD52" i="28"/>
  <c r="AA52" i="28"/>
  <c r="Z52" i="28"/>
  <c r="W52" i="28"/>
  <c r="T52" i="28"/>
  <c r="S52" i="28"/>
  <c r="R52" i="28"/>
  <c r="O52" i="28"/>
  <c r="V43" i="28"/>
  <c r="W43" i="28"/>
  <c r="X43" i="28"/>
  <c r="Y43" i="28"/>
  <c r="Z43" i="28"/>
  <c r="AA43" i="28"/>
  <c r="AB43" i="28"/>
  <c r="AC43" i="28"/>
  <c r="AD43" i="28"/>
  <c r="AE43" i="28"/>
  <c r="P43" i="28"/>
  <c r="Q43" i="28"/>
  <c r="R43" i="28"/>
  <c r="S43" i="28"/>
  <c r="T43" i="28"/>
  <c r="U43" i="28"/>
  <c r="J43" i="28"/>
  <c r="K43" i="28"/>
  <c r="L43" i="28"/>
  <c r="M43" i="28"/>
  <c r="N43" i="28"/>
  <c r="O43" i="28"/>
  <c r="AJ53" i="28" l="1"/>
  <c r="AI53" i="28"/>
  <c r="AK67" i="28"/>
  <c r="AI68" i="28"/>
  <c r="AJ68" i="28"/>
  <c r="AJ67" i="28"/>
  <c r="AI67" i="28"/>
  <c r="AK68" i="28"/>
  <c r="E68" i="28"/>
  <c r="C68" i="28"/>
  <c r="D68" i="28" s="1"/>
  <c r="C67" i="28"/>
  <c r="E67" i="28"/>
  <c r="G68" i="28"/>
  <c r="F32" i="28"/>
  <c r="AB66" i="28"/>
  <c r="AD66" i="28"/>
  <c r="Z66" i="28"/>
  <c r="X66" i="28"/>
  <c r="V66" i="28"/>
  <c r="T66" i="28"/>
  <c r="R66" i="28"/>
  <c r="N66" i="28"/>
  <c r="K66" i="28"/>
  <c r="I66" i="28"/>
  <c r="AE66" i="28"/>
  <c r="AC66" i="28"/>
  <c r="AA66" i="28"/>
  <c r="Y66" i="28"/>
  <c r="W66" i="28"/>
  <c r="U66" i="28"/>
  <c r="S66" i="28"/>
  <c r="Q66" i="28"/>
  <c r="O66" i="28"/>
  <c r="M66" i="28"/>
  <c r="J66" i="28"/>
  <c r="G32" i="28"/>
  <c r="H52" i="28"/>
  <c r="AG32" i="28"/>
  <c r="I43" i="28"/>
  <c r="AK43" i="28" s="1"/>
  <c r="B68" i="28"/>
  <c r="H47" i="28"/>
  <c r="H43" i="28"/>
  <c r="I52" i="28"/>
  <c r="AK52" i="28" s="1"/>
  <c r="F55" i="28"/>
  <c r="G60" i="28"/>
  <c r="F60" i="28"/>
  <c r="E52" i="28"/>
  <c r="F52" i="28" s="1"/>
  <c r="D23" i="28"/>
  <c r="L19" i="28"/>
  <c r="G21" i="28"/>
  <c r="G16" i="28"/>
  <c r="C9" i="28"/>
  <c r="E66" i="28" l="1"/>
  <c r="AJ52" i="28"/>
  <c r="AI52" i="28"/>
  <c r="AI66" i="28"/>
  <c r="AJ66" i="28"/>
  <c r="AJ43" i="28"/>
  <c r="AI43" i="28"/>
  <c r="AK66" i="28"/>
  <c r="G67" i="28"/>
  <c r="C66" i="28"/>
  <c r="D67" i="28"/>
  <c r="D66" i="28" s="1"/>
  <c r="F53" i="28"/>
  <c r="D48" i="28" l="1"/>
  <c r="D47" i="28" s="1"/>
  <c r="D43" i="28" s="1"/>
  <c r="AI73" i="28"/>
  <c r="F11" i="28" l="1"/>
  <c r="R9" i="28"/>
  <c r="B9" i="28" l="1"/>
  <c r="Z61" i="28"/>
  <c r="G65" i="28" l="1"/>
  <c r="F65" i="28" l="1"/>
  <c r="Y9"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7" i="28"/>
  <c r="Y36" i="28" s="1"/>
  <c r="Z38" i="28"/>
  <c r="Z37" i="28" s="1"/>
  <c r="Z36" i="28" s="1"/>
  <c r="AA38" i="28"/>
  <c r="AA37" i="28" s="1"/>
  <c r="AA36" i="28" s="1"/>
  <c r="AB38" i="28"/>
  <c r="AB37" i="28" s="1"/>
  <c r="AB36" i="28" s="1"/>
  <c r="AC38" i="28"/>
  <c r="AC37" i="28" s="1"/>
  <c r="AC36" i="28" s="1"/>
  <c r="AE38" i="28"/>
  <c r="E49" i="28"/>
  <c r="D49" i="28"/>
  <c r="B49" i="28"/>
  <c r="J47" i="28"/>
  <c r="L47" i="28"/>
  <c r="N47" i="28"/>
  <c r="P47" i="28"/>
  <c r="R47" i="28"/>
  <c r="T47" i="28"/>
  <c r="U47" i="28"/>
  <c r="W47" i="28"/>
  <c r="Y47" i="28"/>
  <c r="AA47" i="28"/>
  <c r="AC47" i="28"/>
  <c r="AE47" i="28"/>
  <c r="AK37" i="28" l="1"/>
  <c r="AK38" i="28"/>
  <c r="AJ38" i="28"/>
  <c r="AI38" i="28"/>
  <c r="K36" i="28"/>
  <c r="AK36" i="28" s="1"/>
  <c r="J37" i="28"/>
  <c r="E47" i="28"/>
  <c r="E43" i="28" s="1"/>
  <c r="E6" i="28" s="1"/>
  <c r="M47" i="28"/>
  <c r="B47" i="28"/>
  <c r="B43" i="28" s="1"/>
  <c r="AD47" i="28"/>
  <c r="AB47" i="28"/>
  <c r="Z47" i="28"/>
  <c r="X47" i="28"/>
  <c r="V47" i="28"/>
  <c r="S47" i="28"/>
  <c r="Q47" i="28"/>
  <c r="O47" i="28"/>
  <c r="K47" i="28"/>
  <c r="I47" i="28"/>
  <c r="AK47" i="28" s="1"/>
  <c r="AJ47" i="28" l="1"/>
  <c r="AI47" i="28"/>
  <c r="AJ37" i="28"/>
  <c r="J36" i="28"/>
  <c r="AD37" i="28"/>
  <c r="AI37" i="28" s="1"/>
  <c r="B38" i="28"/>
  <c r="F38" i="28" s="1"/>
  <c r="AJ36" i="28" l="1"/>
  <c r="AD36" i="28"/>
  <c r="AI36" i="28" s="1"/>
  <c r="B37" i="28"/>
  <c r="C37" i="28"/>
  <c r="AG8" i="28"/>
  <c r="AG10" i="28"/>
  <c r="AG12" i="28"/>
  <c r="AG18" i="28"/>
  <c r="AG20" i="28"/>
  <c r="AG22" i="28"/>
  <c r="AG24" i="28"/>
  <c r="AG26" i="28"/>
  <c r="AG59" i="28"/>
  <c r="AG64" i="28"/>
  <c r="B36" i="28" l="1"/>
  <c r="F36" i="28" s="1"/>
  <c r="F37" i="28"/>
  <c r="C36" i="28"/>
  <c r="G37" i="28"/>
  <c r="F45" i="28"/>
  <c r="Q63" i="28"/>
  <c r="Q58" i="28"/>
  <c r="Q57" i="28" s="1"/>
  <c r="Q56" i="28" s="1"/>
  <c r="Q9" i="28"/>
  <c r="G36" i="28" l="1"/>
  <c r="F43" i="28"/>
  <c r="G43" i="28"/>
  <c r="D19" i="28"/>
  <c r="AG11" i="28"/>
  <c r="AG65" i="28"/>
  <c r="AG60" i="28" l="1"/>
  <c r="C63" i="28" l="1"/>
  <c r="B25" i="28"/>
  <c r="F25" i="28" s="1"/>
  <c r="I9" i="28" l="1"/>
  <c r="J9" i="28"/>
  <c r="K9" i="28"/>
  <c r="L9" i="28"/>
  <c r="M9" i="28"/>
  <c r="N9" i="28"/>
  <c r="O9" i="28"/>
  <c r="P9" i="28"/>
  <c r="S9" i="28"/>
  <c r="T9" i="28"/>
  <c r="U9" i="28"/>
  <c r="V9" i="28"/>
  <c r="W9" i="28"/>
  <c r="X9" i="28"/>
  <c r="Z9" i="28"/>
  <c r="AA9" i="28"/>
  <c r="AB9" i="28"/>
  <c r="AC9" i="28"/>
  <c r="AD9" i="28"/>
  <c r="AE9" i="28"/>
  <c r="H9" i="28"/>
  <c r="AG28" i="28"/>
  <c r="AG30" i="28"/>
  <c r="AJ9" i="28" l="1"/>
  <c r="AI9" i="28"/>
  <c r="AK9" i="28"/>
  <c r="B67" i="28"/>
  <c r="B66" i="28" s="1"/>
  <c r="AG16" i="28"/>
  <c r="F67" i="28" l="1"/>
  <c r="F66" i="28"/>
  <c r="AG9" i="28"/>
  <c r="AG67" i="28"/>
  <c r="F9" i="28"/>
  <c r="G9" i="28"/>
  <c r="D63" i="28" l="1"/>
  <c r="I63" i="28"/>
  <c r="J63" i="28"/>
  <c r="K63" i="28"/>
  <c r="L63" i="28"/>
  <c r="M63" i="28"/>
  <c r="N63" i="28"/>
  <c r="O63" i="28"/>
  <c r="P63" i="28"/>
  <c r="R63" i="28"/>
  <c r="S63" i="28"/>
  <c r="T63" i="28"/>
  <c r="U63" i="28"/>
  <c r="V63" i="28"/>
  <c r="W63" i="28"/>
  <c r="X63" i="28"/>
  <c r="Y63" i="28"/>
  <c r="Z63" i="28"/>
  <c r="AA63" i="28"/>
  <c r="AB63" i="28"/>
  <c r="AC63" i="28"/>
  <c r="AD63" i="28"/>
  <c r="AE63" i="28"/>
  <c r="H63" i="28"/>
  <c r="AJ63" i="28" l="1"/>
  <c r="AI63" i="28"/>
  <c r="AK63" i="28"/>
  <c r="AG27" i="28"/>
  <c r="I19" i="28"/>
  <c r="J19" i="28"/>
  <c r="K19" i="28"/>
  <c r="M19" i="28"/>
  <c r="N19" i="28"/>
  <c r="O19" i="28"/>
  <c r="P19" i="28"/>
  <c r="Q19" i="28"/>
  <c r="R19" i="28"/>
  <c r="S19" i="28"/>
  <c r="T19" i="28"/>
  <c r="U19" i="28"/>
  <c r="V19" i="28"/>
  <c r="W19" i="28"/>
  <c r="X19" i="28"/>
  <c r="Y19" i="28"/>
  <c r="Z19" i="28"/>
  <c r="AA19" i="28"/>
  <c r="AB19" i="28"/>
  <c r="AC19" i="28"/>
  <c r="AD19" i="28"/>
  <c r="AE19" i="28"/>
  <c r="H19" i="28"/>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I58" i="28"/>
  <c r="J58" i="28"/>
  <c r="K58" i="28"/>
  <c r="K57" i="28" s="1"/>
  <c r="L58" i="28"/>
  <c r="M58" i="28"/>
  <c r="N58" i="28"/>
  <c r="O58" i="28"/>
  <c r="P58" i="28"/>
  <c r="R58" i="28"/>
  <c r="S58" i="28"/>
  <c r="T58" i="28"/>
  <c r="U58" i="28"/>
  <c r="V58" i="28"/>
  <c r="W58" i="28"/>
  <c r="X58" i="28"/>
  <c r="Y58" i="28"/>
  <c r="Z58" i="28"/>
  <c r="AA58" i="28"/>
  <c r="AB58" i="28"/>
  <c r="AC58" i="28"/>
  <c r="AD58" i="28"/>
  <c r="AE58" i="28"/>
  <c r="H58" i="28"/>
  <c r="C58" i="28"/>
  <c r="C57" i="28" s="1"/>
  <c r="C56" i="28" s="1"/>
  <c r="AI58" i="28" l="1"/>
  <c r="AJ58" i="28"/>
  <c r="AK58" i="28"/>
  <c r="AK23" i="28"/>
  <c r="AJ23" i="28"/>
  <c r="AI23" i="28"/>
  <c r="AJ19" i="28"/>
  <c r="AI19" i="28"/>
  <c r="AK19"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K7" i="28" l="1"/>
  <c r="AJ7" i="28"/>
  <c r="AI7" i="28"/>
  <c r="C7" i="28"/>
  <c r="C6" i="28" s="1"/>
  <c r="I6" i="28"/>
  <c r="AK6" i="28" s="1"/>
  <c r="H6" i="28"/>
  <c r="D14" i="28"/>
  <c r="B14" i="28"/>
  <c r="AI6" i="28" l="1"/>
  <c r="AJ6" i="28"/>
  <c r="B6" i="28"/>
  <c r="AG14" i="28"/>
  <c r="D58" i="28" l="1"/>
  <c r="D57" i="28" s="1"/>
  <c r="AG25" i="28"/>
  <c r="AG21" i="28"/>
  <c r="AG58" i="28" l="1"/>
  <c r="G58" i="28"/>
  <c r="F19" i="28"/>
  <c r="B58" i="28"/>
  <c r="F58" i="28" s="1"/>
  <c r="E63" i="28"/>
  <c r="G63" i="28" l="1"/>
  <c r="AG63" i="28"/>
  <c r="E62" i="28"/>
  <c r="AG23" i="28"/>
  <c r="F23" i="28"/>
  <c r="D15" i="28" l="1"/>
  <c r="C15" i="28"/>
  <c r="C13" i="28" s="1"/>
  <c r="B15" i="28"/>
  <c r="B13" i="28" s="1"/>
  <c r="F13" i="28" s="1"/>
  <c r="B7" i="28" l="1"/>
  <c r="F7" i="28" s="1"/>
  <c r="D7" i="28"/>
  <c r="D6" i="28" s="1"/>
  <c r="F6" i="28"/>
  <c r="AG15" i="28"/>
  <c r="B57" i="28"/>
  <c r="B56" i="28" s="1"/>
  <c r="G13" i="28" l="1"/>
  <c r="AG13" i="28"/>
  <c r="B63" i="28"/>
  <c r="B62" i="28" l="1"/>
  <c r="F63" i="28"/>
  <c r="F68" i="28"/>
  <c r="AG68" i="28"/>
  <c r="F62" i="28" l="1"/>
  <c r="B61" i="28"/>
  <c r="D56" i="28"/>
  <c r="D62" i="28" l="1"/>
  <c r="D61" i="28" s="1"/>
  <c r="G69" i="28" l="1"/>
  <c r="G66" i="28"/>
  <c r="K56" i="28"/>
  <c r="L57" i="28"/>
  <c r="L56" i="28" s="1"/>
  <c r="M57" i="28"/>
  <c r="M56" i="28" s="1"/>
  <c r="N57" i="28"/>
  <c r="N56" i="28" s="1"/>
  <c r="O57" i="28"/>
  <c r="O56" i="28" s="1"/>
  <c r="P57" i="28"/>
  <c r="P56" i="28" s="1"/>
  <c r="R57" i="28"/>
  <c r="R56" i="28" s="1"/>
  <c r="S57" i="28"/>
  <c r="S56" i="28" s="1"/>
  <c r="T57" i="28"/>
  <c r="T56" i="28" s="1"/>
  <c r="U57" i="28"/>
  <c r="U56" i="28" s="1"/>
  <c r="V57" i="28"/>
  <c r="V56" i="28" s="1"/>
  <c r="W57" i="28"/>
  <c r="W56" i="28" s="1"/>
  <c r="X57" i="28"/>
  <c r="X56" i="28" s="1"/>
  <c r="Z57" i="28"/>
  <c r="Z56" i="28" s="1"/>
  <c r="AA57" i="28"/>
  <c r="AA56" i="28" s="1"/>
  <c r="AB57" i="28"/>
  <c r="AB56" i="28" s="1"/>
  <c r="AC57" i="28"/>
  <c r="AC56" i="28" s="1"/>
  <c r="AD57" i="28"/>
  <c r="AD56" i="28" s="1"/>
  <c r="AE57" i="28"/>
  <c r="AE56" i="28" s="1"/>
  <c r="J57" i="28"/>
  <c r="J56" i="28" s="1"/>
  <c r="AG66" i="28" l="1"/>
  <c r="Y57" i="28"/>
  <c r="I57" i="28"/>
  <c r="AK57" i="28" l="1"/>
  <c r="Y56" i="28"/>
  <c r="I56" i="28"/>
  <c r="AK56" i="28" s="1"/>
  <c r="I62" i="28"/>
  <c r="I61" i="28" l="1"/>
  <c r="C62" i="28" l="1"/>
  <c r="G62" i="28" s="1"/>
  <c r="C61" i="28" l="1"/>
  <c r="H57" i="28"/>
  <c r="AJ57" i="28" l="1"/>
  <c r="AI57" i="28"/>
  <c r="H56" i="28"/>
  <c r="AJ56" i="28" l="1"/>
  <c r="AI56" i="28"/>
  <c r="J62" i="28"/>
  <c r="J61" i="28" s="1"/>
  <c r="L62" i="28"/>
  <c r="L61" i="28" s="1"/>
  <c r="M62" i="28"/>
  <c r="M61" i="28" s="1"/>
  <c r="N62" i="28"/>
  <c r="N61" i="28" s="1"/>
  <c r="O62" i="28"/>
  <c r="O61" i="28" s="1"/>
  <c r="P62" i="28"/>
  <c r="P61" i="28" s="1"/>
  <c r="Q62" i="28"/>
  <c r="Q61" i="28" s="1"/>
  <c r="R62" i="28"/>
  <c r="R61" i="28" s="1"/>
  <c r="S62" i="28"/>
  <c r="S61" i="28" s="1"/>
  <c r="T62" i="28"/>
  <c r="T61" i="28" s="1"/>
  <c r="U62" i="28"/>
  <c r="U61" i="28" s="1"/>
  <c r="V62" i="28"/>
  <c r="V61" i="28" s="1"/>
  <c r="W62" i="28"/>
  <c r="W61" i="28" s="1"/>
  <c r="X62" i="28"/>
  <c r="X61" i="28" s="1"/>
  <c r="Y62" i="28"/>
  <c r="Y61" i="28" s="1"/>
  <c r="Z62" i="28"/>
  <c r="AA62" i="28"/>
  <c r="AA61" i="28" s="1"/>
  <c r="AB62" i="28"/>
  <c r="AB61" i="28" s="1"/>
  <c r="AC62" i="28"/>
  <c r="AC61" i="28" s="1"/>
  <c r="AD62" i="28"/>
  <c r="AD61" i="28" s="1"/>
  <c r="AE62" i="28"/>
  <c r="AE61" i="28" s="1"/>
  <c r="K62" i="28" l="1"/>
  <c r="AK62" i="28" s="1"/>
  <c r="K61" i="28" l="1"/>
  <c r="AK61" i="28" s="1"/>
  <c r="E61" i="28" l="1"/>
  <c r="AG62" i="28"/>
  <c r="AG61" i="28" l="1"/>
  <c r="G61" i="28"/>
  <c r="F61" i="28"/>
  <c r="H62" i="28"/>
  <c r="AJ62" i="28" l="1"/>
  <c r="AI62" i="28"/>
  <c r="AG7" i="28"/>
  <c r="H61" i="28"/>
  <c r="E57" i="28"/>
  <c r="AJ61" i="28" l="1"/>
  <c r="AI61" i="28"/>
  <c r="G57" i="28"/>
  <c r="F57" i="28"/>
  <c r="AG57" i="28"/>
  <c r="E56" i="28"/>
  <c r="AG56" i="28" l="1"/>
  <c r="G56" i="28"/>
  <c r="F56" i="28"/>
  <c r="G7" i="28"/>
  <c r="AG6" i="28"/>
  <c r="G6" i="28" l="1"/>
</calcChain>
</file>

<file path=xl/sharedStrings.xml><?xml version="1.0" encoding="utf-8"?>
<sst xmlns="http://schemas.openxmlformats.org/spreadsheetml/2006/main" count="149" uniqueCount="76">
  <si>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</si>
  <si>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</si>
  <si>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</si>
  <si>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</si>
  <si>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</si>
  <si>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</si>
  <si>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</si>
  <si>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</si>
  <si>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</si>
  <si>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</si>
  <si>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</si>
  <si>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</si>
  <si>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</si>
  <si>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</si>
  <si>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</si>
  <si>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</si>
  <si>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</si>
  <si>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</si>
  <si>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</si>
  <si>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</si>
  <si>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</si>
  <si>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</si>
  <si>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</si>
  <si>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</si>
  <si>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</si>
  <si>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</si>
  <si>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</si>
  <si>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</si>
  <si>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</si>
  <si>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</si>
  <si>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</si>
  <si>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</si>
  <si>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</si>
  <si>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</si>
  <si>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</si>
  <si>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</si>
  <si>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</si>
  <si>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</si>
  <si>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</si>
  <si>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</si>
  <si>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</si>
  <si>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</si>
  <si>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</si>
  <si>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</si>
  <si>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</si>
  <si>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</si>
  <si>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</si>
  <si>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</si>
  <si>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</si>
  <si>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</si>
  <si>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</si>
  <si>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</si>
  <si>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</si>
  <si>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</si>
  <si>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</si>
  <si>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</si>
  <si>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</si>
  <si>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</si>
  <si>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</si>
  <si>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Кассовый расход сформировался меньше планового в связи с образованием вакантных ставок.</t>
  </si>
  <si>
    <t xml:space="preserve">Произведено перечесление денежных средств на расчетный счет получателя (предоставление из бюджета города Когалыма субсидии общественной организации "Когалымский Боксерский Клуб Патриот" и местной общественной организациии "Когалымская Федерация Детского Хоккея").                                                                             </t>
  </si>
  <si>
    <t>План на 01.12.2018</t>
  </si>
  <si>
    <t>Профинансировано на 01.12.2018</t>
  </si>
  <si>
    <t>Кассовый расход на  01.12.2018</t>
  </si>
  <si>
    <t>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На экономию денежных средств в сумме 30 000 рублей 00 копеек  в сентябре месяце приобретен спортивный инвентарь по настольному теннису для занимающихся на отделении адаптивной физической культуры (согласование Депутата Тюменской области Думы Лосевой И.В. от 23.08.2018 г. №Д12-57/18).</t>
  </si>
  <si>
    <t>На текущую дату образовалась экономия денежных средств в сумме  298 310 рублей 20 копеек в связи с меньшим количеством дней на соревнованиях; с неполным составом команды, по причине болезни участника; фактически предоставленным отчетным документам за проживание.</t>
  </si>
  <si>
    <t>Заместитель начальника Управления культуры, спорта и молодежной политики _______________________________А.Б.Жуков</t>
  </si>
  <si>
    <t xml:space="preserve">Приобретение товара для отделения гимнастики (пояс страховочный, жердь, магнезия)
Приобретение товара (шайба, клюшка, имитатор вратаря Bauer), приобретение товара (скамья для горизонтального жима).
</t>
  </si>
  <si>
    <t xml:space="preserve">Приобретение пневматического пистолета,  приобретение хоккейной формы. Приобретение автотранспорта (автобуса), адаптированного для перевозки спортсменов-инвалидов. 
Приобретение товара для отделения гимнастики (пояс страховочный, жердь, магнезия), приобретение товара для отделения плавания (разделительная дорожка). Приобретение товаров для отделения лыжные гонки.
</t>
  </si>
  <si>
    <t xml:space="preserve">Остаток денежных средств в размере 544,2 тыс.руб. образовался в связи с:          - непредоставлением отчета главного судьи и табеля учета рабочего времени для формирования и оплаты договоров ГПХ по проведению соревнований за ноябрь месяц. Оплата по  соревнованиям пройдет в декабре 2018 года;                                            - по оплате договоров ГПХ, в связи с меньшим количеством дней по проведению соревнований, меньшим количественным составом судейской бригады, задействованных в проведении соревнований.                                                       Произведена поставка товара в феврале 2018 года с ООО "Простиль" г. Тюмень. </t>
  </si>
  <si>
    <t xml:space="preserve">На отчетную дату сложился остаток денежных средств в сумме 10 745,52 тыс. руб. из них:                                                                                                                                                                                                                            - по оплате и начислениям на оплату труда работников  в результате внесения изменений в график отпусков, в связи с предоставлением больничных листов, наличием вакантных мест;                                                                                                                                    - в связи с проведением закупочной процедуры по физ.охране объектов МАУ "Дворец спорта",                                                                                                           -  по услугам связи сложилась экономия из-за меньшего использования количества минут местных телефонных соединений;                                                          - согласно фактическим показателям приборов учета по электроэнергии;                            -  согласно фактическим показателям приборов учета по водоснабжению;                             -   в связи с тем, что предпологалось увеличение стоимости за кв.метр предоставляемых площадей, поэтому помесячная разбивка за первый квартал делалась с расчетом увеличения в пределах доведенных плановых ассигнований на год;                                                                                                                           -  согласно условиям договора, исследование воды в чашах бассейнов проводится ежемесячно, но счет выставляется поквартально и складывается из месячных сумм;                                                                                                                            -  согласно условия договора, оплата за оказаные услуги проводится после выставленных счетов (прохождение первичного медосмотра, гиг.обучение, прохождение периодического медосмотра );                                                                          -  по оплате налогов и сборов;                                                                             -  в связи с изменением условий заключенного договора по оплате за справочную систему "Консультант Плюс", оплата за оказываемую услугу будет производиться по факту оказания услуги;                                                                                                                - по уборке снега согласно фактически предоставленным услугам;                                      - в связи с тем, что сотрудник не воспользовался правом на льготный отпуск;                     - по  оплате ТО и ремонт средств пожарной сигнализации системы оповещения и управления эвакуаций.                                                                                                                                                                                                                                                                                                                                                                                                                                                                         </t>
  </si>
  <si>
    <t>Остаток денежных средств в сумме 790,43 тыс. руб. сложился в результате внесения изменений в график отпусков, в связи с предоставлением больничных листов, наличием вакантных мест.</t>
  </si>
  <si>
    <t xml:space="preserve">В ноябре месяце сложилась экономия денежных средств в сумме 8,65 тыс. рублей , по оплате договоров ГПХ, в связи с меньшим количеством дней по проведения соревнований, меньшим количественным составом участников соревнований.                                                                                                                                                                                                                                                                                                                                       На текущую дату сложилась экономия денежных средств в размере 103, 14 тыс.руб., из них: -59,12 тыс. рублей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-17,26 тыс.руб. на оплату мед.обеспечения на мероприятиях, оплата не прошла в связи с непредоставленнием платежных документов; -21,95 тыс.руб. по оплате договоров ГПХ, в связи с меньшим количеством дней по проведения соревнований, меньшим количественным составом судейской бригады, задействованные в проведении соревнований; -4,8тыс. рублей на приобретение сухих пайков, оплата пройдет в декабре 2018 года.      </t>
  </si>
  <si>
    <t xml:space="preserve">Приобретение мебели в хоккейную раздевалку , приобретение материалов для улучшения условий безопасности и эксплуатации городской лыжной трассы в рамках реализации проектов (инициатив) граждан по вопросам местного значения в городе Когалыме (бюджет города Когалыма). Приобретение светодиодных светильников в бассейн .  Модернизация мебели в хоккейной раздевалке ЛД "Айсберг" (индивидуальный шкаф хоккеиста).                                                                                                                           Укомплектование ЛД "Айсберг" системой звукового сопровождения для проведения спортивных мероприятий на арене.                                        Укомплектование ЛД "Айсберг" специализированным оборудованием (электронное табло, замена станка для заточки коньков) .                                                                                                                                                                     Приобретение товара для отделения плавания (разделительная дорожка ).                                                                                                                                                                                            Приобретение бокса для хранения снегохода прошла в сентябре месяце. Пиобретение товаров для отделения лыжные гонки.                                                       Приобретение товара для отделения гимнастики (пояс страховочный, жердь, магнезия)
Приобретение товара (шайба, клюшка, имитатор вратаря Bauer), приобретение товара (скамья для горизонтального жима).                                              Остаток денежных средств планируется на приобретение электронного табло для хоккея.                     
</t>
  </si>
  <si>
    <t>Неисполнение по заработной плате и начислениям на оплату труда в связи с выплатой премии по итогам года 2017 г. за фактически отработанное время. В результате наличия дополнительных выходных дней (без сохранения заработной платы), листов нетрудоспособности.</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</si>
  <si>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В январе был перечислен аванс 30% (651,82 тыс.руб). В июне месяце произведена оплата в размере 839,28 тыс.руб. за эскизные работы. На отчетную дату  работы выполнены в полном объеме, оплата произведена в сентябре месяце 2018 года в размере 681,63 тыс.руб. 
2. Заключен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продлен на основании доп. соглашения. Перечислен аванс в январе месяце в размере 6 991,08 тыс.руб., ведется выполнение работ. В мае месяце произведена оплата за выполненный эскизный проект в размере 2 536,00 тыс.руб. 
3. На сумму 13 347,00 тыс.руб. заключен м/к№РЦСП-384/18-СП357 от 07.09.2018. Перечислен аванс в сентябре месяце в размере 5 388,88 тыс.руб. Ведется работа.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</si>
</sst>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3"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3">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7" fillId="0" borderId="1" xfId="0" applyFont="1" applyFill="1" applyBorder="1" applyAlignment="1">
      <alignment horizontal="justify"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wrapText="1"/>
    </xf>
    <xf numFmtId="0" fontId="9" fillId="0" borderId="1" xfId="0" applyFont="1" applyFill="1" applyBorder="1" applyAlignment="1" applyProtection="1">
      <alignment wrapText="1"/>
    </xf>
    <xf numFmtId="0" fontId="8" fillId="0" borderId="3" xfId="0" applyFont="1" applyFill="1" applyBorder="1" applyAlignment="1">
      <alignment horizontal="center" vertical="center" wrapText="1"/>
    </xf>
    <xf numFmtId="0" fontId="7" fillId="0" borderId="1" xfId="0" applyFont="1" applyFill="1" applyBorder="1" applyAlignment="1">
      <alignment vertical="center" wrapText="1"/>
    </xf>
    <xf numFmtId="4" fontId="9" fillId="4" borderId="1" xfId="0" applyNumberFormat="1" applyFont="1" applyFill="1" applyBorder="1" applyAlignment="1" applyProtection="1">
      <alignment horizontal="center" vertical="center" wrapText="1"/>
    </xf>
    <xf numFmtId="4" fontId="7" fillId="0" borderId="0" xfId="0" applyNumberFormat="1" applyFont="1" applyFill="1" applyAlignment="1">
      <alignment horizontal="justify"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wrapText="1"/>
    </xf>
    <xf numFmtId="0" fontId="7" fillId="7" borderId="1" xfId="0" applyFont="1" applyFill="1" applyBorder="1" applyAlignment="1">
      <alignment horizontal="lef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pplyProtection="1">
      <alignment horizontal="center" vertical="center" wrapText="1"/>
    </xf>
    <xf numFmtId="4" fontId="11" fillId="0" borderId="0" xfId="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164" fontId="7"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0" borderId="2" xfId="0" applyFont="1" applyFill="1" applyBorder="1" applyAlignment="1">
      <alignment vertical="center" wrapText="1"/>
    </xf>
    <xf numFmtId="0" fontId="7" fillId="0" borderId="2" xfId="0" applyFont="1" applyFill="1" applyBorder="1" applyAlignment="1">
      <alignment vertical="top" wrapText="1"/>
    </xf>
    <xf numFmtId="0" fontId="7" fillId="0" borderId="1" xfId="0" applyFont="1" applyFill="1" applyBorder="1" applyAlignment="1">
      <alignment vertical="top"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Alignment="1">
      <alignment wrapText="1"/>
    </xf>
  </cellXfs>
  <cellStyles count="2">
    <cellStyle name="Обычный" xfId="0" builtinId="0"/>
    <cellStyle name="Обычный 2" xfId="1"/>
  </cellStyles>
  <dxfs count="0"/>
  <tableStyles count="0" defaultTableStyle="TableStyleMedium2" defaultPivotStyle="PivotStyleLight16"/>
  <colors>
    <mruColors>
      <color rgb="FFCCFFFF"/>
      <color rgb="FFFF99FF"/>
      <color rgb="FFFFFF99"/>
      <color rgb="FF99FF99"/>
      <color rgb="FF66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29" sqref="O29"/>
    </sheetView>
  </sheetViews>
  <sheetFormatPr defaultColWidth="9.140625" defaultRowHeight="12.75" x14ac:dyDescent="0.2"/>
  <cols>
    <col min="1" max="16384" width="9.140625" style="1"/>
  </cols>
  <sheetData>
    <row r="1" spans="1:14" ht="18.75" x14ac:dyDescent="0.3">
      <c r="A1" s="95"/>
      <c r="B1" s="95"/>
    </row>
    <row r="10" spans="1:14" ht="45" customHeight="1" x14ac:dyDescent="0.35">
      <c r="A10" s="97" t="s">
        <v>26</v>
      </c>
      <c r="B10" s="97"/>
      <c r="C10" s="97"/>
      <c r="D10" s="97"/>
      <c r="E10" s="97"/>
      <c r="F10" s="97"/>
      <c r="G10" s="97"/>
      <c r="H10" s="97"/>
      <c r="I10" s="97"/>
      <c r="J10" s="97"/>
      <c r="K10" s="97"/>
      <c r="L10" s="97"/>
      <c r="M10" s="97"/>
      <c r="N10" s="97"/>
    </row>
    <row r="11" spans="1:14" ht="16.5" customHeight="1" x14ac:dyDescent="0.35">
      <c r="A11" s="96"/>
      <c r="B11" s="96"/>
      <c r="C11" s="96"/>
      <c r="D11" s="96"/>
      <c r="E11" s="96"/>
      <c r="F11" s="96"/>
      <c r="G11" s="96"/>
      <c r="H11" s="96"/>
      <c r="I11" s="96"/>
    </row>
    <row r="13" spans="1:14" ht="27" customHeight="1" x14ac:dyDescent="0.3">
      <c r="A13" s="92" t="s">
        <v>22</v>
      </c>
      <c r="B13" s="92"/>
      <c r="C13" s="92"/>
      <c r="D13" s="92"/>
      <c r="E13" s="92"/>
      <c r="F13" s="92"/>
      <c r="G13" s="92"/>
      <c r="H13" s="92"/>
      <c r="I13" s="92"/>
      <c r="J13" s="92"/>
      <c r="K13" s="92"/>
      <c r="L13" s="92"/>
      <c r="M13" s="92"/>
      <c r="N13" s="92"/>
    </row>
    <row r="14" spans="1:14" ht="27" customHeight="1" x14ac:dyDescent="0.3">
      <c r="A14" s="92" t="s">
        <v>23</v>
      </c>
      <c r="B14" s="92"/>
      <c r="C14" s="92"/>
      <c r="D14" s="92"/>
      <c r="E14" s="92"/>
      <c r="F14" s="92"/>
      <c r="G14" s="92"/>
      <c r="H14" s="92"/>
      <c r="I14" s="92"/>
      <c r="J14" s="92"/>
      <c r="K14" s="92"/>
      <c r="L14" s="92"/>
      <c r="M14" s="92"/>
      <c r="N14" s="92"/>
    </row>
    <row r="15" spans="1:14" ht="40.5" customHeight="1" x14ac:dyDescent="0.3">
      <c r="A15" s="93" t="s">
        <v>39</v>
      </c>
      <c r="B15" s="93"/>
      <c r="C15" s="93"/>
      <c r="D15" s="93"/>
      <c r="E15" s="93"/>
      <c r="F15" s="93"/>
      <c r="G15" s="93"/>
      <c r="H15" s="93"/>
      <c r="I15" s="93"/>
      <c r="J15" s="93"/>
      <c r="K15" s="93"/>
      <c r="L15" s="93"/>
      <c r="M15" s="93"/>
      <c r="N15" s="93"/>
    </row>
    <row r="46" spans="1:9" ht="16.5" x14ac:dyDescent="0.25">
      <c r="A46" s="94"/>
      <c r="B46" s="94"/>
      <c r="C46" s="94"/>
      <c r="D46" s="94"/>
      <c r="E46" s="94"/>
      <c r="F46" s="94"/>
      <c r="G46" s="94"/>
      <c r="H46" s="94"/>
      <c r="I46" s="94"/>
    </row>
    <row r="47" spans="1:9" ht="16.5" x14ac:dyDescent="0.25">
      <c r="A47" s="94"/>
      <c r="B47" s="94"/>
      <c r="C47" s="94"/>
      <c r="D47" s="94"/>
      <c r="E47" s="94"/>
      <c r="F47" s="94"/>
      <c r="G47" s="94"/>
      <c r="H47" s="94"/>
      <c r="I47" s="94"/>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4"/>
  <sheetViews>
    <sheetView tabSelected="1" view="pageBreakPreview" zoomScale="63" zoomScaleNormal="60" zoomScaleSheetLayoutView="63" workbookViewId="0">
      <pane xSplit="7" ySplit="4" topLeftCell="H5" activePane="bottomRight" state="frozen"/>
      <selection pane="topRight" activeCell="H1" sqref="H1"/>
      <selection pane="bottomLeft" activeCell="A5" sqref="A5"/>
      <selection pane="bottomRight" activeCell="AF62" sqref="AF62:AF65"/>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37"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5" customWidth="1"/>
    <col min="23" max="23" width="11.5703125" style="25" customWidth="1"/>
    <col min="24" max="24" width="15.42578125" style="14" customWidth="1"/>
    <col min="25" max="25" width="15.140625" style="10" customWidth="1"/>
    <col min="26" max="26" width="13" style="39" customWidth="1"/>
    <col min="27" max="27" width="12.7109375" style="10" customWidth="1"/>
    <col min="28" max="28" width="11.85546875" style="39" customWidth="1"/>
    <col min="29" max="29" width="12.7109375" style="10" customWidth="1"/>
    <col min="30" max="30" width="15.7109375" style="39" customWidth="1"/>
    <col min="31" max="31" width="14.28515625" style="10" customWidth="1"/>
    <col min="32" max="32" width="79.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7" ht="36" customHeight="1" x14ac:dyDescent="0.2">
      <c r="A1" s="98" t="s">
        <v>37</v>
      </c>
      <c r="B1" s="99"/>
      <c r="C1" s="99"/>
      <c r="D1" s="99"/>
      <c r="E1" s="99"/>
      <c r="F1" s="99"/>
      <c r="G1" s="99"/>
      <c r="H1" s="99"/>
      <c r="I1" s="99"/>
      <c r="J1" s="99"/>
      <c r="K1" s="99"/>
      <c r="L1" s="99"/>
      <c r="M1" s="99"/>
      <c r="N1" s="99"/>
      <c r="O1" s="99"/>
      <c r="P1" s="99"/>
      <c r="Q1" s="99"/>
      <c r="R1" s="99"/>
      <c r="T1" s="100"/>
      <c r="U1" s="101"/>
      <c r="V1" s="101"/>
      <c r="W1" s="101"/>
      <c r="X1" s="101"/>
      <c r="Y1" s="101"/>
      <c r="Z1" s="101"/>
      <c r="AA1" s="101"/>
      <c r="AB1" s="101"/>
      <c r="AC1" s="101"/>
      <c r="AD1" s="101"/>
      <c r="AE1" s="101"/>
      <c r="AF1" s="101"/>
    </row>
    <row r="2" spans="1:37" ht="25.9" customHeight="1" x14ac:dyDescent="0.25">
      <c r="A2" s="102"/>
      <c r="B2" s="102"/>
      <c r="C2" s="102"/>
      <c r="D2" s="102"/>
      <c r="E2" s="102"/>
      <c r="F2" s="102"/>
      <c r="G2" s="102"/>
      <c r="H2" s="102"/>
      <c r="I2" s="102"/>
      <c r="J2" s="102"/>
      <c r="K2" s="102"/>
      <c r="L2" s="102"/>
      <c r="M2" s="102"/>
      <c r="N2" s="102"/>
      <c r="O2" s="102"/>
      <c r="P2" s="102"/>
      <c r="Q2" s="102"/>
      <c r="R2" s="102"/>
      <c r="S2" s="3" t="s">
        <v>14</v>
      </c>
      <c r="T2" s="102"/>
      <c r="U2" s="102"/>
      <c r="V2" s="102"/>
      <c r="W2" s="102"/>
      <c r="X2" s="102"/>
      <c r="Y2" s="102"/>
      <c r="Z2" s="102"/>
      <c r="AA2" s="102"/>
      <c r="AB2" s="102"/>
      <c r="AC2" s="102"/>
      <c r="AD2" s="102"/>
      <c r="AE2" s="102"/>
      <c r="AF2" s="3" t="s">
        <v>14</v>
      </c>
    </row>
    <row r="3" spans="1:37" s="4" customFormat="1" ht="99.75" customHeight="1" x14ac:dyDescent="0.2">
      <c r="A3" s="103" t="s">
        <v>5</v>
      </c>
      <c r="B3" s="104" t="s">
        <v>48</v>
      </c>
      <c r="C3" s="104" t="s">
        <v>61</v>
      </c>
      <c r="D3" s="104" t="s">
        <v>62</v>
      </c>
      <c r="E3" s="104" t="s">
        <v>63</v>
      </c>
      <c r="F3" s="106" t="s">
        <v>15</v>
      </c>
      <c r="G3" s="106"/>
      <c r="H3" s="106" t="s">
        <v>0</v>
      </c>
      <c r="I3" s="106"/>
      <c r="J3" s="106" t="s">
        <v>1</v>
      </c>
      <c r="K3" s="106"/>
      <c r="L3" s="106" t="s">
        <v>2</v>
      </c>
      <c r="M3" s="106"/>
      <c r="N3" s="106" t="s">
        <v>3</v>
      </c>
      <c r="O3" s="106"/>
      <c r="P3" s="106" t="s">
        <v>4</v>
      </c>
      <c r="Q3" s="106"/>
      <c r="R3" s="106" t="s">
        <v>6</v>
      </c>
      <c r="S3" s="106"/>
      <c r="T3" s="106" t="s">
        <v>7</v>
      </c>
      <c r="U3" s="106"/>
      <c r="V3" s="106" t="s">
        <v>8</v>
      </c>
      <c r="W3" s="106"/>
      <c r="X3" s="106" t="s">
        <v>9</v>
      </c>
      <c r="Y3" s="106"/>
      <c r="Z3" s="106" t="s">
        <v>10</v>
      </c>
      <c r="AA3" s="106"/>
      <c r="AB3" s="106" t="s">
        <v>11</v>
      </c>
      <c r="AC3" s="106"/>
      <c r="AD3" s="106" t="s">
        <v>12</v>
      </c>
      <c r="AE3" s="106"/>
      <c r="AF3" s="103" t="s">
        <v>19</v>
      </c>
    </row>
    <row r="4" spans="1:37" s="4" customFormat="1" ht="47.25" customHeight="1" x14ac:dyDescent="0.2">
      <c r="A4" s="103"/>
      <c r="B4" s="105"/>
      <c r="C4" s="105"/>
      <c r="D4" s="105"/>
      <c r="E4" s="105"/>
      <c r="F4" s="19" t="s">
        <v>17</v>
      </c>
      <c r="G4" s="19" t="s">
        <v>16</v>
      </c>
      <c r="H4" s="40" t="s">
        <v>13</v>
      </c>
      <c r="I4" s="40" t="s">
        <v>18</v>
      </c>
      <c r="J4" s="40" t="s">
        <v>13</v>
      </c>
      <c r="K4" s="40" t="s">
        <v>18</v>
      </c>
      <c r="L4" s="40" t="s">
        <v>13</v>
      </c>
      <c r="M4" s="40" t="s">
        <v>18</v>
      </c>
      <c r="N4" s="44" t="s">
        <v>13</v>
      </c>
      <c r="O4" s="40" t="s">
        <v>18</v>
      </c>
      <c r="P4" s="40" t="s">
        <v>13</v>
      </c>
      <c r="Q4" s="40" t="s">
        <v>18</v>
      </c>
      <c r="R4" s="40" t="s">
        <v>13</v>
      </c>
      <c r="S4" s="40" t="s">
        <v>18</v>
      </c>
      <c r="T4" s="67" t="s">
        <v>13</v>
      </c>
      <c r="U4" s="67" t="s">
        <v>18</v>
      </c>
      <c r="V4" s="40" t="s">
        <v>40</v>
      </c>
      <c r="W4" s="40" t="s">
        <v>18</v>
      </c>
      <c r="X4" s="40" t="s">
        <v>13</v>
      </c>
      <c r="Y4" s="40" t="s">
        <v>18</v>
      </c>
      <c r="Z4" s="44" t="s">
        <v>13</v>
      </c>
      <c r="AA4" s="40" t="s">
        <v>18</v>
      </c>
      <c r="AB4" s="44" t="s">
        <v>13</v>
      </c>
      <c r="AC4" s="40" t="s">
        <v>18</v>
      </c>
      <c r="AD4" s="44" t="s">
        <v>13</v>
      </c>
      <c r="AE4" s="40" t="s">
        <v>18</v>
      </c>
      <c r="AF4" s="103"/>
      <c r="AG4" s="24"/>
    </row>
    <row r="5" spans="1:37" s="5" customFormat="1" ht="25.5" customHeight="1" x14ac:dyDescent="0.2">
      <c r="A5" s="20" t="s">
        <v>37</v>
      </c>
      <c r="B5" s="20"/>
      <c r="C5" s="21"/>
      <c r="D5" s="21"/>
      <c r="E5" s="21"/>
      <c r="F5" s="21"/>
      <c r="G5" s="21"/>
      <c r="H5" s="20"/>
      <c r="I5" s="20"/>
      <c r="J5" s="20"/>
      <c r="K5" s="20"/>
      <c r="L5" s="20"/>
      <c r="M5" s="20"/>
      <c r="N5" s="36"/>
      <c r="O5" s="20"/>
      <c r="P5" s="20"/>
      <c r="Q5" s="20"/>
      <c r="R5" s="20"/>
      <c r="S5" s="20"/>
      <c r="T5" s="20"/>
      <c r="U5" s="20"/>
      <c r="V5" s="20"/>
      <c r="W5" s="20"/>
      <c r="X5" s="20"/>
      <c r="Y5" s="20"/>
      <c r="Z5" s="20"/>
      <c r="AA5" s="20"/>
      <c r="AB5" s="36"/>
      <c r="AC5" s="20"/>
      <c r="AD5" s="20"/>
      <c r="AE5" s="21"/>
      <c r="AF5" s="21"/>
    </row>
    <row r="6" spans="1:37" s="6" customFormat="1" ht="47.25" customHeight="1" x14ac:dyDescent="0.2">
      <c r="A6" s="71" t="s">
        <v>27</v>
      </c>
      <c r="B6" s="15">
        <f>H6+J6+L6+N6+P6+R6+T6+V6+X6+Z6+AB6+AD6</f>
        <v>234505.90286</v>
      </c>
      <c r="C6" s="15">
        <f>C7+C36+C43+C52</f>
        <v>181531.78861999998</v>
      </c>
      <c r="D6" s="15">
        <f>D7+D36+D43+D52</f>
        <v>187029.5753</v>
      </c>
      <c r="E6" s="15">
        <f>E7+E36+E43+E52</f>
        <v>187029.57830000002</v>
      </c>
      <c r="F6" s="15">
        <f>E6/B6*100</f>
        <v>79.75474221288863</v>
      </c>
      <c r="G6" s="15">
        <f>E6/C6*100</f>
        <v>103.02855479020732</v>
      </c>
      <c r="H6" s="15">
        <f t="shared" ref="H6:AE6" si="0">H7+H36+H43+H52</f>
        <v>20166.403960000003</v>
      </c>
      <c r="I6" s="15">
        <f t="shared" si="0"/>
        <v>4269.0982999999997</v>
      </c>
      <c r="J6" s="15">
        <f t="shared" si="0"/>
        <v>16897.14849</v>
      </c>
      <c r="K6" s="15">
        <f t="shared" si="0"/>
        <v>17386.179819999998</v>
      </c>
      <c r="L6" s="15">
        <f t="shared" si="0"/>
        <v>18168.290999999997</v>
      </c>
      <c r="M6" s="15">
        <f t="shared" si="0"/>
        <v>13584.977709999999</v>
      </c>
      <c r="N6" s="15">
        <f t="shared" si="0"/>
        <v>17034.092909999999</v>
      </c>
      <c r="O6" s="15">
        <f t="shared" si="0"/>
        <v>15492.574000000001</v>
      </c>
      <c r="P6" s="15">
        <f t="shared" si="0"/>
        <v>23921.116000000002</v>
      </c>
      <c r="Q6" s="15">
        <f t="shared" si="0"/>
        <v>19365.797930000001</v>
      </c>
      <c r="R6" s="15">
        <f t="shared" si="0"/>
        <v>23213.39674</v>
      </c>
      <c r="S6" s="15">
        <f t="shared" si="0"/>
        <v>26604.094999999994</v>
      </c>
      <c r="T6" s="15">
        <f t="shared" si="0"/>
        <v>18923.581020000001</v>
      </c>
      <c r="U6" s="15">
        <f t="shared" si="0"/>
        <v>25577.883760000001</v>
      </c>
      <c r="V6" s="15">
        <f t="shared" si="0"/>
        <v>12761.349</v>
      </c>
      <c r="W6" s="15">
        <f t="shared" si="0"/>
        <v>9379.2303499999998</v>
      </c>
      <c r="X6" s="15">
        <f t="shared" si="0"/>
        <v>22506.545999999998</v>
      </c>
      <c r="Y6" s="15">
        <f t="shared" si="0"/>
        <v>12168.76838</v>
      </c>
      <c r="Z6" s="15">
        <f t="shared" si="0"/>
        <v>16634.782500000001</v>
      </c>
      <c r="AA6" s="15">
        <f t="shared" si="0"/>
        <v>20044.362070000003</v>
      </c>
      <c r="AB6" s="15">
        <f t="shared" si="0"/>
        <v>16256.662</v>
      </c>
      <c r="AC6" s="15">
        <f t="shared" si="0"/>
        <v>14057.69536</v>
      </c>
      <c r="AD6" s="15">
        <f t="shared" si="0"/>
        <v>28022.533239999997</v>
      </c>
      <c r="AE6" s="15">
        <f t="shared" si="0"/>
        <v>0</v>
      </c>
      <c r="AF6" s="46"/>
      <c r="AG6" s="35">
        <f>C6-E6</f>
        <v>-5497.7896800000453</v>
      </c>
      <c r="AI6" s="35">
        <f t="shared" ref="AI6:AI65" si="1">H6+J6+L6+N6+P6+R6+T6+V6+X6+Z6+AB6+AD6</f>
        <v>234505.90286</v>
      </c>
      <c r="AJ6" s="35">
        <f t="shared" ref="AJ6:AJ65" si="2">H6+J6+L6+N6+P6+R6+T6+V6+X6+Z6</f>
        <v>190226.70762</v>
      </c>
      <c r="AK6" s="35">
        <f t="shared" ref="AK6:AK65" si="3">I6+K6+M6+O6+Q6+S6+U6+W6+Y6+AA6</f>
        <v>163872.96732</v>
      </c>
    </row>
    <row r="7" spans="1:37" s="6" customFormat="1" ht="39.75" customHeight="1" x14ac:dyDescent="0.2">
      <c r="A7" s="72" t="s">
        <v>30</v>
      </c>
      <c r="B7" s="18">
        <f>B9+B13+B19+B23+B27</f>
        <v>160570.497</v>
      </c>
      <c r="C7" s="18">
        <f>H7+J7+L7+N7+P7+R7+T7+V7+X7</f>
        <v>120537.19875999998</v>
      </c>
      <c r="D7" s="18">
        <f>D9+D13+D19+D27+D23</f>
        <v>133838.86629999999</v>
      </c>
      <c r="E7" s="18">
        <f>E9+E13+E19++E23+E27</f>
        <v>133838.86930000002</v>
      </c>
      <c r="F7" s="18">
        <f>E7/B7*100</f>
        <v>83.352092570280846</v>
      </c>
      <c r="G7" s="18">
        <f>E7/C7*100</f>
        <v>111.03532409649308</v>
      </c>
      <c r="H7" s="18">
        <f>H9+H13+H19+H23+H27</f>
        <v>10998.597</v>
      </c>
      <c r="I7" s="18">
        <f t="shared" ref="I7:AE7" si="4">I9+I13+I19+I23+I27</f>
        <v>3190.5122999999999</v>
      </c>
      <c r="J7" s="18">
        <f t="shared" si="4"/>
        <v>12533.43</v>
      </c>
      <c r="K7" s="18">
        <f t="shared" si="4"/>
        <v>14571.429819999999</v>
      </c>
      <c r="L7" s="18">
        <f t="shared" si="4"/>
        <v>11725.115</v>
      </c>
      <c r="M7" s="18">
        <f t="shared" si="4"/>
        <v>11060.35471</v>
      </c>
      <c r="N7" s="18">
        <f>N9+N13+N19+N23+N27</f>
        <v>13154.51</v>
      </c>
      <c r="O7" s="18">
        <f t="shared" si="4"/>
        <v>12585.774000000001</v>
      </c>
      <c r="P7" s="18">
        <f t="shared" si="4"/>
        <v>19664.574000000001</v>
      </c>
      <c r="Q7" s="18">
        <f t="shared" si="4"/>
        <v>13308.957929999999</v>
      </c>
      <c r="R7" s="18">
        <f t="shared" si="4"/>
        <v>17851.356739999999</v>
      </c>
      <c r="S7" s="18">
        <f t="shared" si="4"/>
        <v>20459.604999999996</v>
      </c>
      <c r="T7" s="18">
        <f t="shared" si="4"/>
        <v>14575.239020000001</v>
      </c>
      <c r="U7" s="18">
        <f t="shared" si="4"/>
        <v>20816.995760000002</v>
      </c>
      <c r="V7" s="18">
        <f t="shared" si="4"/>
        <v>8942.0829999999987</v>
      </c>
      <c r="W7" s="18">
        <f t="shared" si="4"/>
        <v>6516.8553499999998</v>
      </c>
      <c r="X7" s="18">
        <f t="shared" si="4"/>
        <v>11092.294</v>
      </c>
      <c r="Y7" s="18">
        <f t="shared" si="4"/>
        <v>8850.1729999999989</v>
      </c>
      <c r="Z7" s="18">
        <f t="shared" si="4"/>
        <v>12921.881000000001</v>
      </c>
      <c r="AA7" s="18">
        <f t="shared" si="4"/>
        <v>11768.785070000002</v>
      </c>
      <c r="AB7" s="18">
        <f t="shared" si="4"/>
        <v>12029.7</v>
      </c>
      <c r="AC7" s="18">
        <f t="shared" si="4"/>
        <v>10744.523359999999</v>
      </c>
      <c r="AD7" s="18">
        <f t="shared" si="4"/>
        <v>15081.72724</v>
      </c>
      <c r="AE7" s="18">
        <f t="shared" si="4"/>
        <v>0</v>
      </c>
      <c r="AF7" s="22"/>
      <c r="AG7" s="35">
        <f t="shared" ref="AG7:AG69" si="5">C7-E7</f>
        <v>-13301.670540000036</v>
      </c>
      <c r="AI7" s="35">
        <f t="shared" si="1"/>
        <v>160570.50700000001</v>
      </c>
      <c r="AJ7" s="35">
        <f t="shared" si="2"/>
        <v>133459.07975999999</v>
      </c>
      <c r="AK7" s="35">
        <f t="shared" si="3"/>
        <v>123129.44293999999</v>
      </c>
    </row>
    <row r="8" spans="1:37" s="6" customFormat="1" ht="50.1" customHeight="1" x14ac:dyDescent="0.2">
      <c r="A8" s="72" t="s">
        <v>31</v>
      </c>
      <c r="B8" s="17"/>
      <c r="C8" s="16"/>
      <c r="D8" s="16"/>
      <c r="E8" s="15"/>
      <c r="F8" s="18" t="s">
        <v>29</v>
      </c>
      <c r="G8" s="18" t="s">
        <v>29</v>
      </c>
      <c r="H8" s="15"/>
      <c r="I8" s="15"/>
      <c r="J8" s="15"/>
      <c r="K8" s="15"/>
      <c r="L8" s="15"/>
      <c r="M8" s="15"/>
      <c r="N8" s="15"/>
      <c r="O8" s="15"/>
      <c r="P8" s="15"/>
      <c r="Q8" s="15"/>
      <c r="R8" s="15"/>
      <c r="S8" s="15"/>
      <c r="T8" s="15"/>
      <c r="U8" s="15"/>
      <c r="V8" s="15"/>
      <c r="W8" s="15"/>
      <c r="X8" s="15"/>
      <c r="Y8" s="15"/>
      <c r="Z8" s="15"/>
      <c r="AA8" s="15"/>
      <c r="AB8" s="15"/>
      <c r="AC8" s="15"/>
      <c r="AD8" s="15"/>
      <c r="AE8" s="15"/>
      <c r="AF8" s="119" t="s">
        <v>69</v>
      </c>
      <c r="AG8" s="35">
        <f t="shared" si="5"/>
        <v>0</v>
      </c>
      <c r="AI8" s="35">
        <f t="shared" si="1"/>
        <v>0</v>
      </c>
      <c r="AJ8" s="35">
        <f t="shared" si="2"/>
        <v>0</v>
      </c>
      <c r="AK8" s="35">
        <f t="shared" si="3"/>
        <v>0</v>
      </c>
    </row>
    <row r="9" spans="1:37" s="7" customFormat="1" ht="24.75" customHeight="1" x14ac:dyDescent="0.25">
      <c r="A9" s="69" t="s">
        <v>24</v>
      </c>
      <c r="B9" s="18">
        <f>B10+B11</f>
        <v>3203.7999999999997</v>
      </c>
      <c r="C9" s="15">
        <f>SUM(C10:C11)</f>
        <v>2985.91</v>
      </c>
      <c r="D9" s="15">
        <f>E9</f>
        <v>2441.7057100000002</v>
      </c>
      <c r="E9" s="15">
        <f>E10+E11</f>
        <v>2441.7057100000002</v>
      </c>
      <c r="F9" s="18">
        <f>E9/B9*100</f>
        <v>76.212800736625269</v>
      </c>
      <c r="G9" s="18">
        <f>E9/C9*100</f>
        <v>81.77425675924593</v>
      </c>
      <c r="H9" s="15">
        <f>H11+H10</f>
        <v>67.8</v>
      </c>
      <c r="I9" s="15">
        <f t="shared" ref="I9:AE9" si="6">I11+I10</f>
        <v>9</v>
      </c>
      <c r="J9" s="15">
        <f t="shared" si="6"/>
        <v>585.22</v>
      </c>
      <c r="K9" s="15">
        <f t="shared" si="6"/>
        <v>634.70681999999999</v>
      </c>
      <c r="L9" s="15">
        <f t="shared" si="6"/>
        <v>377.18</v>
      </c>
      <c r="M9" s="15">
        <f t="shared" si="6"/>
        <v>125.24571</v>
      </c>
      <c r="N9" s="15">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386.46611999999999</v>
      </c>
      <c r="X9" s="15">
        <f t="shared" si="6"/>
        <v>80.16</v>
      </c>
      <c r="Y9" s="15">
        <f t="shared" si="6"/>
        <v>147.251</v>
      </c>
      <c r="Z9" s="15">
        <f t="shared" si="6"/>
        <v>298.02999999999997</v>
      </c>
      <c r="AA9" s="15">
        <f t="shared" si="6"/>
        <v>44.775410000000001</v>
      </c>
      <c r="AB9" s="15">
        <f t="shared" si="6"/>
        <v>396.59</v>
      </c>
      <c r="AC9" s="15">
        <f t="shared" si="6"/>
        <v>313.84894000000003</v>
      </c>
      <c r="AD9" s="15">
        <f t="shared" si="6"/>
        <v>217.89</v>
      </c>
      <c r="AE9" s="15">
        <f t="shared" si="6"/>
        <v>0</v>
      </c>
      <c r="AF9" s="120"/>
      <c r="AG9" s="35">
        <f>C9-E9</f>
        <v>544.20428999999967</v>
      </c>
      <c r="AI9" s="35">
        <f t="shared" si="1"/>
        <v>3203.7999999999997</v>
      </c>
      <c r="AJ9" s="35">
        <f t="shared" si="2"/>
        <v>2589.3199999999997</v>
      </c>
      <c r="AK9" s="35">
        <f t="shared" si="3"/>
        <v>2127.8567700000003</v>
      </c>
    </row>
    <row r="10" spans="1:37" s="6" customFormat="1" ht="30.6" customHeight="1" x14ac:dyDescent="0.2">
      <c r="A10" s="52" t="s">
        <v>20</v>
      </c>
      <c r="B10" s="17">
        <v>0</v>
      </c>
      <c r="C10" s="16">
        <v>0</v>
      </c>
      <c r="D10" s="16">
        <v>0</v>
      </c>
      <c r="E10" s="16">
        <v>0</v>
      </c>
      <c r="F10" s="17">
        <v>0</v>
      </c>
      <c r="G10" s="17">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5"/>
      <c r="AF10" s="120"/>
      <c r="AG10" s="35">
        <f t="shared" si="5"/>
        <v>0</v>
      </c>
      <c r="AI10" s="35">
        <f t="shared" si="1"/>
        <v>0</v>
      </c>
      <c r="AJ10" s="35">
        <f t="shared" si="2"/>
        <v>0</v>
      </c>
      <c r="AK10" s="35">
        <f t="shared" si="3"/>
        <v>0</v>
      </c>
    </row>
    <row r="11" spans="1:37" s="6" customFormat="1" ht="36" customHeight="1" x14ac:dyDescent="0.2">
      <c r="A11" s="52" t="s">
        <v>21</v>
      </c>
      <c r="B11" s="17">
        <f>H11+J11+L11+N11+P11+R11+T11+V11+X11+Z11+AD11+AB11</f>
        <v>3203.7999999999997</v>
      </c>
      <c r="C11" s="16">
        <f>SUM(H11+J11+L11+N11+P11+R11+T11+V11+X11+Z11+AB11)</f>
        <v>2985.91</v>
      </c>
      <c r="D11" s="16">
        <f>E11</f>
        <v>2441.7057100000002</v>
      </c>
      <c r="E11" s="16">
        <f>I11+K11+M11+O11+Q11+S11+U11+W11+Y11+AA11+AC11+AE11</f>
        <v>2441.7057100000002</v>
      </c>
      <c r="F11" s="17">
        <f>E11/B11*100</f>
        <v>76.212800736625269</v>
      </c>
      <c r="G11" s="17">
        <f>E11/C11*100</f>
        <v>81.77425675924593</v>
      </c>
      <c r="H11" s="16">
        <v>67.8</v>
      </c>
      <c r="I11" s="16">
        <v>9</v>
      </c>
      <c r="J11" s="16">
        <v>585.22</v>
      </c>
      <c r="K11" s="16">
        <f>634706.82/1000</f>
        <v>634.70681999999999</v>
      </c>
      <c r="L11" s="16">
        <v>377.18</v>
      </c>
      <c r="M11" s="16">
        <f>125245.71/1000</f>
        <v>125.24571</v>
      </c>
      <c r="N11" s="16">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f>386466.12/1000</f>
        <v>386.46611999999999</v>
      </c>
      <c r="X11" s="16">
        <v>80.16</v>
      </c>
      <c r="Y11" s="16">
        <v>147.251</v>
      </c>
      <c r="Z11" s="16">
        <v>298.02999999999997</v>
      </c>
      <c r="AA11" s="16">
        <f>44775.41/1000</f>
        <v>44.775410000000001</v>
      </c>
      <c r="AB11" s="16">
        <v>396.59</v>
      </c>
      <c r="AC11" s="16">
        <f>313848.94/1000</f>
        <v>313.84894000000003</v>
      </c>
      <c r="AD11" s="16">
        <v>217.89</v>
      </c>
      <c r="AE11" s="16"/>
      <c r="AF11" s="121"/>
      <c r="AG11" s="35">
        <f t="shared" si="5"/>
        <v>544.20428999999967</v>
      </c>
      <c r="AI11" s="35">
        <f t="shared" si="1"/>
        <v>3203.7999999999997</v>
      </c>
      <c r="AJ11" s="35">
        <f t="shared" si="2"/>
        <v>2589.3199999999997</v>
      </c>
      <c r="AK11" s="35">
        <f t="shared" si="3"/>
        <v>2127.8567700000003</v>
      </c>
    </row>
    <row r="12" spans="1:37" s="6" customFormat="1" ht="54" customHeight="1" x14ac:dyDescent="0.2">
      <c r="A12" s="71" t="s">
        <v>32</v>
      </c>
      <c r="B12" s="16"/>
      <c r="C12" s="16"/>
      <c r="D12" s="16"/>
      <c r="E12" s="15"/>
      <c r="F12" s="18" t="s">
        <v>29</v>
      </c>
      <c r="G12" s="18" t="s">
        <v>29</v>
      </c>
      <c r="H12" s="15"/>
      <c r="I12" s="15"/>
      <c r="J12" s="15"/>
      <c r="K12" s="15"/>
      <c r="L12" s="15"/>
      <c r="M12" s="15"/>
      <c r="N12" s="47"/>
      <c r="O12" s="15"/>
      <c r="P12" s="15"/>
      <c r="Q12" s="15"/>
      <c r="R12" s="15"/>
      <c r="S12" s="15"/>
      <c r="T12" s="15"/>
      <c r="U12" s="15"/>
      <c r="V12" s="15"/>
      <c r="W12" s="15"/>
      <c r="X12" s="15"/>
      <c r="Y12" s="15"/>
      <c r="Z12" s="15"/>
      <c r="AA12" s="15"/>
      <c r="AB12" s="15"/>
      <c r="AC12" s="15"/>
      <c r="AD12" s="15"/>
      <c r="AE12" s="15"/>
      <c r="AF12" s="76"/>
      <c r="AG12" s="35">
        <f t="shared" si="5"/>
        <v>0</v>
      </c>
      <c r="AI12" s="35">
        <f t="shared" si="1"/>
        <v>0</v>
      </c>
      <c r="AJ12" s="35">
        <f t="shared" si="2"/>
        <v>0</v>
      </c>
      <c r="AK12" s="35">
        <f t="shared" si="3"/>
        <v>0</v>
      </c>
    </row>
    <row r="13" spans="1:37" s="6" customFormat="1" ht="23.25" customHeight="1" x14ac:dyDescent="0.2">
      <c r="A13" s="22" t="s">
        <v>24</v>
      </c>
      <c r="B13" s="18">
        <f>B15+B16+B14+B17</f>
        <v>149795.09700000001</v>
      </c>
      <c r="C13" s="15">
        <f>SUM(C14:C17)</f>
        <v>134948.69975999999</v>
      </c>
      <c r="D13" s="15">
        <f>E13</f>
        <v>124203.17614000001</v>
      </c>
      <c r="E13" s="15">
        <f>E14+E15+E16+E17</f>
        <v>124203.17614000001</v>
      </c>
      <c r="F13" s="18">
        <f>E13/B13*100</f>
        <v>82.915381496097979</v>
      </c>
      <c r="G13" s="18">
        <f>E13/C13*100</f>
        <v>92.03732704419501</v>
      </c>
      <c r="H13" s="15">
        <f>H15+H16+H17</f>
        <v>10834.697</v>
      </c>
      <c r="I13" s="15">
        <f t="shared" ref="I13:AE13" si="7">I15+I16+I17</f>
        <v>3181.5122999999999</v>
      </c>
      <c r="J13" s="15">
        <f t="shared" si="7"/>
        <v>11914.1</v>
      </c>
      <c r="K13" s="15">
        <f t="shared" si="7"/>
        <v>13893.120999999999</v>
      </c>
      <c r="L13" s="15">
        <f t="shared" si="7"/>
        <v>11303.02</v>
      </c>
      <c r="M13" s="15">
        <f t="shared" si="7"/>
        <v>10899.004000000001</v>
      </c>
      <c r="N13" s="15">
        <f t="shared" si="7"/>
        <v>12862.41</v>
      </c>
      <c r="O13" s="15">
        <f t="shared" si="7"/>
        <v>12090.86</v>
      </c>
      <c r="P13" s="15">
        <f>P15+P16+P17</f>
        <v>15561.174000000001</v>
      </c>
      <c r="Q13" s="15">
        <f t="shared" si="7"/>
        <v>13059.433000000001</v>
      </c>
      <c r="R13" s="15">
        <f t="shared" si="7"/>
        <v>16713.279740000002</v>
      </c>
      <c r="S13" s="15">
        <f>S15+S16+S17</f>
        <v>19155.748739999999</v>
      </c>
      <c r="T13" s="15">
        <f t="shared" si="7"/>
        <v>12155.44902</v>
      </c>
      <c r="U13" s="15">
        <f t="shared" si="7"/>
        <v>15308.666710000001</v>
      </c>
      <c r="V13" s="15">
        <f t="shared" si="7"/>
        <v>8580.512999999999</v>
      </c>
      <c r="W13" s="15">
        <f t="shared" si="7"/>
        <v>6085.3892299999998</v>
      </c>
      <c r="X13" s="15">
        <f t="shared" si="7"/>
        <v>11004.534</v>
      </c>
      <c r="Y13" s="15">
        <f t="shared" si="7"/>
        <v>8645.021999999999</v>
      </c>
      <c r="Z13" s="15">
        <f t="shared" si="7"/>
        <v>12405.433000000001</v>
      </c>
      <c r="AA13" s="15">
        <f t="shared" si="7"/>
        <v>11464.117740000002</v>
      </c>
      <c r="AB13" s="15">
        <f t="shared" si="7"/>
        <v>11614.09</v>
      </c>
      <c r="AC13" s="15">
        <f>AC15+AC16+AC17</f>
        <v>10420.30142</v>
      </c>
      <c r="AD13" s="15">
        <f t="shared" si="7"/>
        <v>14846.39724</v>
      </c>
      <c r="AE13" s="15">
        <f t="shared" si="7"/>
        <v>0</v>
      </c>
      <c r="AF13" s="108" t="s">
        <v>70</v>
      </c>
      <c r="AG13" s="35">
        <f t="shared" si="5"/>
        <v>10745.523619999978</v>
      </c>
      <c r="AI13" s="35">
        <f t="shared" si="1"/>
        <v>149795.09699999998</v>
      </c>
      <c r="AJ13" s="35">
        <f t="shared" si="2"/>
        <v>123334.60975999999</v>
      </c>
      <c r="AK13" s="35">
        <f t="shared" si="3"/>
        <v>113782.87472000001</v>
      </c>
    </row>
    <row r="14" spans="1:37" s="6" customFormat="1" ht="30.75" customHeight="1" x14ac:dyDescent="0.2">
      <c r="A14" s="32" t="s">
        <v>43</v>
      </c>
      <c r="B14" s="17">
        <f>AD14</f>
        <v>0</v>
      </c>
      <c r="C14" s="16">
        <f>H14</f>
        <v>0</v>
      </c>
      <c r="D14" s="16">
        <f>AD14</f>
        <v>0</v>
      </c>
      <c r="E14" s="16">
        <f>SUM(I14+K14+M14+O14+Q14+S14+U14+W14+Y14+AA14+AC14+AE14)</f>
        <v>0</v>
      </c>
      <c r="F14" s="17">
        <v>0</v>
      </c>
      <c r="G14" s="17">
        <v>0</v>
      </c>
      <c r="H14" s="16">
        <v>0</v>
      </c>
      <c r="I14" s="16">
        <v>0</v>
      </c>
      <c r="J14" s="16">
        <v>0</v>
      </c>
      <c r="K14" s="16">
        <v>0</v>
      </c>
      <c r="L14" s="16">
        <v>0</v>
      </c>
      <c r="M14" s="16">
        <v>0</v>
      </c>
      <c r="N14" s="26">
        <v>0</v>
      </c>
      <c r="O14" s="16">
        <v>0</v>
      </c>
      <c r="P14" s="16">
        <v>0</v>
      </c>
      <c r="Q14" s="16">
        <v>0</v>
      </c>
      <c r="R14" s="16">
        <v>0</v>
      </c>
      <c r="S14" s="16">
        <v>0</v>
      </c>
      <c r="T14" s="16">
        <v>0</v>
      </c>
      <c r="U14" s="16">
        <v>0</v>
      </c>
      <c r="V14" s="16">
        <v>0</v>
      </c>
      <c r="W14" s="16">
        <v>0</v>
      </c>
      <c r="X14" s="16">
        <v>0</v>
      </c>
      <c r="Y14" s="16">
        <v>0</v>
      </c>
      <c r="Z14" s="16">
        <v>0</v>
      </c>
      <c r="AA14" s="15">
        <v>0</v>
      </c>
      <c r="AB14" s="16">
        <v>0</v>
      </c>
      <c r="AC14" s="16">
        <v>0</v>
      </c>
      <c r="AD14" s="16">
        <v>0</v>
      </c>
      <c r="AE14" s="15"/>
      <c r="AF14" s="109"/>
      <c r="AG14" s="35">
        <f t="shared" si="5"/>
        <v>0</v>
      </c>
      <c r="AI14" s="35">
        <f t="shared" si="1"/>
        <v>0</v>
      </c>
      <c r="AJ14" s="35">
        <f t="shared" si="2"/>
        <v>0</v>
      </c>
      <c r="AK14" s="35">
        <f t="shared" si="3"/>
        <v>0</v>
      </c>
    </row>
    <row r="15" spans="1:37" s="6" customFormat="1" ht="27.75" customHeight="1" x14ac:dyDescent="0.25">
      <c r="A15" s="23" t="s">
        <v>20</v>
      </c>
      <c r="B15" s="17">
        <f>H15+J15+L15+N15+P15+R15+T15+V15+X15+Z15+AB15+AD15</f>
        <v>0</v>
      </c>
      <c r="C15" s="16">
        <f>I15+K15+M15+O15+Q15+S15+U15+W15+Y15+AA15+AC15+AE15</f>
        <v>0</v>
      </c>
      <c r="D15" s="16">
        <f>J15+L15+N15+P15+R15+T15+V15+X15+Z15+AB15+AD15+AF15</f>
        <v>0</v>
      </c>
      <c r="E15" s="16">
        <f>SUM(I15+K15+M15+O15+Q15+S15+U15+W15+Y15+AA15+AC15+AE15)</f>
        <v>0</v>
      </c>
      <c r="F15" s="17">
        <v>0</v>
      </c>
      <c r="G15" s="17">
        <v>0</v>
      </c>
      <c r="H15" s="16">
        <v>0</v>
      </c>
      <c r="I15" s="16">
        <v>0</v>
      </c>
      <c r="J15" s="16">
        <v>0</v>
      </c>
      <c r="K15" s="16">
        <v>0</v>
      </c>
      <c r="L15" s="16">
        <v>0</v>
      </c>
      <c r="M15" s="16">
        <v>0</v>
      </c>
      <c r="N15" s="2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5"/>
      <c r="AF15" s="109"/>
      <c r="AG15" s="35">
        <f t="shared" si="5"/>
        <v>0</v>
      </c>
      <c r="AI15" s="35">
        <f t="shared" si="1"/>
        <v>0</v>
      </c>
      <c r="AJ15" s="35">
        <f t="shared" si="2"/>
        <v>0</v>
      </c>
      <c r="AK15" s="35">
        <f t="shared" si="3"/>
        <v>0</v>
      </c>
    </row>
    <row r="16" spans="1:37" s="6" customFormat="1" ht="372" customHeight="1" x14ac:dyDescent="0.25">
      <c r="A16" s="23" t="s">
        <v>21</v>
      </c>
      <c r="B16" s="17">
        <f>H16+J16+L16+N16+P16+R16+T16+V16+X16+Z16+AB16+AD16</f>
        <v>142341.59700000001</v>
      </c>
      <c r="C16" s="16">
        <f>H16+J16+L16+N16+P16+R16+T16+V16+X16+Z16+AB16</f>
        <v>131580.497</v>
      </c>
      <c r="D16" s="16">
        <f>E16</f>
        <v>121625.40787000001</v>
      </c>
      <c r="E16" s="16">
        <f>SUM(I16+K16+M16+O16+Q16+S16+U16+W16+Y16+AA16+AC16+AE16)</f>
        <v>121625.40787000001</v>
      </c>
      <c r="F16" s="17">
        <f>E16/B16*100</f>
        <v>85.446145352717934</v>
      </c>
      <c r="G16" s="17">
        <f>E16/C16*100</f>
        <v>92.434221364888145</v>
      </c>
      <c r="H16" s="16">
        <f>10834697/1000</f>
        <v>10834.697</v>
      </c>
      <c r="I16" s="16">
        <f>3181512.3/1000</f>
        <v>3181.5122999999999</v>
      </c>
      <c r="J16" s="16">
        <v>11914.1</v>
      </c>
      <c r="K16" s="16">
        <v>13893.120999999999</v>
      </c>
      <c r="L16" s="16">
        <v>11303.02</v>
      </c>
      <c r="M16" s="16">
        <v>10899.004000000001</v>
      </c>
      <c r="N16" s="16">
        <v>12862.41</v>
      </c>
      <c r="O16" s="16">
        <v>12090.86</v>
      </c>
      <c r="P16" s="16">
        <f>15561174/1000</f>
        <v>15561.174000000001</v>
      </c>
      <c r="Q16" s="16">
        <v>13059.433000000001</v>
      </c>
      <c r="R16" s="16">
        <f>(14870296+743000)/1000</f>
        <v>15613.296</v>
      </c>
      <c r="S16" s="16">
        <v>18055.764999999999</v>
      </c>
      <c r="T16" s="16">
        <v>12045.33</v>
      </c>
      <c r="U16" s="16">
        <f>15198546.71/1000</f>
        <v>15198.546710000001</v>
      </c>
      <c r="V16" s="16">
        <f>8202.213+70</f>
        <v>8272.2129999999997</v>
      </c>
      <c r="W16" s="16">
        <f>5900472.97/1000</f>
        <v>5900.4729699999998</v>
      </c>
      <c r="X16" s="26">
        <f>10326.31+61.624</f>
        <v>10387.933999999999</v>
      </c>
      <c r="Y16" s="26">
        <v>7905.0389999999998</v>
      </c>
      <c r="Z16" s="16">
        <v>11788.833000000001</v>
      </c>
      <c r="AA16" s="16">
        <f>11251376.05/1000</f>
        <v>11251.376050000001</v>
      </c>
      <c r="AB16" s="26">
        <v>10997.49</v>
      </c>
      <c r="AC16" s="16">
        <f>10190277.84/1000</f>
        <v>10190.277840000001</v>
      </c>
      <c r="AD16" s="26">
        <v>10761.1</v>
      </c>
      <c r="AE16" s="26"/>
      <c r="AF16" s="110"/>
      <c r="AG16" s="35">
        <f t="shared" si="5"/>
        <v>9955.089129999993</v>
      </c>
      <c r="AI16" s="35">
        <f t="shared" si="1"/>
        <v>142341.59700000001</v>
      </c>
      <c r="AJ16" s="35">
        <f t="shared" si="2"/>
        <v>120583.007</v>
      </c>
      <c r="AK16" s="35">
        <f t="shared" si="3"/>
        <v>111435.13003000001</v>
      </c>
    </row>
    <row r="17" spans="1:37" s="6" customFormat="1" ht="57.75" customHeight="1" x14ac:dyDescent="0.2">
      <c r="A17" s="52" t="s">
        <v>56</v>
      </c>
      <c r="B17" s="17">
        <f>H17+J17+L17+N17+P17+R17+T17+V17+X17+Z17+AB17+AD17</f>
        <v>7453.5</v>
      </c>
      <c r="C17" s="16">
        <f>H17+J17+L17+N17+P17+R17+T17+V17+X17+Z17+AB17</f>
        <v>3368.2027599999997</v>
      </c>
      <c r="D17" s="16">
        <f>E17</f>
        <v>2577.7682699999996</v>
      </c>
      <c r="E17" s="16">
        <f>SUM(I17+K17+M17+O17+Q17+S17+U17+W17+Y17+AA17+AC17+AE17)</f>
        <v>2577.7682699999996</v>
      </c>
      <c r="F17" s="17">
        <f>E17/B17*100</f>
        <v>34.584668544978861</v>
      </c>
      <c r="G17" s="17">
        <f>E17/C17*100</f>
        <v>76.532455249220206</v>
      </c>
      <c r="H17" s="16">
        <v>0</v>
      </c>
      <c r="I17" s="26">
        <v>0</v>
      </c>
      <c r="J17" s="26">
        <v>0</v>
      </c>
      <c r="K17" s="26">
        <v>0</v>
      </c>
      <c r="L17" s="26">
        <v>0</v>
      </c>
      <c r="M17" s="26">
        <v>0</v>
      </c>
      <c r="N17" s="26">
        <v>0</v>
      </c>
      <c r="O17" s="26">
        <v>0</v>
      </c>
      <c r="P17" s="26">
        <v>0</v>
      </c>
      <c r="Q17" s="26">
        <v>0</v>
      </c>
      <c r="R17" s="26">
        <f>1099983.74/1000</f>
        <v>1099.9837399999999</v>
      </c>
      <c r="S17" s="16">
        <f>1099983.74/1000</f>
        <v>1099.9837399999999</v>
      </c>
      <c r="T17" s="16">
        <f>110119.02/1000</f>
        <v>110.11902000000001</v>
      </c>
      <c r="U17" s="16">
        <v>110.12</v>
      </c>
      <c r="V17" s="16">
        <f>308300/1000</f>
        <v>308.3</v>
      </c>
      <c r="W17" s="16">
        <f>184916.26/1000</f>
        <v>184.91626000000002</v>
      </c>
      <c r="X17" s="26">
        <v>616.6</v>
      </c>
      <c r="Y17" s="26">
        <v>739.98299999999995</v>
      </c>
      <c r="Z17" s="16">
        <v>616.6</v>
      </c>
      <c r="AA17" s="16">
        <f>212741.69/1000</f>
        <v>212.74169000000001</v>
      </c>
      <c r="AB17" s="26">
        <v>616.6</v>
      </c>
      <c r="AC17" s="16">
        <f>230023.58/1000</f>
        <v>230.02357999999998</v>
      </c>
      <c r="AD17" s="26">
        <f>4085297.24/1000</f>
        <v>4085.2972400000003</v>
      </c>
      <c r="AE17" s="26"/>
      <c r="AF17" s="76" t="s">
        <v>71</v>
      </c>
      <c r="AG17" s="35"/>
      <c r="AI17" s="35">
        <f t="shared" si="1"/>
        <v>7453.5</v>
      </c>
      <c r="AJ17" s="35">
        <f t="shared" si="2"/>
        <v>2751.6027599999998</v>
      </c>
      <c r="AK17" s="35">
        <f t="shared" si="3"/>
        <v>2347.7446899999995</v>
      </c>
    </row>
    <row r="18" spans="1:37" s="6" customFormat="1" ht="54.75" customHeight="1" x14ac:dyDescent="0.25">
      <c r="A18" s="69" t="s">
        <v>33</v>
      </c>
      <c r="B18" s="18"/>
      <c r="C18" s="15"/>
      <c r="D18" s="15"/>
      <c r="E18" s="15"/>
      <c r="F18" s="18" t="s">
        <v>29</v>
      </c>
      <c r="G18" s="18" t="s">
        <v>29</v>
      </c>
      <c r="H18" s="15"/>
      <c r="I18" s="15"/>
      <c r="J18" s="15"/>
      <c r="K18" s="15"/>
      <c r="L18" s="15"/>
      <c r="M18" s="15"/>
      <c r="N18" s="47"/>
      <c r="O18" s="15"/>
      <c r="P18" s="15"/>
      <c r="Q18" s="15"/>
      <c r="R18" s="15"/>
      <c r="S18" s="15"/>
      <c r="T18" s="15"/>
      <c r="U18" s="15"/>
      <c r="V18" s="15"/>
      <c r="W18" s="15"/>
      <c r="X18" s="15"/>
      <c r="Y18" s="15"/>
      <c r="Z18" s="15"/>
      <c r="AA18" s="15"/>
      <c r="AB18" s="15"/>
      <c r="AC18" s="15"/>
      <c r="AD18" s="15"/>
      <c r="AE18" s="15"/>
      <c r="AF18" s="116" t="s">
        <v>72</v>
      </c>
      <c r="AG18" s="35">
        <f t="shared" si="5"/>
        <v>0</v>
      </c>
      <c r="AI18" s="35">
        <f t="shared" si="1"/>
        <v>0</v>
      </c>
      <c r="AJ18" s="35">
        <f t="shared" si="2"/>
        <v>0</v>
      </c>
      <c r="AK18" s="35">
        <f t="shared" si="3"/>
        <v>0</v>
      </c>
    </row>
    <row r="19" spans="1:37" s="6" customFormat="1" ht="22.5" customHeight="1" x14ac:dyDescent="0.25">
      <c r="A19" s="69" t="s">
        <v>24</v>
      </c>
      <c r="B19" s="18">
        <f>B21+B20</f>
        <v>370.2</v>
      </c>
      <c r="C19" s="18">
        <f>C21+C20</f>
        <v>352.77</v>
      </c>
      <c r="D19" s="18">
        <f>D21+D20</f>
        <v>249.62844999999999</v>
      </c>
      <c r="E19" s="18">
        <f>E20+E21</f>
        <v>249.62844999999999</v>
      </c>
      <c r="F19" s="18">
        <f>E19/B19*100</f>
        <v>67.430699621826037</v>
      </c>
      <c r="G19" s="18">
        <f>E19/C19*100</f>
        <v>70.762380587918472</v>
      </c>
      <c r="H19" s="15">
        <f>H20+H21</f>
        <v>96.1</v>
      </c>
      <c r="I19" s="15">
        <f t="shared" ref="I19:AE19" si="8">I20+I21</f>
        <v>0</v>
      </c>
      <c r="J19" s="15">
        <f t="shared" si="8"/>
        <v>34.11</v>
      </c>
      <c r="K19" s="15">
        <f t="shared" si="8"/>
        <v>43.601999999999997</v>
      </c>
      <c r="L19" s="15">
        <f>L20+L21</f>
        <v>8.81</v>
      </c>
      <c r="M19" s="15">
        <f t="shared" si="8"/>
        <v>0</v>
      </c>
      <c r="N19" s="47">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0</v>
      </c>
      <c r="X19" s="15">
        <f t="shared" si="8"/>
        <v>7.6</v>
      </c>
      <c r="Y19" s="15">
        <f t="shared" si="8"/>
        <v>0</v>
      </c>
      <c r="Z19" s="15">
        <f t="shared" si="8"/>
        <v>35.96</v>
      </c>
      <c r="AA19" s="15">
        <f t="shared" si="8"/>
        <v>68.303920000000005</v>
      </c>
      <c r="AB19" s="15">
        <f t="shared" si="8"/>
        <v>19.02</v>
      </c>
      <c r="AC19" s="15">
        <f t="shared" si="8"/>
        <v>10.372999999999999</v>
      </c>
      <c r="AD19" s="15">
        <f t="shared" si="8"/>
        <v>17.440000000000001</v>
      </c>
      <c r="AE19" s="15">
        <f t="shared" si="8"/>
        <v>0</v>
      </c>
      <c r="AF19" s="117"/>
      <c r="AG19" s="35">
        <f t="shared" si="5"/>
        <v>103.14155</v>
      </c>
      <c r="AI19" s="35">
        <f t="shared" si="1"/>
        <v>370.21</v>
      </c>
      <c r="AJ19" s="35">
        <f t="shared" si="2"/>
        <v>333.75</v>
      </c>
      <c r="AK19" s="35">
        <f t="shared" si="3"/>
        <v>239.25545</v>
      </c>
    </row>
    <row r="20" spans="1:37" s="6" customFormat="1" ht="24.75" customHeight="1" x14ac:dyDescent="0.25">
      <c r="A20" s="68" t="s">
        <v>20</v>
      </c>
      <c r="B20" s="17">
        <v>0</v>
      </c>
      <c r="C20" s="16">
        <v>0</v>
      </c>
      <c r="D20" s="16">
        <v>0</v>
      </c>
      <c r="E20" s="17">
        <f>SUM(I20+K20+M20+O20+Q20+S20+U20+W20+Y20+AA20+AC20+AE20)</f>
        <v>0</v>
      </c>
      <c r="F20" s="17">
        <v>0</v>
      </c>
      <c r="G20" s="17">
        <v>0</v>
      </c>
      <c r="H20" s="16">
        <v>0</v>
      </c>
      <c r="I20" s="16">
        <v>0</v>
      </c>
      <c r="J20" s="16">
        <v>0</v>
      </c>
      <c r="K20" s="16">
        <v>0</v>
      </c>
      <c r="L20" s="16">
        <v>0</v>
      </c>
      <c r="M20" s="16">
        <v>0</v>
      </c>
      <c r="N20" s="26">
        <v>0</v>
      </c>
      <c r="O20" s="16">
        <v>0</v>
      </c>
      <c r="P20" s="16">
        <v>0</v>
      </c>
      <c r="Q20" s="16">
        <v>0</v>
      </c>
      <c r="R20" s="16">
        <v>0</v>
      </c>
      <c r="S20" s="15">
        <v>0</v>
      </c>
      <c r="T20" s="16">
        <v>0</v>
      </c>
      <c r="U20" s="16">
        <v>0</v>
      </c>
      <c r="V20" s="16">
        <v>0</v>
      </c>
      <c r="W20" s="16">
        <v>0</v>
      </c>
      <c r="X20" s="16">
        <v>0</v>
      </c>
      <c r="Y20" s="15"/>
      <c r="Z20" s="16">
        <v>0</v>
      </c>
      <c r="AA20" s="16">
        <v>0</v>
      </c>
      <c r="AB20" s="16">
        <v>0</v>
      </c>
      <c r="AC20" s="16">
        <v>0</v>
      </c>
      <c r="AD20" s="16">
        <v>0</v>
      </c>
      <c r="AE20" s="15"/>
      <c r="AF20" s="117"/>
      <c r="AG20" s="35">
        <f t="shared" si="5"/>
        <v>0</v>
      </c>
      <c r="AI20" s="35">
        <f t="shared" si="1"/>
        <v>0</v>
      </c>
      <c r="AJ20" s="35">
        <f t="shared" si="2"/>
        <v>0</v>
      </c>
      <c r="AK20" s="35">
        <f t="shared" si="3"/>
        <v>0</v>
      </c>
    </row>
    <row r="21" spans="1:37" s="6" customFormat="1" ht="119.25" customHeight="1" x14ac:dyDescent="0.25">
      <c r="A21" s="68" t="s">
        <v>21</v>
      </c>
      <c r="B21" s="17">
        <v>370.2</v>
      </c>
      <c r="C21" s="16">
        <f>H21+J21+L21+N21+P21+R21+T21+V21+X21+Z21+AB21</f>
        <v>352.77</v>
      </c>
      <c r="D21" s="16">
        <f>E21</f>
        <v>249.62844999999999</v>
      </c>
      <c r="E21" s="17">
        <f>SUM(I21+K21+M21+O21+Q21+S21+U21+W21+Y21+AA21+AC21+AE21)</f>
        <v>249.62844999999999</v>
      </c>
      <c r="F21" s="17">
        <f>E21/B21*100</f>
        <v>67.430699621826037</v>
      </c>
      <c r="G21" s="17">
        <f>E21/C21*100</f>
        <v>70.762380587918472</v>
      </c>
      <c r="H21" s="16">
        <v>96.1</v>
      </c>
      <c r="I21" s="16">
        <v>0</v>
      </c>
      <c r="J21" s="16">
        <v>34.11</v>
      </c>
      <c r="K21" s="16">
        <f>43602/1000</f>
        <v>43.601999999999997</v>
      </c>
      <c r="L21" s="16">
        <v>8.81</v>
      </c>
      <c r="M21" s="16">
        <v>0</v>
      </c>
      <c r="N21" s="26">
        <v>57.12</v>
      </c>
      <c r="O21" s="16">
        <f>67503/1000</f>
        <v>67.503</v>
      </c>
      <c r="P21" s="16">
        <v>15.78</v>
      </c>
      <c r="Q21" s="16">
        <f>11367.97/1000</f>
        <v>11.36797</v>
      </c>
      <c r="R21" s="16">
        <v>40.17</v>
      </c>
      <c r="S21" s="16">
        <f>35793.38/1000</f>
        <v>35.793379999999999</v>
      </c>
      <c r="T21" s="16">
        <v>0</v>
      </c>
      <c r="U21" s="16">
        <f>12685.18/1000</f>
        <v>12.685180000000001</v>
      </c>
      <c r="V21" s="16">
        <v>38.1</v>
      </c>
      <c r="W21" s="16">
        <v>0</v>
      </c>
      <c r="X21" s="16">
        <v>7.6</v>
      </c>
      <c r="Y21" s="16"/>
      <c r="Z21" s="16">
        <v>35.96</v>
      </c>
      <c r="AA21" s="16">
        <f>68303.92/1000</f>
        <v>68.303920000000005</v>
      </c>
      <c r="AB21" s="16">
        <v>19.02</v>
      </c>
      <c r="AC21" s="16">
        <f>10373/1000</f>
        <v>10.372999999999999</v>
      </c>
      <c r="AD21" s="16">
        <v>17.440000000000001</v>
      </c>
      <c r="AE21" s="16"/>
      <c r="AF21" s="118"/>
      <c r="AG21" s="35">
        <f t="shared" si="5"/>
        <v>103.14155</v>
      </c>
      <c r="AI21" s="35">
        <f t="shared" si="1"/>
        <v>370.21</v>
      </c>
      <c r="AJ21" s="35">
        <f t="shared" si="2"/>
        <v>333.75</v>
      </c>
      <c r="AK21" s="35">
        <f t="shared" si="3"/>
        <v>239.25545</v>
      </c>
    </row>
    <row r="22" spans="1:37" s="6" customFormat="1" ht="69.75" customHeight="1" x14ac:dyDescent="0.2">
      <c r="A22" s="70" t="s">
        <v>49</v>
      </c>
      <c r="B22" s="18"/>
      <c r="C22" s="15"/>
      <c r="D22" s="15"/>
      <c r="E22" s="15"/>
      <c r="F22" s="18" t="s">
        <v>29</v>
      </c>
      <c r="G22" s="17"/>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08" t="s">
        <v>57</v>
      </c>
      <c r="AG22" s="35">
        <f t="shared" si="5"/>
        <v>0</v>
      </c>
      <c r="AI22" s="35">
        <f t="shared" si="1"/>
        <v>0</v>
      </c>
      <c r="AJ22" s="35">
        <f t="shared" si="2"/>
        <v>0</v>
      </c>
      <c r="AK22" s="35">
        <f t="shared" si="3"/>
        <v>0</v>
      </c>
    </row>
    <row r="23" spans="1:37" s="6" customFormat="1" ht="24" customHeight="1" x14ac:dyDescent="0.25">
      <c r="A23" s="69" t="s">
        <v>24</v>
      </c>
      <c r="B23" s="18">
        <f>B24+B25</f>
        <v>8.3000000000000007</v>
      </c>
      <c r="C23" s="18">
        <f>SUM(C24:C25)</f>
        <v>8.3000000000000007</v>
      </c>
      <c r="D23" s="18">
        <f>SUM(D24:D25)</f>
        <v>8.3000000000000007</v>
      </c>
      <c r="E23" s="15">
        <f>E24+E25</f>
        <v>8.3000000000000007</v>
      </c>
      <c r="F23" s="18">
        <f>E23/B23*100</f>
        <v>100</v>
      </c>
      <c r="G23" s="18">
        <f t="shared" ref="G23" si="9">E23/C23*100</f>
        <v>100</v>
      </c>
      <c r="H23" s="15">
        <f>H24+H25</f>
        <v>0</v>
      </c>
      <c r="I23" s="15">
        <f t="shared" ref="I23:AE23" si="10">I24+I25</f>
        <v>0</v>
      </c>
      <c r="J23" s="15">
        <f t="shared" si="10"/>
        <v>0</v>
      </c>
      <c r="K23" s="15">
        <f t="shared" si="10"/>
        <v>0</v>
      </c>
      <c r="L23" s="15">
        <f t="shared" si="10"/>
        <v>0</v>
      </c>
      <c r="M23" s="15">
        <f t="shared" si="10"/>
        <v>0</v>
      </c>
      <c r="N23" s="15">
        <f t="shared" si="10"/>
        <v>0</v>
      </c>
      <c r="O23" s="15">
        <f t="shared" si="10"/>
        <v>0</v>
      </c>
      <c r="P23" s="15">
        <f t="shared" si="10"/>
        <v>8.3000000000000007</v>
      </c>
      <c r="Q23" s="15">
        <f t="shared" si="10"/>
        <v>8.3000000000000007</v>
      </c>
      <c r="R23" s="15">
        <f t="shared" si="10"/>
        <v>0</v>
      </c>
      <c r="S23" s="15">
        <f t="shared" si="10"/>
        <v>0</v>
      </c>
      <c r="T23" s="15">
        <f t="shared" si="10"/>
        <v>0</v>
      </c>
      <c r="U23" s="15">
        <f t="shared" si="10"/>
        <v>0</v>
      </c>
      <c r="V23" s="15">
        <f t="shared" si="10"/>
        <v>0</v>
      </c>
      <c r="W23" s="15">
        <f t="shared" si="10"/>
        <v>0</v>
      </c>
      <c r="X23" s="15">
        <f t="shared" si="10"/>
        <v>0</v>
      </c>
      <c r="Y23" s="15">
        <f t="shared" si="10"/>
        <v>0</v>
      </c>
      <c r="Z23" s="15">
        <f t="shared" si="10"/>
        <v>0</v>
      </c>
      <c r="AA23" s="15">
        <f t="shared" si="10"/>
        <v>0</v>
      </c>
      <c r="AB23" s="15">
        <f t="shared" si="10"/>
        <v>0</v>
      </c>
      <c r="AC23" s="15">
        <f t="shared" si="10"/>
        <v>0</v>
      </c>
      <c r="AD23" s="15">
        <f t="shared" si="10"/>
        <v>0</v>
      </c>
      <c r="AE23" s="15">
        <f t="shared" si="10"/>
        <v>0</v>
      </c>
      <c r="AF23" s="109"/>
      <c r="AG23" s="35">
        <f t="shared" si="5"/>
        <v>0</v>
      </c>
      <c r="AI23" s="35">
        <f t="shared" si="1"/>
        <v>8.3000000000000007</v>
      </c>
      <c r="AJ23" s="35">
        <f t="shared" si="2"/>
        <v>8.3000000000000007</v>
      </c>
      <c r="AK23" s="35">
        <f t="shared" si="3"/>
        <v>8.3000000000000007</v>
      </c>
    </row>
    <row r="24" spans="1:37" s="6" customFormat="1" ht="22.5" customHeight="1" x14ac:dyDescent="0.25">
      <c r="A24" s="68" t="s">
        <v>20</v>
      </c>
      <c r="B24" s="17">
        <v>0</v>
      </c>
      <c r="C24" s="16">
        <v>0</v>
      </c>
      <c r="D24" s="16">
        <v>0</v>
      </c>
      <c r="E24" s="16">
        <f>I24+K24+M24+O24+Q24+S24+U24+W24+Y24+AA24+AC24+AE24</f>
        <v>0</v>
      </c>
      <c r="F24" s="17">
        <v>0</v>
      </c>
      <c r="G24" s="17">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c r="AF24" s="109"/>
      <c r="AG24" s="35">
        <f t="shared" si="5"/>
        <v>0</v>
      </c>
      <c r="AI24" s="35">
        <f t="shared" si="1"/>
        <v>0</v>
      </c>
      <c r="AJ24" s="35">
        <f t="shared" si="2"/>
        <v>0</v>
      </c>
      <c r="AK24" s="35">
        <f t="shared" si="3"/>
        <v>0</v>
      </c>
    </row>
    <row r="25" spans="1:37" s="6" customFormat="1" ht="22.5" customHeight="1" x14ac:dyDescent="0.25">
      <c r="A25" s="68" t="s">
        <v>21</v>
      </c>
      <c r="B25" s="17">
        <f>H25+J25+L25+N25+P25+R25+T25+V25+X25+Z25+AB25+AD25</f>
        <v>8.3000000000000007</v>
      </c>
      <c r="C25" s="16">
        <f>P25</f>
        <v>8.3000000000000007</v>
      </c>
      <c r="D25" s="16">
        <f>C25</f>
        <v>8.3000000000000007</v>
      </c>
      <c r="E25" s="16">
        <f>I25+K25+M25+O25+Q25+S25+U25+W25+Y25+AA25+AC25+AE25</f>
        <v>8.3000000000000007</v>
      </c>
      <c r="F25" s="17">
        <f>E25/B25*100</f>
        <v>100</v>
      </c>
      <c r="G25" s="16">
        <f t="shared" ref="G25:G35" si="11">E25/C25*100</f>
        <v>100</v>
      </c>
      <c r="H25" s="16">
        <v>0</v>
      </c>
      <c r="I25" s="16">
        <v>0</v>
      </c>
      <c r="J25" s="16">
        <v>0</v>
      </c>
      <c r="K25" s="16">
        <v>0</v>
      </c>
      <c r="L25" s="16">
        <v>0</v>
      </c>
      <c r="M25" s="16">
        <v>0</v>
      </c>
      <c r="N25" s="16">
        <v>0</v>
      </c>
      <c r="O25" s="16">
        <v>0</v>
      </c>
      <c r="P25" s="16">
        <v>8.3000000000000007</v>
      </c>
      <c r="Q25" s="16">
        <v>8.3000000000000007</v>
      </c>
      <c r="R25" s="16">
        <v>0</v>
      </c>
      <c r="S25" s="16">
        <v>0</v>
      </c>
      <c r="T25" s="16">
        <v>0</v>
      </c>
      <c r="U25" s="16">
        <v>0</v>
      </c>
      <c r="V25" s="16">
        <v>0</v>
      </c>
      <c r="W25" s="16">
        <v>0</v>
      </c>
      <c r="X25" s="16">
        <v>0</v>
      </c>
      <c r="Y25" s="16">
        <v>0</v>
      </c>
      <c r="Z25" s="16">
        <v>0</v>
      </c>
      <c r="AA25" s="16">
        <v>0</v>
      </c>
      <c r="AB25" s="16">
        <v>0</v>
      </c>
      <c r="AC25" s="16">
        <v>0</v>
      </c>
      <c r="AD25" s="16">
        <v>0</v>
      </c>
      <c r="AE25" s="16"/>
      <c r="AF25" s="110"/>
      <c r="AG25" s="35">
        <f t="shared" si="5"/>
        <v>0</v>
      </c>
      <c r="AI25" s="35">
        <f t="shared" si="1"/>
        <v>8.3000000000000007</v>
      </c>
      <c r="AJ25" s="35">
        <f t="shared" si="2"/>
        <v>8.3000000000000007</v>
      </c>
      <c r="AK25" s="35">
        <f t="shared" si="3"/>
        <v>8.3000000000000007</v>
      </c>
    </row>
    <row r="26" spans="1:37" s="6" customFormat="1" ht="46.5" customHeight="1" x14ac:dyDescent="0.25">
      <c r="A26" s="69"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13"/>
      <c r="AG26" s="35">
        <f t="shared" si="5"/>
        <v>0</v>
      </c>
      <c r="AI26" s="35">
        <f t="shared" si="1"/>
        <v>0</v>
      </c>
      <c r="AJ26" s="35">
        <f t="shared" si="2"/>
        <v>0</v>
      </c>
      <c r="AK26" s="35">
        <f t="shared" si="3"/>
        <v>0</v>
      </c>
    </row>
    <row r="27" spans="1:37" s="6" customFormat="1" ht="24.75" customHeight="1" x14ac:dyDescent="0.25">
      <c r="A27" s="69" t="s">
        <v>24</v>
      </c>
      <c r="B27" s="18">
        <f>H27+J27+L27+N27+P27+R27+T27+V27+X27+Z27+AB27+AD27</f>
        <v>7193.0999999999995</v>
      </c>
      <c r="C27" s="15">
        <f>SUM(C28:C30)</f>
        <v>7193.1</v>
      </c>
      <c r="D27" s="15">
        <f>SUM(D28:D30)</f>
        <v>6936.0560000000005</v>
      </c>
      <c r="E27" s="15">
        <f>E28+E29+E30</f>
        <v>6936.0590000000011</v>
      </c>
      <c r="F27" s="15">
        <f t="shared" ref="F27:F35" si="12">E27/B27*100</f>
        <v>96.426561565945164</v>
      </c>
      <c r="G27" s="15">
        <f>E27/C27*100</f>
        <v>96.42656156594515</v>
      </c>
      <c r="H27" s="15">
        <f>H28+H29+H30+H31</f>
        <v>0</v>
      </c>
      <c r="I27" s="15">
        <f t="shared" ref="I27:AE27" si="13">I28+I29+I30+I31</f>
        <v>0</v>
      </c>
      <c r="J27" s="15">
        <f t="shared" si="13"/>
        <v>0</v>
      </c>
      <c r="K27" s="15">
        <f t="shared" si="13"/>
        <v>0</v>
      </c>
      <c r="L27" s="15">
        <f>L28+L29+L30</f>
        <v>36.104999999999997</v>
      </c>
      <c r="M27" s="15">
        <f>M28+M29+M30</f>
        <v>36.104999999999997</v>
      </c>
      <c r="N27" s="15">
        <f>N28+N29+N30</f>
        <v>45.3</v>
      </c>
      <c r="O27" s="15">
        <f>O28+O29+O30</f>
        <v>45.3</v>
      </c>
      <c r="P27" s="15">
        <f>P28+P29+P30+P31</f>
        <v>3658.4</v>
      </c>
      <c r="Q27" s="15">
        <f t="shared" si="13"/>
        <v>0</v>
      </c>
      <c r="R27" s="15">
        <f>R28+R29+R30</f>
        <v>1001.837</v>
      </c>
      <c r="S27" s="15">
        <f t="shared" si="13"/>
        <v>1209.8499999999999</v>
      </c>
      <c r="T27" s="15">
        <f>T28+T29+T30</f>
        <v>2269</v>
      </c>
      <c r="U27" s="15">
        <f t="shared" si="13"/>
        <v>5385.4129999999996</v>
      </c>
      <c r="V27" s="15">
        <f t="shared" si="13"/>
        <v>0</v>
      </c>
      <c r="W27" s="15">
        <f t="shared" si="13"/>
        <v>45</v>
      </c>
      <c r="X27" s="15">
        <f t="shared" si="13"/>
        <v>0</v>
      </c>
      <c r="Y27" s="15">
        <f t="shared" si="13"/>
        <v>57.9</v>
      </c>
      <c r="Z27" s="15">
        <f>Z28+Z29+Z30</f>
        <v>182.45800000000003</v>
      </c>
      <c r="AA27" s="15">
        <f>AA28+AA29+AA30+AA31</f>
        <v>191.58800000000002</v>
      </c>
      <c r="AB27" s="15">
        <f t="shared" si="13"/>
        <v>0</v>
      </c>
      <c r="AC27" s="15">
        <f t="shared" si="13"/>
        <v>0</v>
      </c>
      <c r="AD27" s="15">
        <f t="shared" si="13"/>
        <v>0</v>
      </c>
      <c r="AE27" s="15">
        <f t="shared" si="13"/>
        <v>0</v>
      </c>
      <c r="AF27" s="115"/>
      <c r="AG27" s="35">
        <f t="shared" si="5"/>
        <v>257.04099999999926</v>
      </c>
      <c r="AI27" s="35">
        <f t="shared" si="1"/>
        <v>7193.0999999999995</v>
      </c>
      <c r="AJ27" s="35">
        <f t="shared" si="2"/>
        <v>7193.0999999999995</v>
      </c>
      <c r="AK27" s="35">
        <f t="shared" si="3"/>
        <v>6971.155999999999</v>
      </c>
    </row>
    <row r="28" spans="1:37" s="6" customFormat="1" ht="103.5" customHeight="1" x14ac:dyDescent="0.25">
      <c r="A28" s="68" t="s">
        <v>20</v>
      </c>
      <c r="B28" s="17">
        <f t="shared" ref="B28:B35" si="14">H28+J28+L28+N28+P28+R28+T28+V28+X28+Z28+AB28+AD28</f>
        <v>2944</v>
      </c>
      <c r="C28" s="16">
        <f>H28+J28+L28+N28+P28+R28+T28+V28+X28+Z28+AB28</f>
        <v>2944</v>
      </c>
      <c r="D28" s="16">
        <f t="shared" ref="D28:D35" si="15">C28</f>
        <v>2944</v>
      </c>
      <c r="E28" s="16">
        <f>I28+K28+M28+O28+Q28+S28+U28++W28+Y28++AA28+AC28+AE28</f>
        <v>2944.0030000000002</v>
      </c>
      <c r="F28" s="16">
        <f t="shared" si="12"/>
        <v>100.00010190217392</v>
      </c>
      <c r="G28" s="16">
        <f t="shared" si="11"/>
        <v>100.00010190217392</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f>45000/1000</f>
        <v>45</v>
      </c>
      <c r="X28" s="16">
        <v>0</v>
      </c>
      <c r="Y28" s="16">
        <v>0</v>
      </c>
      <c r="Z28" s="16">
        <v>173.33</v>
      </c>
      <c r="AA28" s="16">
        <v>173.33</v>
      </c>
      <c r="AB28" s="16">
        <v>0</v>
      </c>
      <c r="AC28" s="16">
        <v>0</v>
      </c>
      <c r="AD28" s="16">
        <v>0</v>
      </c>
      <c r="AE28" s="16"/>
      <c r="AF28" s="89" t="s">
        <v>68</v>
      </c>
      <c r="AG28" s="35">
        <f t="shared" si="5"/>
        <v>-3.0000000001564331E-3</v>
      </c>
      <c r="AI28" s="35">
        <f t="shared" si="1"/>
        <v>2944</v>
      </c>
      <c r="AJ28" s="35">
        <f t="shared" si="2"/>
        <v>2944</v>
      </c>
      <c r="AK28" s="35">
        <f t="shared" si="3"/>
        <v>2944.0030000000002</v>
      </c>
    </row>
    <row r="29" spans="1:37" s="6" customFormat="1" ht="109.5" customHeight="1" x14ac:dyDescent="0.25">
      <c r="A29" s="68" t="s">
        <v>42</v>
      </c>
      <c r="B29" s="17">
        <f t="shared" si="14"/>
        <v>1200</v>
      </c>
      <c r="C29" s="16">
        <f>H29+J29+L29+N29+P29+R29+T29+V29+X29+Z29+AB29</f>
        <v>1200</v>
      </c>
      <c r="D29" s="16">
        <f t="shared" si="15"/>
        <v>1200</v>
      </c>
      <c r="E29" s="16">
        <f>I29+K29+M29+O29+Q29+S29+U29++W29+Y29++AA29+AC29+AE29</f>
        <v>1200</v>
      </c>
      <c r="F29" s="16">
        <f t="shared" si="12"/>
        <v>100</v>
      </c>
      <c r="G29" s="16">
        <f t="shared" si="11"/>
        <v>100</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v>0</v>
      </c>
      <c r="X29" s="16">
        <v>0</v>
      </c>
      <c r="Y29" s="16">
        <v>30</v>
      </c>
      <c r="Z29" s="16">
        <v>0</v>
      </c>
      <c r="AA29" s="16">
        <v>0</v>
      </c>
      <c r="AB29" s="16">
        <v>0</v>
      </c>
      <c r="AC29" s="16">
        <v>0</v>
      </c>
      <c r="AD29" s="16">
        <v>0</v>
      </c>
      <c r="AE29" s="16"/>
      <c r="AF29" s="91" t="s">
        <v>64</v>
      </c>
      <c r="AG29" s="35"/>
      <c r="AI29" s="35">
        <f t="shared" si="1"/>
        <v>1200</v>
      </c>
      <c r="AJ29" s="35">
        <f t="shared" si="2"/>
        <v>1200</v>
      </c>
      <c r="AK29" s="35">
        <f t="shared" si="3"/>
        <v>1200</v>
      </c>
    </row>
    <row r="30" spans="1:37" s="6" customFormat="1" ht="313.5" customHeight="1" x14ac:dyDescent="0.25">
      <c r="A30" s="68" t="s">
        <v>21</v>
      </c>
      <c r="B30" s="17">
        <f>H30+J30+L30+N30+P30+R30+T30+V30+X30+Z30+AB30+AD30</f>
        <v>3049.1</v>
      </c>
      <c r="C30" s="16">
        <f>H30+J30+L30+N30+P30+R30+T30+V30+X30+Z30+AB30</f>
        <v>3049.1</v>
      </c>
      <c r="D30" s="16">
        <f>E30</f>
        <v>2792.0560000000005</v>
      </c>
      <c r="E30" s="16">
        <f>I30+K30+M30+O30+Q30+S30+U30++W30+Y30++AA30+AC30+AE30</f>
        <v>2792.0560000000005</v>
      </c>
      <c r="F30" s="16">
        <f t="shared" si="12"/>
        <v>91.569840280738603</v>
      </c>
      <c r="G30" s="16">
        <f t="shared" si="11"/>
        <v>91.569840280738603</v>
      </c>
      <c r="H30" s="16">
        <v>0</v>
      </c>
      <c r="I30" s="16">
        <v>0</v>
      </c>
      <c r="J30" s="16">
        <v>0</v>
      </c>
      <c r="K30" s="16">
        <v>0</v>
      </c>
      <c r="L30" s="16">
        <f>1805/1000</f>
        <v>1.8049999999999999</v>
      </c>
      <c r="M30" s="16">
        <v>1.8049999999999999</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v>0</v>
      </c>
      <c r="X30" s="16">
        <v>0</v>
      </c>
      <c r="Y30" s="16">
        <v>27.9</v>
      </c>
      <c r="Z30" s="16">
        <f>9128/1000</f>
        <v>9.1280000000000001</v>
      </c>
      <c r="AA30" s="16">
        <v>9.1280000000000001</v>
      </c>
      <c r="AB30" s="16">
        <v>0</v>
      </c>
      <c r="AC30" s="16">
        <v>0</v>
      </c>
      <c r="AD30" s="16">
        <v>0</v>
      </c>
      <c r="AE30" s="16"/>
      <c r="AF30" s="122" t="s">
        <v>73</v>
      </c>
      <c r="AG30" s="35">
        <f t="shared" si="5"/>
        <v>257.04399999999941</v>
      </c>
      <c r="AI30" s="35">
        <f t="shared" si="1"/>
        <v>3049.1</v>
      </c>
      <c r="AJ30" s="35">
        <f t="shared" si="2"/>
        <v>3049.1</v>
      </c>
      <c r="AK30" s="35">
        <f t="shared" si="3"/>
        <v>2792.0560000000005</v>
      </c>
    </row>
    <row r="31" spans="1:37" s="6" customFormat="1" ht="67.900000000000006" customHeight="1" x14ac:dyDescent="0.25">
      <c r="A31" s="81" t="s">
        <v>53</v>
      </c>
      <c r="B31" s="82">
        <f>H31+J31+L31+N31+P31+R31+T31+V31+X31+Z31+AB31+AD31</f>
        <v>39.201999999999998</v>
      </c>
      <c r="C31" s="82">
        <f>H31+J31+L31+N31+P31+R31+T31+V31+X31+Z31+AB31</f>
        <v>39.201999999999998</v>
      </c>
      <c r="D31" s="82">
        <f t="shared" si="15"/>
        <v>39.201999999999998</v>
      </c>
      <c r="E31" s="83">
        <f t="shared" ref="E31:E35" si="16">I31+K31+M31+O31+Q31+S31+U31++W31+Y31++AA31+AC31+AE31</f>
        <v>39.201999999999998</v>
      </c>
      <c r="F31" s="83">
        <f>E31/B31*100</f>
        <v>100</v>
      </c>
      <c r="G31" s="83">
        <f>E31/C31*100</f>
        <v>100</v>
      </c>
      <c r="H31" s="82">
        <f t="shared" ref="H31:O31" si="17">H30</f>
        <v>0</v>
      </c>
      <c r="I31" s="82">
        <f t="shared" si="17"/>
        <v>0</v>
      </c>
      <c r="J31" s="82">
        <f t="shared" si="17"/>
        <v>0</v>
      </c>
      <c r="K31" s="82">
        <f t="shared" si="17"/>
        <v>0</v>
      </c>
      <c r="L31" s="82">
        <f t="shared" si="17"/>
        <v>1.8049999999999999</v>
      </c>
      <c r="M31" s="82">
        <f t="shared" si="17"/>
        <v>1.8049999999999999</v>
      </c>
      <c r="N31" s="82">
        <f t="shared" si="17"/>
        <v>2.2999999999999998</v>
      </c>
      <c r="O31" s="82">
        <f t="shared" si="17"/>
        <v>2.2999999999999998</v>
      </c>
      <c r="P31" s="82">
        <v>0</v>
      </c>
      <c r="Q31" s="82">
        <f>Q30</f>
        <v>0</v>
      </c>
      <c r="R31" s="82">
        <v>20.266999999999999</v>
      </c>
      <c r="S31" s="82">
        <v>0</v>
      </c>
      <c r="T31" s="82">
        <v>5.7</v>
      </c>
      <c r="U31" s="82">
        <f>25967/1000</f>
        <v>25.966999999999999</v>
      </c>
      <c r="V31" s="82">
        <f t="shared" ref="V31:AE31" si="18">V30</f>
        <v>0</v>
      </c>
      <c r="W31" s="82">
        <f t="shared" si="18"/>
        <v>0</v>
      </c>
      <c r="X31" s="82">
        <f t="shared" si="18"/>
        <v>0</v>
      </c>
      <c r="Y31" s="82">
        <v>0</v>
      </c>
      <c r="Z31" s="82">
        <v>9.1300000000000008</v>
      </c>
      <c r="AA31" s="82">
        <v>9.1300000000000008</v>
      </c>
      <c r="AB31" s="82">
        <f t="shared" si="18"/>
        <v>0</v>
      </c>
      <c r="AC31" s="82">
        <f t="shared" si="18"/>
        <v>0</v>
      </c>
      <c r="AD31" s="82">
        <f t="shared" si="18"/>
        <v>0</v>
      </c>
      <c r="AE31" s="82">
        <f t="shared" si="18"/>
        <v>0</v>
      </c>
      <c r="AF31" s="90" t="s">
        <v>67</v>
      </c>
      <c r="AG31" s="35"/>
      <c r="AI31" s="35">
        <f t="shared" si="1"/>
        <v>39.201999999999998</v>
      </c>
      <c r="AJ31" s="35">
        <f t="shared" si="2"/>
        <v>39.201999999999998</v>
      </c>
      <c r="AK31" s="35">
        <f t="shared" si="3"/>
        <v>39.201999999999998</v>
      </c>
    </row>
    <row r="32" spans="1:37" s="6" customFormat="1" ht="39" hidden="1" customHeight="1" x14ac:dyDescent="0.2">
      <c r="A32" s="50" t="s">
        <v>38</v>
      </c>
      <c r="B32" s="63" t="e">
        <f t="shared" si="14"/>
        <v>#REF!</v>
      </c>
      <c r="C32" s="65" t="e">
        <f>H32+J32+L32+N32</f>
        <v>#REF!</v>
      </c>
      <c r="D32" s="65" t="e">
        <f t="shared" si="15"/>
        <v>#REF!</v>
      </c>
      <c r="E32" s="65" t="e">
        <f t="shared" si="16"/>
        <v>#REF!</v>
      </c>
      <c r="F32" s="65" t="e">
        <f t="shared" si="12"/>
        <v>#REF!</v>
      </c>
      <c r="G32" s="65" t="e">
        <f t="shared" si="11"/>
        <v>#REF!</v>
      </c>
      <c r="H32" s="16">
        <v>0</v>
      </c>
      <c r="I32" s="16">
        <v>0</v>
      </c>
      <c r="J32" s="16">
        <v>0</v>
      </c>
      <c r="K32" s="16">
        <v>0</v>
      </c>
      <c r="L32" s="53" t="e">
        <f t="shared" ref="L32:AE32" si="19">L33</f>
        <v>#REF!</v>
      </c>
      <c r="M32" s="53" t="e">
        <f t="shared" si="19"/>
        <v>#REF!</v>
      </c>
      <c r="N32" s="53" t="e">
        <f t="shared" si="19"/>
        <v>#REF!</v>
      </c>
      <c r="O32" s="53" t="e">
        <f t="shared" si="19"/>
        <v>#REF!</v>
      </c>
      <c r="P32" s="53" t="e">
        <f t="shared" si="19"/>
        <v>#REF!</v>
      </c>
      <c r="Q32" s="53" t="e">
        <f t="shared" si="19"/>
        <v>#REF!</v>
      </c>
      <c r="R32" s="53" t="e">
        <f t="shared" si="19"/>
        <v>#REF!</v>
      </c>
      <c r="S32" s="64" t="e">
        <f t="shared" si="19"/>
        <v>#REF!</v>
      </c>
      <c r="T32" s="64" t="e">
        <f t="shared" si="19"/>
        <v>#REF!</v>
      </c>
      <c r="U32" s="64" t="e">
        <f t="shared" si="19"/>
        <v>#REF!</v>
      </c>
      <c r="V32" s="64" t="e">
        <f t="shared" si="19"/>
        <v>#REF!</v>
      </c>
      <c r="W32" s="64" t="e">
        <f t="shared" si="19"/>
        <v>#REF!</v>
      </c>
      <c r="X32" s="53" t="e">
        <f t="shared" si="19"/>
        <v>#REF!</v>
      </c>
      <c r="Y32" s="53" t="e">
        <f t="shared" si="19"/>
        <v>#REF!</v>
      </c>
      <c r="Z32" s="64" t="e">
        <f t="shared" si="19"/>
        <v>#REF!</v>
      </c>
      <c r="AA32" s="64" t="e">
        <f t="shared" si="19"/>
        <v>#REF!</v>
      </c>
      <c r="AB32" s="53" t="e">
        <f t="shared" si="19"/>
        <v>#REF!</v>
      </c>
      <c r="AC32" s="64" t="e">
        <f t="shared" si="19"/>
        <v>#REF!</v>
      </c>
      <c r="AD32" s="53" t="e">
        <f t="shared" si="19"/>
        <v>#REF!</v>
      </c>
      <c r="AE32" s="53" t="e">
        <f t="shared" si="19"/>
        <v>#REF!</v>
      </c>
      <c r="AF32" s="113"/>
      <c r="AG32" s="35" t="e">
        <f t="shared" si="5"/>
        <v>#REF!</v>
      </c>
      <c r="AI32" s="35" t="e">
        <f t="shared" si="1"/>
        <v>#REF!</v>
      </c>
      <c r="AJ32" s="35" t="e">
        <f t="shared" si="2"/>
        <v>#REF!</v>
      </c>
      <c r="AK32" s="35" t="e">
        <f t="shared" si="3"/>
        <v>#REF!</v>
      </c>
    </row>
    <row r="33" spans="1:37" s="6" customFormat="1" ht="41.25" hidden="1" customHeight="1" x14ac:dyDescent="0.25">
      <c r="A33" s="51" t="s">
        <v>24</v>
      </c>
      <c r="B33" s="63" t="e">
        <f t="shared" si="14"/>
        <v>#REF!</v>
      </c>
      <c r="C33" s="65" t="e">
        <f>H33+J33+L33+N33</f>
        <v>#REF!</v>
      </c>
      <c r="D33" s="65" t="e">
        <f t="shared" si="15"/>
        <v>#REF!</v>
      </c>
      <c r="E33" s="65" t="e">
        <f t="shared" si="16"/>
        <v>#REF!</v>
      </c>
      <c r="F33" s="65" t="e">
        <f t="shared" si="12"/>
        <v>#REF!</v>
      </c>
      <c r="G33" s="65" t="e">
        <f t="shared" si="11"/>
        <v>#REF!</v>
      </c>
      <c r="H33" s="16">
        <v>0</v>
      </c>
      <c r="I33" s="16">
        <v>0</v>
      </c>
      <c r="J33" s="16">
        <v>0</v>
      </c>
      <c r="K33" s="16">
        <v>0</v>
      </c>
      <c r="L33" s="54" t="e">
        <f>L34+L35+#REF!+#REF!</f>
        <v>#REF!</v>
      </c>
      <c r="M33" s="54" t="e">
        <f>M34+M35+#REF!+#REF!</f>
        <v>#REF!</v>
      </c>
      <c r="N33" s="54" t="e">
        <f>N34+N35+#REF!+#REF!</f>
        <v>#REF!</v>
      </c>
      <c r="O33" s="54" t="e">
        <f>O34+O35+#REF!+#REF!</f>
        <v>#REF!</v>
      </c>
      <c r="P33" s="54" t="e">
        <f>P34+P35+#REF!+#REF!</f>
        <v>#REF!</v>
      </c>
      <c r="Q33" s="54" t="e">
        <f>Q34+Q35+#REF!+#REF!</f>
        <v>#REF!</v>
      </c>
      <c r="R33" s="54" t="e">
        <f>R34+R35+#REF!+#REF!</f>
        <v>#REF!</v>
      </c>
      <c r="S33" s="66" t="e">
        <f>S34+S35+#REF!+#REF!</f>
        <v>#REF!</v>
      </c>
      <c r="T33" s="66" t="e">
        <f>T34+T35+#REF!+#REF!</f>
        <v>#REF!</v>
      </c>
      <c r="U33" s="66" t="e">
        <f>U34+U35+#REF!+#REF!</f>
        <v>#REF!</v>
      </c>
      <c r="V33" s="66" t="e">
        <f>V34+V35+#REF!+#REF!</f>
        <v>#REF!</v>
      </c>
      <c r="W33" s="66" t="e">
        <f>W34+W35+#REF!+#REF!</f>
        <v>#REF!</v>
      </c>
      <c r="X33" s="54" t="e">
        <f>X34+X35+#REF!+#REF!</f>
        <v>#REF!</v>
      </c>
      <c r="Y33" s="54" t="e">
        <f>Y34+Y35+#REF!+#REF!</f>
        <v>#REF!</v>
      </c>
      <c r="Z33" s="66" t="e">
        <f>Z34+Z35+#REF!+#REF!</f>
        <v>#REF!</v>
      </c>
      <c r="AA33" s="66" t="e">
        <f>AA34+AA35+#REF!+#REF!</f>
        <v>#REF!</v>
      </c>
      <c r="AB33" s="54" t="e">
        <f>AB34+AB35+#REF!+#REF!</f>
        <v>#REF!</v>
      </c>
      <c r="AC33" s="66" t="e">
        <f>AC34+AC35+#REF!+#REF!</f>
        <v>#REF!</v>
      </c>
      <c r="AD33" s="54" t="e">
        <f>AD34+AD35+#REF!+#REF!</f>
        <v>#REF!</v>
      </c>
      <c r="AE33" s="54" t="e">
        <f>AE34+AE35+#REF!+#REF!</f>
        <v>#REF!</v>
      </c>
      <c r="AF33" s="114"/>
      <c r="AG33" s="35" t="e">
        <f t="shared" si="5"/>
        <v>#REF!</v>
      </c>
      <c r="AI33" s="35" t="e">
        <f t="shared" si="1"/>
        <v>#REF!</v>
      </c>
      <c r="AJ33" s="35" t="e">
        <f t="shared" si="2"/>
        <v>#REF!</v>
      </c>
      <c r="AK33" s="35" t="e">
        <f t="shared" si="3"/>
        <v>#REF!</v>
      </c>
    </row>
    <row r="34" spans="1:37" s="6" customFormat="1" ht="29.25" hidden="1" customHeight="1" x14ac:dyDescent="0.25">
      <c r="A34" s="48" t="s">
        <v>20</v>
      </c>
      <c r="B34" s="63">
        <f t="shared" si="14"/>
        <v>0</v>
      </c>
      <c r="C34" s="65">
        <f>H34+J34+L34+N34</f>
        <v>0</v>
      </c>
      <c r="D34" s="65">
        <f t="shared" si="15"/>
        <v>0</v>
      </c>
      <c r="E34" s="65">
        <f t="shared" si="16"/>
        <v>0</v>
      </c>
      <c r="F34" s="65" t="e">
        <f t="shared" si="12"/>
        <v>#DIV/0!</v>
      </c>
      <c r="G34" s="65" t="e">
        <f t="shared" si="11"/>
        <v>#DIV/0!</v>
      </c>
      <c r="H34" s="16">
        <v>0</v>
      </c>
      <c r="I34" s="16">
        <v>0</v>
      </c>
      <c r="J34" s="16">
        <v>0</v>
      </c>
      <c r="K34" s="16">
        <v>0</v>
      </c>
      <c r="L34" s="55"/>
      <c r="M34" s="55"/>
      <c r="N34" s="55"/>
      <c r="O34" s="55"/>
      <c r="P34" s="55"/>
      <c r="Q34" s="55"/>
      <c r="R34" s="55"/>
      <c r="S34" s="65"/>
      <c r="T34" s="65"/>
      <c r="U34" s="65"/>
      <c r="V34" s="65"/>
      <c r="W34" s="65"/>
      <c r="X34" s="55"/>
      <c r="Y34" s="55"/>
      <c r="Z34" s="65"/>
      <c r="AA34" s="65"/>
      <c r="AB34" s="55"/>
      <c r="AC34" s="65"/>
      <c r="AD34" s="55"/>
      <c r="AE34" s="55"/>
      <c r="AF34" s="114"/>
      <c r="AG34" s="35">
        <f t="shared" si="5"/>
        <v>0</v>
      </c>
      <c r="AI34" s="35">
        <f t="shared" si="1"/>
        <v>0</v>
      </c>
      <c r="AJ34" s="35">
        <f t="shared" si="2"/>
        <v>0</v>
      </c>
      <c r="AK34" s="35">
        <f t="shared" si="3"/>
        <v>0</v>
      </c>
    </row>
    <row r="35" spans="1:37" s="6" customFormat="1" ht="22.5" hidden="1" customHeight="1" x14ac:dyDescent="0.25">
      <c r="A35" s="48" t="s">
        <v>21</v>
      </c>
      <c r="B35" s="63">
        <f t="shared" si="14"/>
        <v>0</v>
      </c>
      <c r="C35" s="65">
        <f>H35+J35+L35+N35</f>
        <v>0</v>
      </c>
      <c r="D35" s="65">
        <f t="shared" si="15"/>
        <v>0</v>
      </c>
      <c r="E35" s="65">
        <f t="shared" si="16"/>
        <v>0</v>
      </c>
      <c r="F35" s="65" t="e">
        <f t="shared" si="12"/>
        <v>#DIV/0!</v>
      </c>
      <c r="G35" s="65" t="e">
        <f t="shared" si="11"/>
        <v>#DIV/0!</v>
      </c>
      <c r="H35" s="16">
        <v>0</v>
      </c>
      <c r="I35" s="16">
        <v>0</v>
      </c>
      <c r="J35" s="16">
        <v>0</v>
      </c>
      <c r="K35" s="16">
        <v>0</v>
      </c>
      <c r="L35" s="55"/>
      <c r="M35" s="55"/>
      <c r="N35" s="55"/>
      <c r="O35" s="55"/>
      <c r="P35" s="55"/>
      <c r="Q35" s="55"/>
      <c r="R35" s="55"/>
      <c r="S35" s="65"/>
      <c r="T35" s="65"/>
      <c r="U35" s="65"/>
      <c r="V35" s="65"/>
      <c r="W35" s="65"/>
      <c r="X35" s="55"/>
      <c r="Y35" s="55"/>
      <c r="Z35" s="65"/>
      <c r="AA35" s="65"/>
      <c r="AB35" s="55"/>
      <c r="AC35" s="65"/>
      <c r="AD35" s="55"/>
      <c r="AE35" s="55"/>
      <c r="AF35" s="115"/>
      <c r="AG35" s="35">
        <f t="shared" si="5"/>
        <v>0</v>
      </c>
      <c r="AI35" s="35">
        <f t="shared" si="1"/>
        <v>0</v>
      </c>
      <c r="AJ35" s="35">
        <f t="shared" si="2"/>
        <v>0</v>
      </c>
      <c r="AK35" s="35">
        <f t="shared" si="3"/>
        <v>0</v>
      </c>
    </row>
    <row r="36" spans="1:37" s="6" customFormat="1" ht="49.5" customHeight="1" x14ac:dyDescent="0.25">
      <c r="A36" s="69" t="s">
        <v>44</v>
      </c>
      <c r="B36" s="18">
        <f t="shared" ref="B36:E37" si="20">B37</f>
        <v>27453.997859999999</v>
      </c>
      <c r="C36" s="15">
        <f t="shared" si="20"/>
        <v>19495.877860000001</v>
      </c>
      <c r="D36" s="15">
        <f t="shared" si="20"/>
        <v>18579.8</v>
      </c>
      <c r="E36" s="15">
        <f t="shared" si="20"/>
        <v>18579.8</v>
      </c>
      <c r="F36" s="16">
        <f t="shared" ref="F36:F43" si="21">E36/B36*100</f>
        <v>67.676118045708904</v>
      </c>
      <c r="G36" s="16">
        <f t="shared" ref="G36:G43" si="22">E36/C36*100</f>
        <v>95.301171526728055</v>
      </c>
      <c r="H36" s="15">
        <f>H37</f>
        <v>7642.9069600000003</v>
      </c>
      <c r="I36" s="15">
        <f>I37</f>
        <v>0</v>
      </c>
      <c r="J36" s="15">
        <f>J37</f>
        <v>1043.7717399999999</v>
      </c>
      <c r="K36" s="15">
        <f t="shared" ref="K36:S37" si="23">K37</f>
        <v>0</v>
      </c>
      <c r="L36" s="15">
        <f t="shared" si="23"/>
        <v>2536</v>
      </c>
      <c r="M36" s="15">
        <f t="shared" si="23"/>
        <v>0</v>
      </c>
      <c r="N36" s="15">
        <f t="shared" si="23"/>
        <v>477.13915999999995</v>
      </c>
      <c r="O36" s="15">
        <f t="shared" si="23"/>
        <v>0</v>
      </c>
      <c r="P36" s="15">
        <f t="shared" si="23"/>
        <v>0</v>
      </c>
      <c r="Q36" s="15">
        <f t="shared" si="23"/>
        <v>2536</v>
      </c>
      <c r="R36" s="15">
        <f t="shared" si="23"/>
        <v>0</v>
      </c>
      <c r="S36" s="15">
        <f t="shared" si="23"/>
        <v>839.28</v>
      </c>
      <c r="T36" s="15">
        <f t="shared" ref="T36:AE36" si="24">T37</f>
        <v>0</v>
      </c>
      <c r="U36" s="15">
        <f t="shared" si="24"/>
        <v>0</v>
      </c>
      <c r="V36" s="15">
        <f t="shared" si="24"/>
        <v>0</v>
      </c>
      <c r="W36" s="15">
        <f t="shared" si="24"/>
        <v>0</v>
      </c>
      <c r="X36" s="15">
        <f t="shared" si="24"/>
        <v>7796.06</v>
      </c>
      <c r="Y36" s="15">
        <f t="shared" si="24"/>
        <v>681.62738000000002</v>
      </c>
      <c r="Z36" s="15">
        <f t="shared" si="24"/>
        <v>0</v>
      </c>
      <c r="AA36" s="15">
        <f t="shared" si="24"/>
        <v>5388.88</v>
      </c>
      <c r="AB36" s="15">
        <f t="shared" si="24"/>
        <v>0</v>
      </c>
      <c r="AC36" s="15">
        <f t="shared" si="24"/>
        <v>0</v>
      </c>
      <c r="AD36" s="15">
        <f t="shared" si="24"/>
        <v>7958.12</v>
      </c>
      <c r="AE36" s="15">
        <f t="shared" si="24"/>
        <v>0</v>
      </c>
      <c r="AF36" s="108" t="s">
        <v>75</v>
      </c>
      <c r="AG36" s="35"/>
      <c r="AI36" s="35">
        <f t="shared" si="1"/>
        <v>27453.997859999999</v>
      </c>
      <c r="AJ36" s="35">
        <f t="shared" si="2"/>
        <v>19495.877860000001</v>
      </c>
      <c r="AK36" s="35">
        <f t="shared" si="3"/>
        <v>9445.7873799999998</v>
      </c>
    </row>
    <row r="37" spans="1:37" s="6" customFormat="1" ht="63.75" customHeight="1" x14ac:dyDescent="0.25">
      <c r="A37" s="68" t="s">
        <v>45</v>
      </c>
      <c r="B37" s="18">
        <f t="shared" si="20"/>
        <v>27453.997859999999</v>
      </c>
      <c r="C37" s="18">
        <f t="shared" si="20"/>
        <v>19495.877860000001</v>
      </c>
      <c r="D37" s="18">
        <f t="shared" si="20"/>
        <v>18579.8</v>
      </c>
      <c r="E37" s="15">
        <f t="shared" si="20"/>
        <v>18579.8</v>
      </c>
      <c r="F37" s="16">
        <f t="shared" si="21"/>
        <v>67.676118045708904</v>
      </c>
      <c r="G37" s="16">
        <f t="shared" si="22"/>
        <v>95.301171526728055</v>
      </c>
      <c r="H37" s="15">
        <f>H38</f>
        <v>7642.9069600000003</v>
      </c>
      <c r="I37" s="15">
        <v>0</v>
      </c>
      <c r="J37" s="15">
        <f>J38</f>
        <v>1043.7717399999999</v>
      </c>
      <c r="K37" s="15">
        <f t="shared" si="23"/>
        <v>0</v>
      </c>
      <c r="L37" s="15">
        <f t="shared" si="23"/>
        <v>2536</v>
      </c>
      <c r="M37" s="15">
        <f t="shared" si="23"/>
        <v>0</v>
      </c>
      <c r="N37" s="15">
        <f t="shared" si="23"/>
        <v>477.13915999999995</v>
      </c>
      <c r="O37" s="15">
        <f t="shared" si="23"/>
        <v>0</v>
      </c>
      <c r="P37" s="15">
        <f t="shared" si="23"/>
        <v>0</v>
      </c>
      <c r="Q37" s="15">
        <f t="shared" si="23"/>
        <v>2536</v>
      </c>
      <c r="R37" s="15">
        <f t="shared" si="23"/>
        <v>0</v>
      </c>
      <c r="S37" s="15">
        <f t="shared" si="23"/>
        <v>839.28</v>
      </c>
      <c r="T37" s="15">
        <f t="shared" ref="T37:AD37" si="25">T38</f>
        <v>0</v>
      </c>
      <c r="U37" s="15">
        <f t="shared" si="25"/>
        <v>0</v>
      </c>
      <c r="V37" s="15">
        <f t="shared" si="25"/>
        <v>0</v>
      </c>
      <c r="W37" s="15">
        <f t="shared" si="25"/>
        <v>0</v>
      </c>
      <c r="X37" s="15">
        <f t="shared" si="25"/>
        <v>7796.06</v>
      </c>
      <c r="Y37" s="15">
        <f t="shared" si="25"/>
        <v>681.62738000000002</v>
      </c>
      <c r="Z37" s="15">
        <f t="shared" si="25"/>
        <v>0</v>
      </c>
      <c r="AA37" s="15">
        <f t="shared" si="25"/>
        <v>5388.88</v>
      </c>
      <c r="AB37" s="15">
        <f t="shared" si="25"/>
        <v>0</v>
      </c>
      <c r="AC37" s="15">
        <f t="shared" si="25"/>
        <v>0</v>
      </c>
      <c r="AD37" s="15">
        <f t="shared" si="25"/>
        <v>7958.12</v>
      </c>
      <c r="AE37" s="15">
        <v>0</v>
      </c>
      <c r="AF37" s="109"/>
      <c r="AG37" s="35"/>
      <c r="AI37" s="35">
        <f t="shared" si="1"/>
        <v>27453.997859999999</v>
      </c>
      <c r="AJ37" s="35">
        <f t="shared" si="2"/>
        <v>19495.877860000001</v>
      </c>
      <c r="AK37" s="35">
        <f t="shared" si="3"/>
        <v>9445.7873799999998</v>
      </c>
    </row>
    <row r="38" spans="1:37" s="6" customFormat="1" ht="21" customHeight="1" x14ac:dyDescent="0.25">
      <c r="A38" s="69" t="s">
        <v>24</v>
      </c>
      <c r="B38" s="18">
        <f>B39+B41+B42</f>
        <v>27453.997859999999</v>
      </c>
      <c r="C38" s="18">
        <f>C39+C41+C42</f>
        <v>19495.877860000001</v>
      </c>
      <c r="D38" s="18">
        <f>D39+D41+D42</f>
        <v>18579.8</v>
      </c>
      <c r="E38" s="15">
        <f>E39+E41+E42</f>
        <v>18579.8</v>
      </c>
      <c r="F38" s="16">
        <f t="shared" si="21"/>
        <v>67.676118045708904</v>
      </c>
      <c r="G38" s="16">
        <f t="shared" si="22"/>
        <v>95.301171526728055</v>
      </c>
      <c r="H38" s="15">
        <f>H39+H41</f>
        <v>7642.9069600000003</v>
      </c>
      <c r="I38" s="15">
        <f t="shared" ref="I38:AE38" si="26">I39+I41+I42</f>
        <v>7642.91</v>
      </c>
      <c r="J38" s="15">
        <f t="shared" si="26"/>
        <v>1043.7717399999999</v>
      </c>
      <c r="K38" s="15">
        <f t="shared" si="26"/>
        <v>0</v>
      </c>
      <c r="L38" s="15">
        <f t="shared" si="26"/>
        <v>2536</v>
      </c>
      <c r="M38" s="15">
        <f t="shared" si="26"/>
        <v>0</v>
      </c>
      <c r="N38" s="47">
        <f t="shared" si="26"/>
        <v>477.13915999999995</v>
      </c>
      <c r="O38" s="15">
        <f t="shared" si="26"/>
        <v>0</v>
      </c>
      <c r="P38" s="15">
        <f t="shared" si="26"/>
        <v>0</v>
      </c>
      <c r="Q38" s="15">
        <f t="shared" si="26"/>
        <v>2536</v>
      </c>
      <c r="R38" s="15">
        <f t="shared" si="26"/>
        <v>0</v>
      </c>
      <c r="S38" s="15">
        <f t="shared" si="26"/>
        <v>839.28</v>
      </c>
      <c r="T38" s="15">
        <f t="shared" si="26"/>
        <v>0</v>
      </c>
      <c r="U38" s="15">
        <f t="shared" si="26"/>
        <v>0</v>
      </c>
      <c r="V38" s="15">
        <f t="shared" si="26"/>
        <v>0</v>
      </c>
      <c r="W38" s="15">
        <f t="shared" si="26"/>
        <v>0</v>
      </c>
      <c r="X38" s="15">
        <f t="shared" si="26"/>
        <v>7796.06</v>
      </c>
      <c r="Y38" s="15">
        <f>681627.38/1000</f>
        <v>681.62738000000002</v>
      </c>
      <c r="Z38" s="15">
        <f t="shared" si="26"/>
        <v>0</v>
      </c>
      <c r="AA38" s="15">
        <f t="shared" si="26"/>
        <v>5388.88</v>
      </c>
      <c r="AB38" s="15">
        <f t="shared" si="26"/>
        <v>0</v>
      </c>
      <c r="AC38" s="15">
        <f t="shared" si="26"/>
        <v>0</v>
      </c>
      <c r="AD38" s="15">
        <f>AD39+AD41+AD42</f>
        <v>7958.12</v>
      </c>
      <c r="AE38" s="15">
        <f t="shared" si="26"/>
        <v>0</v>
      </c>
      <c r="AF38" s="109"/>
      <c r="AG38" s="35"/>
      <c r="AI38" s="35">
        <f t="shared" si="1"/>
        <v>27453.997859999999</v>
      </c>
      <c r="AJ38" s="35">
        <f t="shared" si="2"/>
        <v>19495.877860000001</v>
      </c>
      <c r="AK38" s="35">
        <f t="shared" si="3"/>
        <v>17088.697380000001</v>
      </c>
    </row>
    <row r="39" spans="1:37" s="6" customFormat="1" ht="24.75" customHeight="1" x14ac:dyDescent="0.25">
      <c r="A39" s="68" t="s">
        <v>20</v>
      </c>
      <c r="B39" s="17">
        <v>0</v>
      </c>
      <c r="C39" s="16">
        <v>0</v>
      </c>
      <c r="D39" s="16">
        <v>0</v>
      </c>
      <c r="E39" s="16">
        <f>I39+K39+M39+O39+Q39+S39+U39+W39+Y39+AA39+AC39+AE39</f>
        <v>0</v>
      </c>
      <c r="F39" s="16">
        <v>0</v>
      </c>
      <c r="G39" s="16">
        <v>0</v>
      </c>
      <c r="H39" s="16">
        <v>0</v>
      </c>
      <c r="I39" s="16">
        <v>0</v>
      </c>
      <c r="J39" s="16">
        <v>0</v>
      </c>
      <c r="K39" s="16">
        <v>0</v>
      </c>
      <c r="L39" s="16">
        <v>0</v>
      </c>
      <c r="M39" s="16">
        <v>0</v>
      </c>
      <c r="N39" s="26">
        <v>0</v>
      </c>
      <c r="O39" s="16">
        <v>0</v>
      </c>
      <c r="P39" s="16">
        <v>0</v>
      </c>
      <c r="Q39" s="16">
        <v>0</v>
      </c>
      <c r="R39" s="16">
        <v>0</v>
      </c>
      <c r="S39" s="16">
        <v>0</v>
      </c>
      <c r="T39" s="16">
        <v>0</v>
      </c>
      <c r="U39" s="16">
        <v>0</v>
      </c>
      <c r="V39" s="16">
        <v>0</v>
      </c>
      <c r="W39" s="16">
        <v>0</v>
      </c>
      <c r="X39" s="16">
        <v>0</v>
      </c>
      <c r="Y39" s="16">
        <v>0</v>
      </c>
      <c r="Z39" s="16">
        <v>0</v>
      </c>
      <c r="AA39" s="16">
        <v>0</v>
      </c>
      <c r="AB39" s="16">
        <v>0</v>
      </c>
      <c r="AC39" s="16">
        <v>0</v>
      </c>
      <c r="AD39" s="16">
        <v>0</v>
      </c>
      <c r="AE39" s="16"/>
      <c r="AF39" s="109"/>
      <c r="AG39" s="35"/>
      <c r="AI39" s="35">
        <f t="shared" si="1"/>
        <v>0</v>
      </c>
      <c r="AJ39" s="35">
        <f t="shared" si="2"/>
        <v>0</v>
      </c>
      <c r="AK39" s="35">
        <f t="shared" si="3"/>
        <v>0</v>
      </c>
    </row>
    <row r="40" spans="1:37" s="6" customFormat="1" ht="24.75" customHeight="1" x14ac:dyDescent="0.25">
      <c r="A40" s="68" t="s">
        <v>21</v>
      </c>
      <c r="B40" s="17">
        <v>0</v>
      </c>
      <c r="C40" s="16">
        <v>0</v>
      </c>
      <c r="D40" s="16">
        <v>0</v>
      </c>
      <c r="E40" s="16">
        <f>I40+K40+M40+O40+Q40+S40+U40+W40+Y40+AA40+AC40+AE40</f>
        <v>0</v>
      </c>
      <c r="F40" s="16">
        <v>0</v>
      </c>
      <c r="G40" s="16">
        <v>0</v>
      </c>
      <c r="H40" s="16">
        <v>0</v>
      </c>
      <c r="I40" s="16">
        <v>0</v>
      </c>
      <c r="J40" s="16">
        <v>0</v>
      </c>
      <c r="K40" s="16">
        <v>0</v>
      </c>
      <c r="L40" s="16">
        <v>0</v>
      </c>
      <c r="M40" s="16">
        <v>0</v>
      </c>
      <c r="N40" s="26">
        <v>0</v>
      </c>
      <c r="O40" s="16">
        <v>0</v>
      </c>
      <c r="P40" s="16">
        <v>0</v>
      </c>
      <c r="Q40" s="16">
        <v>0</v>
      </c>
      <c r="R40" s="16">
        <v>0</v>
      </c>
      <c r="S40" s="16">
        <v>0</v>
      </c>
      <c r="T40" s="16">
        <v>0</v>
      </c>
      <c r="U40" s="16">
        <v>0</v>
      </c>
      <c r="V40" s="16">
        <v>0</v>
      </c>
      <c r="W40" s="16">
        <v>0</v>
      </c>
      <c r="X40" s="16">
        <v>0</v>
      </c>
      <c r="Y40" s="16">
        <v>0</v>
      </c>
      <c r="Z40" s="16">
        <v>0</v>
      </c>
      <c r="AA40" s="16">
        <v>0</v>
      </c>
      <c r="AB40" s="16">
        <v>0</v>
      </c>
      <c r="AC40" s="16">
        <v>0</v>
      </c>
      <c r="AD40" s="16">
        <v>0</v>
      </c>
      <c r="AE40" s="16"/>
      <c r="AF40" s="109"/>
      <c r="AG40" s="35"/>
      <c r="AI40" s="35">
        <f t="shared" si="1"/>
        <v>0</v>
      </c>
      <c r="AJ40" s="35">
        <f t="shared" si="2"/>
        <v>0</v>
      </c>
      <c r="AK40" s="35">
        <f t="shared" si="3"/>
        <v>0</v>
      </c>
    </row>
    <row r="41" spans="1:37" s="6" customFormat="1" ht="23.25" customHeight="1" x14ac:dyDescent="0.25">
      <c r="A41" s="23" t="s">
        <v>47</v>
      </c>
      <c r="B41" s="17">
        <f>H41+J41+L41+N41+P41+R41+T41+V41+X41+Z41+AB41+AD41</f>
        <v>27453.997859999999</v>
      </c>
      <c r="C41" s="16">
        <f>H41+J41+L41+N41+P41+R41+T41+V41+X41+Z41+AB41</f>
        <v>19495.877860000001</v>
      </c>
      <c r="D41" s="16">
        <f>E41</f>
        <v>18579.8</v>
      </c>
      <c r="E41" s="16">
        <f>I41+K41+M41+O41+Q41+S41+U41+W41+Y41+AA41+AC41+AE41</f>
        <v>18579.8</v>
      </c>
      <c r="F41" s="16">
        <f t="shared" si="21"/>
        <v>67.676118045708904</v>
      </c>
      <c r="G41" s="16">
        <f t="shared" si="22"/>
        <v>95.301171526728055</v>
      </c>
      <c r="H41" s="16">
        <f>7642906.96/1000</f>
        <v>7642.9069600000003</v>
      </c>
      <c r="I41" s="16">
        <v>7642.91</v>
      </c>
      <c r="J41" s="16">
        <f>1043771.74/1000</f>
        <v>1043.7717399999999</v>
      </c>
      <c r="K41" s="16">
        <v>0</v>
      </c>
      <c r="L41" s="16">
        <f>2536000/1000</f>
        <v>2536</v>
      </c>
      <c r="M41" s="16">
        <v>0</v>
      </c>
      <c r="N41" s="26">
        <f>477139.16/1000</f>
        <v>477.13915999999995</v>
      </c>
      <c r="O41" s="16">
        <v>0</v>
      </c>
      <c r="P41" s="16">
        <v>0</v>
      </c>
      <c r="Q41" s="16">
        <v>2536</v>
      </c>
      <c r="R41" s="16">
        <v>0</v>
      </c>
      <c r="S41" s="16">
        <v>839.28</v>
      </c>
      <c r="T41" s="16">
        <v>0</v>
      </c>
      <c r="U41" s="16">
        <v>0</v>
      </c>
      <c r="V41" s="16">
        <v>0</v>
      </c>
      <c r="W41" s="16">
        <v>0</v>
      </c>
      <c r="X41" s="16">
        <v>7796.06</v>
      </c>
      <c r="Y41" s="16">
        <v>2172.73</v>
      </c>
      <c r="Z41" s="16">
        <v>0</v>
      </c>
      <c r="AA41" s="16">
        <v>5388.88</v>
      </c>
      <c r="AB41" s="16">
        <v>0</v>
      </c>
      <c r="AC41" s="16">
        <v>0</v>
      </c>
      <c r="AD41" s="16">
        <v>7958.12</v>
      </c>
      <c r="AE41" s="16"/>
      <c r="AF41" s="109"/>
      <c r="AG41" s="35"/>
      <c r="AI41" s="35">
        <f t="shared" si="1"/>
        <v>27453.997859999999</v>
      </c>
      <c r="AJ41" s="35">
        <f t="shared" si="2"/>
        <v>19495.877860000001</v>
      </c>
      <c r="AK41" s="35">
        <f t="shared" si="3"/>
        <v>18579.8</v>
      </c>
    </row>
    <row r="42" spans="1:37" s="6" customFormat="1" ht="45" customHeight="1" x14ac:dyDescent="0.25">
      <c r="A42" s="68" t="s">
        <v>43</v>
      </c>
      <c r="B42" s="17">
        <v>0</v>
      </c>
      <c r="C42" s="16">
        <v>0</v>
      </c>
      <c r="D42" s="16">
        <v>0</v>
      </c>
      <c r="E42" s="16">
        <f>I42+K42+M42+O42+Q42+S42+U42+W42+Y42+AA42+AC42+AE42</f>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v>0</v>
      </c>
      <c r="AD42" s="16">
        <v>0</v>
      </c>
      <c r="AE42" s="16"/>
      <c r="AF42" s="110"/>
      <c r="AG42" s="35"/>
      <c r="AI42" s="35">
        <f t="shared" si="1"/>
        <v>0</v>
      </c>
      <c r="AJ42" s="35">
        <f t="shared" si="2"/>
        <v>0</v>
      </c>
      <c r="AK42" s="35">
        <f t="shared" si="3"/>
        <v>0</v>
      </c>
    </row>
    <row r="43" spans="1:37" s="6" customFormat="1" ht="69.75" customHeight="1" x14ac:dyDescent="0.2">
      <c r="A43" s="72" t="s">
        <v>46</v>
      </c>
      <c r="B43" s="18">
        <f>B44+B47</f>
        <v>46231.298000000003</v>
      </c>
      <c r="C43" s="18">
        <f>C44+C47</f>
        <v>41248.611999999994</v>
      </c>
      <c r="D43" s="18">
        <f>D44+D47</f>
        <v>34360.809000000001</v>
      </c>
      <c r="E43" s="18">
        <f>E44+E47</f>
        <v>34360.809000000001</v>
      </c>
      <c r="F43" s="16">
        <f t="shared" si="21"/>
        <v>74.323695172910789</v>
      </c>
      <c r="G43" s="16">
        <f t="shared" si="22"/>
        <v>83.301733886221456</v>
      </c>
      <c r="H43" s="15">
        <f t="shared" ref="H43:AE43" si="27">H45+H48</f>
        <v>1524.9</v>
      </c>
      <c r="I43" s="15">
        <f t="shared" si="27"/>
        <v>1078.586</v>
      </c>
      <c r="J43" s="15">
        <f t="shared" si="27"/>
        <v>3319.9467500000001</v>
      </c>
      <c r="K43" s="15">
        <f t="shared" si="27"/>
        <v>2814.75</v>
      </c>
      <c r="L43" s="15">
        <f t="shared" si="27"/>
        <v>3769.25</v>
      </c>
      <c r="M43" s="15">
        <f t="shared" si="27"/>
        <v>2524.623</v>
      </c>
      <c r="N43" s="47">
        <f t="shared" si="27"/>
        <v>3402.4437499999999</v>
      </c>
      <c r="O43" s="15">
        <f t="shared" si="27"/>
        <v>2906.8</v>
      </c>
      <c r="P43" s="15">
        <f t="shared" si="27"/>
        <v>4256.5420000000004</v>
      </c>
      <c r="Q43" s="15">
        <f t="shared" si="27"/>
        <v>3520.84</v>
      </c>
      <c r="R43" s="15">
        <f t="shared" si="27"/>
        <v>5362.04</v>
      </c>
      <c r="S43" s="15">
        <f t="shared" si="27"/>
        <v>5167.28</v>
      </c>
      <c r="T43" s="15">
        <f t="shared" si="27"/>
        <v>4348.3420000000006</v>
      </c>
      <c r="U43" s="15">
        <f t="shared" si="27"/>
        <v>4760.8879999999999</v>
      </c>
      <c r="V43" s="15">
        <f t="shared" si="27"/>
        <v>3707.0920000000001</v>
      </c>
      <c r="W43" s="15">
        <f t="shared" si="27"/>
        <v>2750.2049999999999</v>
      </c>
      <c r="X43" s="15">
        <f t="shared" si="27"/>
        <v>3618.192</v>
      </c>
      <c r="Y43" s="15">
        <f t="shared" si="27"/>
        <v>2636.9680000000003</v>
      </c>
      <c r="Z43" s="15">
        <f t="shared" si="27"/>
        <v>3712.9014999999999</v>
      </c>
      <c r="AA43" s="15">
        <f t="shared" si="27"/>
        <v>2886.6970000000001</v>
      </c>
      <c r="AB43" s="15">
        <f t="shared" si="27"/>
        <v>4226.9619999999995</v>
      </c>
      <c r="AC43" s="15">
        <f t="shared" si="27"/>
        <v>3313.172</v>
      </c>
      <c r="AD43" s="15">
        <f t="shared" si="27"/>
        <v>4982.6859999999997</v>
      </c>
      <c r="AE43" s="15">
        <f t="shared" si="27"/>
        <v>0</v>
      </c>
      <c r="AF43" s="75"/>
      <c r="AG43" s="35"/>
      <c r="AI43" s="35">
        <f t="shared" si="1"/>
        <v>46231.298000000003</v>
      </c>
      <c r="AJ43" s="35">
        <f t="shared" si="2"/>
        <v>37021.65</v>
      </c>
      <c r="AK43" s="35">
        <f t="shared" si="3"/>
        <v>31047.637000000002</v>
      </c>
    </row>
    <row r="44" spans="1:37" s="6" customFormat="1" ht="96.75" customHeight="1" x14ac:dyDescent="0.2">
      <c r="A44" s="32" t="s">
        <v>52</v>
      </c>
      <c r="B44" s="18">
        <f>B45</f>
        <v>210</v>
      </c>
      <c r="C44" s="18">
        <f>C46</f>
        <v>210</v>
      </c>
      <c r="D44" s="18">
        <f>D45</f>
        <v>210</v>
      </c>
      <c r="E44" s="18">
        <f>E45</f>
        <v>210</v>
      </c>
      <c r="F44" s="17">
        <f>F46</f>
        <v>100</v>
      </c>
      <c r="G44" s="17">
        <f>G46</f>
        <v>100</v>
      </c>
      <c r="H44" s="18">
        <f t="shared" ref="H44:AE44" si="28">H45</f>
        <v>0</v>
      </c>
      <c r="I44" s="18">
        <f t="shared" si="28"/>
        <v>0</v>
      </c>
      <c r="J44" s="18">
        <f t="shared" si="28"/>
        <v>0</v>
      </c>
      <c r="K44" s="18">
        <f t="shared" si="28"/>
        <v>0</v>
      </c>
      <c r="L44" s="18">
        <f t="shared" si="28"/>
        <v>0</v>
      </c>
      <c r="M44" s="18">
        <f t="shared" si="28"/>
        <v>0</v>
      </c>
      <c r="N44" s="27">
        <f t="shared" si="28"/>
        <v>0</v>
      </c>
      <c r="O44" s="18">
        <f t="shared" si="28"/>
        <v>0</v>
      </c>
      <c r="P44" s="18">
        <f t="shared" si="28"/>
        <v>0</v>
      </c>
      <c r="Q44" s="18">
        <f t="shared" si="28"/>
        <v>0</v>
      </c>
      <c r="R44" s="18">
        <f t="shared" si="28"/>
        <v>0</v>
      </c>
      <c r="S44" s="18">
        <f t="shared" si="28"/>
        <v>0</v>
      </c>
      <c r="T44" s="18">
        <f t="shared" si="28"/>
        <v>210</v>
      </c>
      <c r="U44" s="18">
        <f t="shared" si="28"/>
        <v>210</v>
      </c>
      <c r="V44" s="18">
        <f t="shared" si="28"/>
        <v>0</v>
      </c>
      <c r="W44" s="18">
        <f t="shared" si="28"/>
        <v>0</v>
      </c>
      <c r="X44" s="18">
        <f t="shared" si="28"/>
        <v>0</v>
      </c>
      <c r="Y44" s="18">
        <f t="shared" si="28"/>
        <v>0</v>
      </c>
      <c r="Z44" s="18">
        <f t="shared" si="28"/>
        <v>0</v>
      </c>
      <c r="AA44" s="18">
        <f t="shared" si="28"/>
        <v>0</v>
      </c>
      <c r="AB44" s="18">
        <f t="shared" si="28"/>
        <v>0</v>
      </c>
      <c r="AC44" s="18">
        <f t="shared" si="28"/>
        <v>0</v>
      </c>
      <c r="AD44" s="18">
        <f t="shared" si="28"/>
        <v>0</v>
      </c>
      <c r="AE44" s="18">
        <f t="shared" si="28"/>
        <v>0</v>
      </c>
      <c r="AF44" s="113" t="s">
        <v>58</v>
      </c>
      <c r="AG44" s="35"/>
      <c r="AI44" s="35">
        <f t="shared" si="1"/>
        <v>210</v>
      </c>
      <c r="AJ44" s="35">
        <f t="shared" si="2"/>
        <v>210</v>
      </c>
      <c r="AK44" s="35">
        <f t="shared" si="3"/>
        <v>210</v>
      </c>
    </row>
    <row r="45" spans="1:37" s="6" customFormat="1" ht="23.25" customHeight="1" x14ac:dyDescent="0.25">
      <c r="A45" s="69" t="s">
        <v>24</v>
      </c>
      <c r="B45" s="18">
        <f>B46</f>
        <v>210</v>
      </c>
      <c r="C45" s="15">
        <f>H45+J45+L45+N45+P45+R45+T45+V45+X45+Z45+AB45+AD45</f>
        <v>210</v>
      </c>
      <c r="D45" s="15">
        <f>D46</f>
        <v>210</v>
      </c>
      <c r="E45" s="15">
        <f>E46</f>
        <v>210</v>
      </c>
      <c r="F45" s="16">
        <f>E45/B45*100</f>
        <v>100</v>
      </c>
      <c r="G45" s="16">
        <f>E45/C45*100</f>
        <v>100</v>
      </c>
      <c r="H45" s="15">
        <f>H46</f>
        <v>0</v>
      </c>
      <c r="I45" s="15">
        <f t="shared" ref="I45:AE45" si="29">I46</f>
        <v>0</v>
      </c>
      <c r="J45" s="15">
        <f t="shared" si="29"/>
        <v>0</v>
      </c>
      <c r="K45" s="15">
        <f t="shared" si="29"/>
        <v>0</v>
      </c>
      <c r="L45" s="15">
        <f t="shared" si="29"/>
        <v>0</v>
      </c>
      <c r="M45" s="15">
        <f t="shared" si="29"/>
        <v>0</v>
      </c>
      <c r="N45" s="47">
        <f t="shared" si="29"/>
        <v>0</v>
      </c>
      <c r="O45" s="15">
        <f t="shared" si="29"/>
        <v>0</v>
      </c>
      <c r="P45" s="15">
        <f t="shared" si="29"/>
        <v>0</v>
      </c>
      <c r="Q45" s="15">
        <f t="shared" si="29"/>
        <v>0</v>
      </c>
      <c r="R45" s="15">
        <f t="shared" si="29"/>
        <v>0</v>
      </c>
      <c r="S45" s="15">
        <f t="shared" si="29"/>
        <v>0</v>
      </c>
      <c r="T45" s="15">
        <f t="shared" si="29"/>
        <v>210</v>
      </c>
      <c r="U45" s="15">
        <f t="shared" si="29"/>
        <v>210</v>
      </c>
      <c r="V45" s="15">
        <f t="shared" si="29"/>
        <v>0</v>
      </c>
      <c r="W45" s="15">
        <f t="shared" si="29"/>
        <v>0</v>
      </c>
      <c r="X45" s="15">
        <f t="shared" si="29"/>
        <v>0</v>
      </c>
      <c r="Y45" s="15">
        <f t="shared" si="29"/>
        <v>0</v>
      </c>
      <c r="Z45" s="15">
        <f t="shared" si="29"/>
        <v>0</v>
      </c>
      <c r="AA45" s="15">
        <f t="shared" si="29"/>
        <v>0</v>
      </c>
      <c r="AB45" s="15">
        <f t="shared" si="29"/>
        <v>0</v>
      </c>
      <c r="AC45" s="15">
        <f t="shared" si="29"/>
        <v>0</v>
      </c>
      <c r="AD45" s="15">
        <f t="shared" si="29"/>
        <v>0</v>
      </c>
      <c r="AE45" s="15">
        <f t="shared" si="29"/>
        <v>0</v>
      </c>
      <c r="AF45" s="114"/>
      <c r="AG45" s="35"/>
      <c r="AI45" s="35">
        <f t="shared" si="1"/>
        <v>210</v>
      </c>
      <c r="AJ45" s="35">
        <f t="shared" si="2"/>
        <v>210</v>
      </c>
      <c r="AK45" s="35">
        <f t="shared" si="3"/>
        <v>210</v>
      </c>
    </row>
    <row r="46" spans="1:37" s="6" customFormat="1" ht="22.5" customHeight="1" x14ac:dyDescent="0.25">
      <c r="A46" s="68" t="s">
        <v>21</v>
      </c>
      <c r="B46" s="17">
        <f>H46+J46+L46+N46+P46+R46+T46+V46+X46+Z46+AB46+AD46</f>
        <v>210</v>
      </c>
      <c r="C46" s="16">
        <f>H46+J46+L46+N46+P46+R46+T46+V46+X46</f>
        <v>210</v>
      </c>
      <c r="D46" s="16">
        <f>H46+J46+L46++N46+P46+R46+T46+X46</f>
        <v>210</v>
      </c>
      <c r="E46" s="16">
        <f>I46+K46+M46+O46+Q46+S46+U46+W46</f>
        <v>210</v>
      </c>
      <c r="F46" s="16">
        <f t="shared" ref="F46:F52" si="30">E46/B46*100</f>
        <v>100</v>
      </c>
      <c r="G46" s="16">
        <f>E46/C46*100</f>
        <v>100</v>
      </c>
      <c r="H46" s="16">
        <v>0</v>
      </c>
      <c r="I46" s="16">
        <v>0</v>
      </c>
      <c r="J46" s="16">
        <v>0</v>
      </c>
      <c r="K46" s="16">
        <v>0</v>
      </c>
      <c r="L46" s="16">
        <v>0</v>
      </c>
      <c r="M46" s="16">
        <v>0</v>
      </c>
      <c r="N46" s="26">
        <v>0</v>
      </c>
      <c r="O46" s="16">
        <v>0</v>
      </c>
      <c r="P46" s="16">
        <v>0</v>
      </c>
      <c r="Q46" s="16">
        <v>0</v>
      </c>
      <c r="R46" s="16">
        <v>0</v>
      </c>
      <c r="S46" s="16"/>
      <c r="T46" s="16">
        <v>210</v>
      </c>
      <c r="U46" s="16">
        <v>210</v>
      </c>
      <c r="V46" s="16">
        <v>0</v>
      </c>
      <c r="W46" s="16">
        <v>0</v>
      </c>
      <c r="X46" s="16">
        <v>0</v>
      </c>
      <c r="Y46" s="16">
        <v>0</v>
      </c>
      <c r="Z46" s="16">
        <v>0</v>
      </c>
      <c r="AA46" s="16">
        <v>0</v>
      </c>
      <c r="AB46" s="16">
        <v>0</v>
      </c>
      <c r="AC46" s="16">
        <v>0</v>
      </c>
      <c r="AD46" s="16">
        <v>0</v>
      </c>
      <c r="AE46" s="16"/>
      <c r="AF46" s="115"/>
      <c r="AG46" s="35"/>
      <c r="AI46" s="35">
        <f t="shared" si="1"/>
        <v>210</v>
      </c>
      <c r="AJ46" s="35">
        <f t="shared" si="2"/>
        <v>210</v>
      </c>
      <c r="AK46" s="35">
        <f t="shared" si="3"/>
        <v>210</v>
      </c>
    </row>
    <row r="47" spans="1:37" s="6" customFormat="1" ht="50.25" customHeight="1" x14ac:dyDescent="0.25">
      <c r="A47" s="68" t="s">
        <v>50</v>
      </c>
      <c r="B47" s="18">
        <f t="shared" ref="B47:H47" si="31">B48</f>
        <v>46021.298000000003</v>
      </c>
      <c r="C47" s="18">
        <f t="shared" si="31"/>
        <v>41038.611999999994</v>
      </c>
      <c r="D47" s="18">
        <f t="shared" si="31"/>
        <v>34150.809000000001</v>
      </c>
      <c r="E47" s="18">
        <f t="shared" si="31"/>
        <v>34150.809000000001</v>
      </c>
      <c r="F47" s="15">
        <f t="shared" si="31"/>
        <v>74.206531506347346</v>
      </c>
      <c r="G47" s="15">
        <f t="shared" si="31"/>
        <v>83.216286652189908</v>
      </c>
      <c r="H47" s="47">
        <f t="shared" si="31"/>
        <v>1524.9</v>
      </c>
      <c r="I47" s="47">
        <f t="shared" ref="I47:AE47" si="32">I48</f>
        <v>1078.586</v>
      </c>
      <c r="J47" s="47">
        <f t="shared" si="32"/>
        <v>3319.9467500000001</v>
      </c>
      <c r="K47" s="47">
        <f t="shared" si="32"/>
        <v>2814.75</v>
      </c>
      <c r="L47" s="47">
        <f t="shared" si="32"/>
        <v>3769.25</v>
      </c>
      <c r="M47" s="47">
        <f>M48</f>
        <v>2524.623</v>
      </c>
      <c r="N47" s="47">
        <f t="shared" si="32"/>
        <v>3402.4437499999999</v>
      </c>
      <c r="O47" s="47">
        <f t="shared" si="32"/>
        <v>2906.8</v>
      </c>
      <c r="P47" s="47">
        <f t="shared" si="32"/>
        <v>4256.5420000000004</v>
      </c>
      <c r="Q47" s="47">
        <f t="shared" si="32"/>
        <v>3520.84</v>
      </c>
      <c r="R47" s="47">
        <f t="shared" si="32"/>
        <v>5362.04</v>
      </c>
      <c r="S47" s="15">
        <f t="shared" si="32"/>
        <v>5167.28</v>
      </c>
      <c r="T47" s="15">
        <f t="shared" si="32"/>
        <v>4138.3420000000006</v>
      </c>
      <c r="U47" s="15">
        <f t="shared" si="32"/>
        <v>4550.8879999999999</v>
      </c>
      <c r="V47" s="15">
        <f t="shared" si="32"/>
        <v>3707.0920000000001</v>
      </c>
      <c r="W47" s="15">
        <f t="shared" si="32"/>
        <v>2750.2049999999999</v>
      </c>
      <c r="X47" s="47">
        <f t="shared" si="32"/>
        <v>3618.192</v>
      </c>
      <c r="Y47" s="47">
        <f t="shared" si="32"/>
        <v>2636.9680000000003</v>
      </c>
      <c r="Z47" s="15">
        <f t="shared" si="32"/>
        <v>3712.9014999999999</v>
      </c>
      <c r="AA47" s="15">
        <f t="shared" si="32"/>
        <v>2886.6970000000001</v>
      </c>
      <c r="AB47" s="47">
        <f t="shared" si="32"/>
        <v>4226.9619999999995</v>
      </c>
      <c r="AC47" s="15">
        <f t="shared" si="32"/>
        <v>3313.172</v>
      </c>
      <c r="AD47" s="47">
        <f t="shared" si="32"/>
        <v>4982.6859999999997</v>
      </c>
      <c r="AE47" s="47">
        <f t="shared" si="32"/>
        <v>0</v>
      </c>
      <c r="AF47" s="108" t="s">
        <v>59</v>
      </c>
      <c r="AG47" s="35"/>
      <c r="AI47" s="35">
        <f t="shared" si="1"/>
        <v>46021.298000000003</v>
      </c>
      <c r="AJ47" s="35">
        <f t="shared" si="2"/>
        <v>36811.65</v>
      </c>
      <c r="AK47" s="35">
        <f t="shared" si="3"/>
        <v>30837.637000000002</v>
      </c>
    </row>
    <row r="48" spans="1:37" s="6" customFormat="1" ht="23.25" customHeight="1" x14ac:dyDescent="0.25">
      <c r="A48" s="69" t="s">
        <v>24</v>
      </c>
      <c r="B48" s="18">
        <f>B50+B51</f>
        <v>46021.298000000003</v>
      </c>
      <c r="C48" s="18">
        <f>C50+C51</f>
        <v>41038.611999999994</v>
      </c>
      <c r="D48" s="18">
        <f>D50+D51</f>
        <v>34150.809000000001</v>
      </c>
      <c r="E48" s="18">
        <f t="shared" ref="E48:AE48" si="33">E50+E51</f>
        <v>34150.809000000001</v>
      </c>
      <c r="F48" s="15">
        <f t="shared" si="30"/>
        <v>74.206531506347346</v>
      </c>
      <c r="G48" s="15">
        <f>E48/C48*100</f>
        <v>83.216286652189908</v>
      </c>
      <c r="H48" s="27">
        <f t="shared" si="33"/>
        <v>1524.9</v>
      </c>
      <c r="I48" s="27">
        <f t="shared" si="33"/>
        <v>1078.586</v>
      </c>
      <c r="J48" s="27">
        <f t="shared" si="33"/>
        <v>3319.9467500000001</v>
      </c>
      <c r="K48" s="27">
        <f t="shared" si="33"/>
        <v>2814.75</v>
      </c>
      <c r="L48" s="27">
        <f t="shared" si="33"/>
        <v>3769.25</v>
      </c>
      <c r="M48" s="27">
        <f t="shared" si="33"/>
        <v>2524.623</v>
      </c>
      <c r="N48" s="27">
        <f t="shared" si="33"/>
        <v>3402.4437499999999</v>
      </c>
      <c r="O48" s="27">
        <f t="shared" si="33"/>
        <v>2906.8</v>
      </c>
      <c r="P48" s="18">
        <f>P50+P51</f>
        <v>4256.5420000000004</v>
      </c>
      <c r="Q48" s="27">
        <f t="shared" si="33"/>
        <v>3520.84</v>
      </c>
      <c r="R48" s="27">
        <f t="shared" si="33"/>
        <v>5362.04</v>
      </c>
      <c r="S48" s="18">
        <f t="shared" si="33"/>
        <v>5167.28</v>
      </c>
      <c r="T48" s="18">
        <f t="shared" si="33"/>
        <v>4138.3420000000006</v>
      </c>
      <c r="U48" s="18">
        <f t="shared" si="33"/>
        <v>4550.8879999999999</v>
      </c>
      <c r="V48" s="18">
        <f t="shared" si="33"/>
        <v>3707.0920000000001</v>
      </c>
      <c r="W48" s="18">
        <f>W50+W51</f>
        <v>2750.2049999999999</v>
      </c>
      <c r="X48" s="27">
        <f t="shared" si="33"/>
        <v>3618.192</v>
      </c>
      <c r="Y48" s="27">
        <f t="shared" si="33"/>
        <v>2636.9680000000003</v>
      </c>
      <c r="Z48" s="18">
        <f t="shared" si="33"/>
        <v>3712.9014999999999</v>
      </c>
      <c r="AA48" s="18">
        <f t="shared" si="33"/>
        <v>2886.6970000000001</v>
      </c>
      <c r="AB48" s="27">
        <f>AB50+AB51</f>
        <v>4226.9619999999995</v>
      </c>
      <c r="AC48" s="18">
        <f t="shared" si="33"/>
        <v>3313.172</v>
      </c>
      <c r="AD48" s="27">
        <f t="shared" si="33"/>
        <v>4982.6859999999997</v>
      </c>
      <c r="AE48" s="27">
        <f t="shared" si="33"/>
        <v>0</v>
      </c>
      <c r="AF48" s="109"/>
      <c r="AG48" s="35"/>
      <c r="AI48" s="35">
        <f t="shared" si="1"/>
        <v>46021.298000000003</v>
      </c>
      <c r="AJ48" s="35">
        <f t="shared" si="2"/>
        <v>36811.65</v>
      </c>
      <c r="AK48" s="35">
        <f t="shared" si="3"/>
        <v>30837.637000000002</v>
      </c>
    </row>
    <row r="49" spans="1:37" s="6" customFormat="1" ht="22.5" customHeight="1" x14ac:dyDescent="0.25">
      <c r="A49" s="68" t="s">
        <v>20</v>
      </c>
      <c r="B49" s="17">
        <f>H49+J49+L49+N49+P49+R49+T49+V49+X49+Z49+AB49+AD49</f>
        <v>0</v>
      </c>
      <c r="C49" s="16">
        <f>H49+J49+L49+N49+P49+R49+T49</f>
        <v>0</v>
      </c>
      <c r="D49" s="16">
        <f>H49+J49+L49++N49+P49+R49+T49</f>
        <v>0</v>
      </c>
      <c r="E49" s="16">
        <f>I49+K49+M49+O49+Q49+S49+U49</f>
        <v>0</v>
      </c>
      <c r="F49" s="16">
        <v>0</v>
      </c>
      <c r="G49" s="16">
        <v>0</v>
      </c>
      <c r="H49" s="26">
        <v>0</v>
      </c>
      <c r="I49" s="26">
        <v>0</v>
      </c>
      <c r="J49" s="26">
        <v>0</v>
      </c>
      <c r="K49" s="26">
        <v>0</v>
      </c>
      <c r="L49" s="26">
        <v>0</v>
      </c>
      <c r="M49" s="26">
        <v>0</v>
      </c>
      <c r="N49" s="26">
        <v>0</v>
      </c>
      <c r="O49" s="26">
        <v>0</v>
      </c>
      <c r="P49" s="26">
        <v>0</v>
      </c>
      <c r="Q49" s="26">
        <v>0</v>
      </c>
      <c r="R49" s="26">
        <v>0</v>
      </c>
      <c r="S49" s="16">
        <v>0</v>
      </c>
      <c r="T49" s="16">
        <v>0</v>
      </c>
      <c r="U49" s="16">
        <v>0</v>
      </c>
      <c r="V49" s="16">
        <v>0</v>
      </c>
      <c r="W49" s="16">
        <v>0</v>
      </c>
      <c r="X49" s="26">
        <v>0</v>
      </c>
      <c r="Y49" s="26">
        <v>0</v>
      </c>
      <c r="Z49" s="16">
        <v>0</v>
      </c>
      <c r="AA49" s="16">
        <v>0</v>
      </c>
      <c r="AB49" s="26">
        <v>0</v>
      </c>
      <c r="AC49" s="16">
        <v>0</v>
      </c>
      <c r="AD49" s="26">
        <v>0</v>
      </c>
      <c r="AE49" s="26"/>
      <c r="AF49" s="109"/>
      <c r="AG49" s="35"/>
      <c r="AI49" s="35">
        <f t="shared" si="1"/>
        <v>0</v>
      </c>
      <c r="AJ49" s="35">
        <f t="shared" si="2"/>
        <v>0</v>
      </c>
      <c r="AK49" s="35">
        <f t="shared" si="3"/>
        <v>0</v>
      </c>
    </row>
    <row r="50" spans="1:37" s="6" customFormat="1" ht="27" customHeight="1" x14ac:dyDescent="0.25">
      <c r="A50" s="68" t="s">
        <v>21</v>
      </c>
      <c r="B50" s="17">
        <f>H50+J50+L50+N50+P50+R50+T50+V50+X50+Z50+AB50+AD50</f>
        <v>38534.199000000001</v>
      </c>
      <c r="C50" s="16">
        <f>H50+J50+L50+N50+P50+R50+T50+V50+X50+Z50+AB50</f>
        <v>34821.900999999998</v>
      </c>
      <c r="D50" s="16">
        <f>E50</f>
        <v>27942.822</v>
      </c>
      <c r="E50" s="16">
        <f>I50+K50+M50+O50+Q50+S50+U50+W50+Y50+AA50+AC50+AE50</f>
        <v>27942.822</v>
      </c>
      <c r="F50" s="16">
        <f t="shared" si="30"/>
        <v>72.51434498482763</v>
      </c>
      <c r="G50" s="16">
        <f>E50/C50*100</f>
        <v>80.244964225244345</v>
      </c>
      <c r="H50" s="26">
        <f>1524900/1000</f>
        <v>1524.9</v>
      </c>
      <c r="I50" s="26">
        <f>1078.586</f>
        <v>1078.586</v>
      </c>
      <c r="J50" s="26">
        <f>3319946.75/1000</f>
        <v>3319.9467500000001</v>
      </c>
      <c r="K50" s="26">
        <v>2814.75</v>
      </c>
      <c r="L50" s="26">
        <f>3769250/1000</f>
        <v>3769.25</v>
      </c>
      <c r="M50" s="26">
        <f>2524.623</f>
        <v>2524.623</v>
      </c>
      <c r="N50" s="26">
        <f>3402443.75/1000</f>
        <v>3402.4437499999999</v>
      </c>
      <c r="O50" s="26">
        <v>2906.8</v>
      </c>
      <c r="P50" s="16">
        <v>3678.951</v>
      </c>
      <c r="Q50" s="16">
        <v>3519.73</v>
      </c>
      <c r="R50" s="16">
        <f>3594250/1000</f>
        <v>3594.25</v>
      </c>
      <c r="S50" s="16">
        <v>2885.62</v>
      </c>
      <c r="T50" s="16">
        <v>3560.7510000000002</v>
      </c>
      <c r="U50" s="16">
        <v>3910.69</v>
      </c>
      <c r="V50" s="16">
        <v>2979.5010000000002</v>
      </c>
      <c r="W50" s="16">
        <v>2258.8330000000001</v>
      </c>
      <c r="X50" s="16">
        <v>2890.6010000000001</v>
      </c>
      <c r="Y50" s="16">
        <v>2121.34</v>
      </c>
      <c r="Z50" s="16">
        <v>3135.3105</v>
      </c>
      <c r="AA50" s="16">
        <v>1993.0440000000001</v>
      </c>
      <c r="AB50" s="16">
        <v>2965.9960000000001</v>
      </c>
      <c r="AC50" s="16">
        <v>1928.806</v>
      </c>
      <c r="AD50" s="16">
        <v>3712.2979999999998</v>
      </c>
      <c r="AE50" s="16"/>
      <c r="AF50" s="110"/>
      <c r="AG50" s="35"/>
      <c r="AI50" s="35">
        <f t="shared" si="1"/>
        <v>38534.199000000001</v>
      </c>
      <c r="AJ50" s="35">
        <f t="shared" si="2"/>
        <v>31855.904999999999</v>
      </c>
      <c r="AK50" s="35">
        <f t="shared" si="3"/>
        <v>26014.016</v>
      </c>
    </row>
    <row r="51" spans="1:37" s="6" customFormat="1" ht="39" customHeight="1" x14ac:dyDescent="0.25">
      <c r="A51" s="68" t="s">
        <v>56</v>
      </c>
      <c r="B51" s="17">
        <f>H51+J51+L51+N51+P51+R51+T51+V51+X51+Z51+AB51+AD51</f>
        <v>7487.0989999999993</v>
      </c>
      <c r="C51" s="16">
        <f>H51+J51+L51+N51+P51+R51+T51+V51+X51+Z51+AB51</f>
        <v>6216.7109999999993</v>
      </c>
      <c r="D51" s="16">
        <f>E51</f>
        <v>6207.9870000000001</v>
      </c>
      <c r="E51" s="16">
        <f>I51+K51+M51+O51+Q51+S51+U51+W51+Y51+AA51+AC51+AE51</f>
        <v>6207.9870000000001</v>
      </c>
      <c r="F51" s="16">
        <f t="shared" si="30"/>
        <v>82.915786207715442</v>
      </c>
      <c r="G51" s="16">
        <f>E51/C51*100</f>
        <v>99.859668561076759</v>
      </c>
      <c r="H51" s="16">
        <v>0</v>
      </c>
      <c r="I51" s="16">
        <v>0</v>
      </c>
      <c r="J51" s="16">
        <v>0</v>
      </c>
      <c r="K51" s="16">
        <v>0</v>
      </c>
      <c r="L51" s="16">
        <v>0</v>
      </c>
      <c r="M51" s="16">
        <v>0</v>
      </c>
      <c r="N51" s="16">
        <v>0</v>
      </c>
      <c r="O51" s="16">
        <v>0</v>
      </c>
      <c r="P51" s="16">
        <f>(133973+443618)/1000</f>
        <v>577.59100000000001</v>
      </c>
      <c r="Q51" s="16">
        <v>1.1100000000000001</v>
      </c>
      <c r="R51" s="16">
        <v>1767.79</v>
      </c>
      <c r="S51" s="16">
        <v>2281.66</v>
      </c>
      <c r="T51" s="16">
        <v>577.59100000000001</v>
      </c>
      <c r="U51" s="16">
        <v>640.19799999999998</v>
      </c>
      <c r="V51" s="16">
        <v>727.59100000000001</v>
      </c>
      <c r="W51" s="16">
        <v>491.37200000000001</v>
      </c>
      <c r="X51" s="16">
        <v>727.59100000000001</v>
      </c>
      <c r="Y51" s="16">
        <v>515.62800000000004</v>
      </c>
      <c r="Z51" s="16">
        <v>577.59100000000001</v>
      </c>
      <c r="AA51" s="16">
        <v>893.65300000000002</v>
      </c>
      <c r="AB51" s="16">
        <v>1260.9659999999999</v>
      </c>
      <c r="AC51" s="16">
        <v>1384.366</v>
      </c>
      <c r="AD51" s="16">
        <v>1270.3879999999999</v>
      </c>
      <c r="AE51" s="16"/>
      <c r="AF51" s="86"/>
      <c r="AG51" s="35"/>
      <c r="AI51" s="35">
        <f t="shared" si="1"/>
        <v>7487.0989999999993</v>
      </c>
      <c r="AJ51" s="35">
        <f t="shared" si="2"/>
        <v>4955.7449999999999</v>
      </c>
      <c r="AK51" s="35">
        <f t="shared" si="3"/>
        <v>4823.6210000000001</v>
      </c>
    </row>
    <row r="52" spans="1:37" s="6" customFormat="1" ht="67.5" customHeight="1" x14ac:dyDescent="0.25">
      <c r="A52" s="69" t="s">
        <v>51</v>
      </c>
      <c r="B52" s="18">
        <f>B53</f>
        <v>250.1</v>
      </c>
      <c r="C52" s="18">
        <f>C53</f>
        <v>250.1</v>
      </c>
      <c r="D52" s="18">
        <f>D53</f>
        <v>250.1</v>
      </c>
      <c r="E52" s="18">
        <f>E53</f>
        <v>250.10000000000002</v>
      </c>
      <c r="F52" s="15">
        <f t="shared" si="30"/>
        <v>100.00000000000003</v>
      </c>
      <c r="G52" s="15">
        <v>0</v>
      </c>
      <c r="H52" s="15">
        <f>H53</f>
        <v>0</v>
      </c>
      <c r="I52" s="15">
        <f t="shared" ref="I52:AE52" si="34">I53</f>
        <v>0</v>
      </c>
      <c r="J52" s="15">
        <f t="shared" si="34"/>
        <v>0</v>
      </c>
      <c r="K52" s="15">
        <f t="shared" si="34"/>
        <v>0</v>
      </c>
      <c r="L52" s="15">
        <f t="shared" si="34"/>
        <v>137.92599999999999</v>
      </c>
      <c r="M52" s="15">
        <f>M53</f>
        <v>0</v>
      </c>
      <c r="N52" s="15">
        <f t="shared" si="34"/>
        <v>0</v>
      </c>
      <c r="O52" s="15">
        <f t="shared" si="34"/>
        <v>0</v>
      </c>
      <c r="P52" s="15">
        <f t="shared" si="34"/>
        <v>0</v>
      </c>
      <c r="Q52" s="15">
        <f t="shared" si="34"/>
        <v>0</v>
      </c>
      <c r="R52" s="15">
        <f t="shared" si="34"/>
        <v>0</v>
      </c>
      <c r="S52" s="15">
        <f t="shared" si="34"/>
        <v>137.93</v>
      </c>
      <c r="T52" s="15">
        <f t="shared" si="34"/>
        <v>0</v>
      </c>
      <c r="U52" s="15">
        <f t="shared" si="34"/>
        <v>0</v>
      </c>
      <c r="V52" s="15">
        <f t="shared" si="34"/>
        <v>112.17400000000001</v>
      </c>
      <c r="W52" s="15">
        <f t="shared" si="34"/>
        <v>112.17</v>
      </c>
      <c r="X52" s="15">
        <f t="shared" si="34"/>
        <v>0</v>
      </c>
      <c r="Y52" s="15">
        <f t="shared" si="34"/>
        <v>0</v>
      </c>
      <c r="Z52" s="15">
        <f t="shared" si="34"/>
        <v>0</v>
      </c>
      <c r="AA52" s="15">
        <f t="shared" si="34"/>
        <v>0</v>
      </c>
      <c r="AB52" s="15">
        <f t="shared" si="34"/>
        <v>0</v>
      </c>
      <c r="AC52" s="15">
        <f t="shared" si="34"/>
        <v>0</v>
      </c>
      <c r="AD52" s="15">
        <f t="shared" si="34"/>
        <v>0</v>
      </c>
      <c r="AE52" s="15">
        <f t="shared" si="34"/>
        <v>0</v>
      </c>
      <c r="AF52" s="108" t="s">
        <v>60</v>
      </c>
      <c r="AG52" s="35"/>
      <c r="AI52" s="35">
        <f t="shared" si="1"/>
        <v>250.1</v>
      </c>
      <c r="AJ52" s="35">
        <f t="shared" si="2"/>
        <v>250.1</v>
      </c>
      <c r="AK52" s="35">
        <f t="shared" si="3"/>
        <v>250.10000000000002</v>
      </c>
    </row>
    <row r="53" spans="1:37" s="6" customFormat="1" ht="24" customHeight="1" x14ac:dyDescent="0.25">
      <c r="A53" s="69" t="s">
        <v>24</v>
      </c>
      <c r="B53" s="18">
        <f>B55</f>
        <v>250.1</v>
      </c>
      <c r="C53" s="15">
        <f>C55</f>
        <v>250.1</v>
      </c>
      <c r="D53" s="15">
        <f>D55</f>
        <v>250.1</v>
      </c>
      <c r="E53" s="15">
        <f>E55</f>
        <v>250.10000000000002</v>
      </c>
      <c r="F53" s="15">
        <f>E53/B53*100</f>
        <v>100.00000000000003</v>
      </c>
      <c r="G53" s="15">
        <f>G55</f>
        <v>100.00000000000003</v>
      </c>
      <c r="H53" s="15">
        <f t="shared" ref="H53:AE53" si="35">H54+H55</f>
        <v>0</v>
      </c>
      <c r="I53" s="15">
        <f t="shared" si="35"/>
        <v>0</v>
      </c>
      <c r="J53" s="15">
        <f t="shared" si="35"/>
        <v>0</v>
      </c>
      <c r="K53" s="15">
        <f t="shared" si="35"/>
        <v>0</v>
      </c>
      <c r="L53" s="15">
        <f t="shared" si="35"/>
        <v>137.92599999999999</v>
      </c>
      <c r="M53" s="15">
        <f t="shared" si="35"/>
        <v>0</v>
      </c>
      <c r="N53" s="15">
        <f t="shared" si="35"/>
        <v>0</v>
      </c>
      <c r="O53" s="15">
        <f t="shared" si="35"/>
        <v>0</v>
      </c>
      <c r="P53" s="15">
        <f t="shared" si="35"/>
        <v>0</v>
      </c>
      <c r="Q53" s="15">
        <f t="shared" si="35"/>
        <v>0</v>
      </c>
      <c r="R53" s="15">
        <f t="shared" si="35"/>
        <v>0</v>
      </c>
      <c r="S53" s="15">
        <f t="shared" si="35"/>
        <v>137.93</v>
      </c>
      <c r="T53" s="15">
        <f t="shared" si="35"/>
        <v>0</v>
      </c>
      <c r="U53" s="15">
        <f t="shared" si="35"/>
        <v>0</v>
      </c>
      <c r="V53" s="15">
        <f t="shared" si="35"/>
        <v>112.17400000000001</v>
      </c>
      <c r="W53" s="15">
        <f t="shared" si="35"/>
        <v>112.17</v>
      </c>
      <c r="X53" s="15">
        <f t="shared" si="35"/>
        <v>0</v>
      </c>
      <c r="Y53" s="15">
        <f t="shared" si="35"/>
        <v>0</v>
      </c>
      <c r="Z53" s="15">
        <f t="shared" si="35"/>
        <v>0</v>
      </c>
      <c r="AA53" s="15">
        <f t="shared" si="35"/>
        <v>0</v>
      </c>
      <c r="AB53" s="15">
        <f t="shared" si="35"/>
        <v>0</v>
      </c>
      <c r="AC53" s="15">
        <f t="shared" si="35"/>
        <v>0</v>
      </c>
      <c r="AD53" s="15">
        <f t="shared" si="35"/>
        <v>0</v>
      </c>
      <c r="AE53" s="15">
        <f t="shared" si="35"/>
        <v>0</v>
      </c>
      <c r="AF53" s="109"/>
      <c r="AG53" s="35"/>
      <c r="AI53" s="35">
        <f t="shared" si="1"/>
        <v>250.1</v>
      </c>
      <c r="AJ53" s="35">
        <f t="shared" si="2"/>
        <v>250.1</v>
      </c>
      <c r="AK53" s="35">
        <f t="shared" si="3"/>
        <v>250.10000000000002</v>
      </c>
    </row>
    <row r="54" spans="1:37" s="6" customFormat="1" ht="25.5" customHeight="1" x14ac:dyDescent="0.25">
      <c r="A54" s="68" t="s">
        <v>20</v>
      </c>
      <c r="B54" s="17">
        <f>H54+J54+L54+N54+P54+R54+T54+V54+X54+Z54+AB54+AD54</f>
        <v>0</v>
      </c>
      <c r="C54" s="16">
        <f>H54+J54+L54+N54+P54+R54+T54</f>
        <v>0</v>
      </c>
      <c r="D54" s="16">
        <f>H54+J54+L54++N54+P54+R54+T54</f>
        <v>0</v>
      </c>
      <c r="E54" s="16">
        <f>I54+K54+M54+O54+Q54+S54+U54</f>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c r="Z54" s="16">
        <v>0</v>
      </c>
      <c r="AA54" s="16">
        <v>0</v>
      </c>
      <c r="AB54" s="16">
        <v>0</v>
      </c>
      <c r="AC54" s="16">
        <v>0</v>
      </c>
      <c r="AD54" s="16">
        <v>0</v>
      </c>
      <c r="AE54" s="16"/>
      <c r="AF54" s="109"/>
      <c r="AG54" s="35"/>
      <c r="AI54" s="35">
        <f t="shared" si="1"/>
        <v>0</v>
      </c>
      <c r="AJ54" s="35">
        <f t="shared" si="2"/>
        <v>0</v>
      </c>
      <c r="AK54" s="35">
        <f t="shared" si="3"/>
        <v>0</v>
      </c>
    </row>
    <row r="55" spans="1:37" s="6" customFormat="1" ht="25.5" customHeight="1" x14ac:dyDescent="0.25">
      <c r="A55" s="68" t="s">
        <v>21</v>
      </c>
      <c r="B55" s="17">
        <f>H55+J55+L55+N55+P55+R55+T55+V55+X55+Z55+AB55+AD55</f>
        <v>250.1</v>
      </c>
      <c r="C55" s="16">
        <f>H55+J55+L55+N55+P55+R55+T55+V55</f>
        <v>250.1</v>
      </c>
      <c r="D55" s="16">
        <f>C55</f>
        <v>250.1</v>
      </c>
      <c r="E55" s="16">
        <f>I55+K55+M55+O55+Q55+S55+U55+W55</f>
        <v>250.10000000000002</v>
      </c>
      <c r="F55" s="16">
        <f t="shared" ref="F55:F61" si="36">E55/B55*100</f>
        <v>100.00000000000003</v>
      </c>
      <c r="G55" s="16">
        <f>E55/C55*100</f>
        <v>100.00000000000003</v>
      </c>
      <c r="H55" s="16">
        <v>0</v>
      </c>
      <c r="I55" s="16">
        <v>0</v>
      </c>
      <c r="J55" s="16">
        <v>0</v>
      </c>
      <c r="K55" s="16">
        <v>0</v>
      </c>
      <c r="L55" s="16">
        <f>137926/1000</f>
        <v>137.92599999999999</v>
      </c>
      <c r="M55" s="16">
        <v>0</v>
      </c>
      <c r="N55" s="16">
        <v>0</v>
      </c>
      <c r="O55" s="16">
        <v>0</v>
      </c>
      <c r="P55" s="16">
        <v>0</v>
      </c>
      <c r="Q55" s="16">
        <v>0</v>
      </c>
      <c r="R55" s="16">
        <v>0</v>
      </c>
      <c r="S55" s="16">
        <v>137.93</v>
      </c>
      <c r="T55" s="16">
        <v>0</v>
      </c>
      <c r="U55" s="16">
        <v>0</v>
      </c>
      <c r="V55" s="16">
        <f>112174/1000</f>
        <v>112.17400000000001</v>
      </c>
      <c r="W55" s="16">
        <v>112.17</v>
      </c>
      <c r="X55" s="16">
        <v>0</v>
      </c>
      <c r="Y55" s="16"/>
      <c r="Z55" s="16">
        <v>0</v>
      </c>
      <c r="AA55" s="16">
        <v>0</v>
      </c>
      <c r="AB55" s="16">
        <v>0</v>
      </c>
      <c r="AC55" s="16">
        <v>0</v>
      </c>
      <c r="AD55" s="16">
        <v>0</v>
      </c>
      <c r="AE55" s="16"/>
      <c r="AF55" s="110"/>
      <c r="AG55" s="35"/>
      <c r="AI55" s="35">
        <f t="shared" si="1"/>
        <v>250.1</v>
      </c>
      <c r="AJ55" s="35">
        <f t="shared" si="2"/>
        <v>250.1</v>
      </c>
      <c r="AK55" s="35">
        <f t="shared" si="3"/>
        <v>250.10000000000002</v>
      </c>
    </row>
    <row r="56" spans="1:37" s="6" customFormat="1" ht="66.599999999999994" customHeight="1" x14ac:dyDescent="0.25">
      <c r="A56" s="69" t="s">
        <v>34</v>
      </c>
      <c r="B56" s="18">
        <f>B57</f>
        <v>3894.1999999999994</v>
      </c>
      <c r="C56" s="15">
        <f>C57</f>
        <v>3803.9999999999995</v>
      </c>
      <c r="D56" s="15">
        <f t="shared" ref="B56:D57" si="37">D57</f>
        <v>3505.6897999999997</v>
      </c>
      <c r="E56" s="15">
        <f>E57</f>
        <v>3505.6897999999997</v>
      </c>
      <c r="F56" s="15">
        <f t="shared" si="36"/>
        <v>90.023362950028258</v>
      </c>
      <c r="G56" s="15">
        <f t="shared" ref="G56:G61" si="38">E56/C56*100</f>
        <v>92.157986330178758</v>
      </c>
      <c r="H56" s="15">
        <f>H57</f>
        <v>257.8</v>
      </c>
      <c r="I56" s="15">
        <f t="shared" ref="I56:AE56" si="39">I57</f>
        <v>242.8</v>
      </c>
      <c r="J56" s="15">
        <f t="shared" si="39"/>
        <v>595.6</v>
      </c>
      <c r="K56" s="15">
        <f t="shared" si="39"/>
        <v>524.54</v>
      </c>
      <c r="L56" s="15">
        <f t="shared" si="39"/>
        <v>921.8</v>
      </c>
      <c r="M56" s="15">
        <f t="shared" si="39"/>
        <v>842.78800000000001</v>
      </c>
      <c r="N56" s="47">
        <f t="shared" si="39"/>
        <v>384.4</v>
      </c>
      <c r="O56" s="15">
        <f t="shared" si="39"/>
        <v>392.94499999999999</v>
      </c>
      <c r="P56" s="15">
        <f t="shared" si="39"/>
        <v>590.79999999999995</v>
      </c>
      <c r="Q56" s="15">
        <f t="shared" si="39"/>
        <v>439.91</v>
      </c>
      <c r="R56" s="15">
        <f t="shared" si="39"/>
        <v>0</v>
      </c>
      <c r="S56" s="15">
        <f t="shared" si="39"/>
        <v>55.566000000000003</v>
      </c>
      <c r="T56" s="15">
        <f t="shared" si="39"/>
        <v>8.5</v>
      </c>
      <c r="U56" s="15">
        <f t="shared" si="39"/>
        <v>24.35</v>
      </c>
      <c r="V56" s="15">
        <f t="shared" si="39"/>
        <v>0</v>
      </c>
      <c r="W56" s="15">
        <f t="shared" si="39"/>
        <v>0</v>
      </c>
      <c r="X56" s="15">
        <f t="shared" si="39"/>
        <v>328.3</v>
      </c>
      <c r="Y56" s="15">
        <f t="shared" si="39"/>
        <v>279.16500000000002</v>
      </c>
      <c r="Z56" s="15">
        <f t="shared" si="39"/>
        <v>338.7</v>
      </c>
      <c r="AA56" s="15">
        <f t="shared" si="39"/>
        <v>388.6318</v>
      </c>
      <c r="AB56" s="15">
        <f t="shared" si="39"/>
        <v>378.1</v>
      </c>
      <c r="AC56" s="15">
        <f t="shared" si="39"/>
        <v>314.99400000000003</v>
      </c>
      <c r="AD56" s="15">
        <f t="shared" si="39"/>
        <v>90.2</v>
      </c>
      <c r="AE56" s="15">
        <f t="shared" si="39"/>
        <v>0</v>
      </c>
      <c r="AF56" s="85"/>
      <c r="AG56" s="35">
        <f t="shared" si="5"/>
        <v>298.3101999999999</v>
      </c>
      <c r="AI56" s="35">
        <f t="shared" si="1"/>
        <v>3894.1999999999994</v>
      </c>
      <c r="AJ56" s="35">
        <f t="shared" si="2"/>
        <v>3425.8999999999996</v>
      </c>
      <c r="AK56" s="35">
        <f t="shared" si="3"/>
        <v>3190.6957999999995</v>
      </c>
    </row>
    <row r="57" spans="1:37" s="6" customFormat="1" ht="87" customHeight="1" x14ac:dyDescent="0.2">
      <c r="A57" s="72" t="s">
        <v>28</v>
      </c>
      <c r="B57" s="18">
        <f t="shared" si="37"/>
        <v>3894.1999999999994</v>
      </c>
      <c r="C57" s="15">
        <f>C58</f>
        <v>3803.9999999999995</v>
      </c>
      <c r="D57" s="15">
        <f>D58</f>
        <v>3505.6897999999997</v>
      </c>
      <c r="E57" s="15">
        <f>E58</f>
        <v>3505.6897999999997</v>
      </c>
      <c r="F57" s="15">
        <f t="shared" si="36"/>
        <v>90.023362950028258</v>
      </c>
      <c r="G57" s="15">
        <f t="shared" si="38"/>
        <v>92.157986330178758</v>
      </c>
      <c r="H57" s="15">
        <f>H58</f>
        <v>257.8</v>
      </c>
      <c r="I57" s="15">
        <f t="shared" ref="I57:AE57" si="40">I58</f>
        <v>242.8</v>
      </c>
      <c r="J57" s="15">
        <f t="shared" si="40"/>
        <v>595.6</v>
      </c>
      <c r="K57" s="15">
        <f t="shared" si="40"/>
        <v>524.54</v>
      </c>
      <c r="L57" s="15">
        <f t="shared" si="40"/>
        <v>921.8</v>
      </c>
      <c r="M57" s="15">
        <f t="shared" si="40"/>
        <v>842.78800000000001</v>
      </c>
      <c r="N57" s="47">
        <f t="shared" si="40"/>
        <v>384.4</v>
      </c>
      <c r="O57" s="15">
        <f t="shared" si="40"/>
        <v>392.94499999999999</v>
      </c>
      <c r="P57" s="15">
        <f t="shared" si="40"/>
        <v>590.79999999999995</v>
      </c>
      <c r="Q57" s="15">
        <f>Q58</f>
        <v>439.91</v>
      </c>
      <c r="R57" s="15">
        <f t="shared" si="40"/>
        <v>0</v>
      </c>
      <c r="S57" s="15">
        <f t="shared" si="40"/>
        <v>55.566000000000003</v>
      </c>
      <c r="T57" s="15">
        <f t="shared" si="40"/>
        <v>8.5</v>
      </c>
      <c r="U57" s="15">
        <f t="shared" si="40"/>
        <v>24.35</v>
      </c>
      <c r="V57" s="15">
        <f t="shared" si="40"/>
        <v>0</v>
      </c>
      <c r="W57" s="15">
        <f t="shared" si="40"/>
        <v>0</v>
      </c>
      <c r="X57" s="15">
        <f t="shared" si="40"/>
        <v>328.3</v>
      </c>
      <c r="Y57" s="15">
        <f t="shared" si="40"/>
        <v>279.16500000000002</v>
      </c>
      <c r="Z57" s="15">
        <f t="shared" si="40"/>
        <v>338.7</v>
      </c>
      <c r="AA57" s="15">
        <f t="shared" si="40"/>
        <v>388.6318</v>
      </c>
      <c r="AB57" s="15">
        <f t="shared" si="40"/>
        <v>378.1</v>
      </c>
      <c r="AC57" s="15">
        <f t="shared" si="40"/>
        <v>314.99400000000003</v>
      </c>
      <c r="AD57" s="15">
        <f t="shared" si="40"/>
        <v>90.2</v>
      </c>
      <c r="AE57" s="15">
        <f t="shared" si="40"/>
        <v>0</v>
      </c>
      <c r="AF57" s="108" t="s">
        <v>65</v>
      </c>
      <c r="AG57" s="35">
        <f t="shared" si="5"/>
        <v>298.3101999999999</v>
      </c>
      <c r="AI57" s="35">
        <f t="shared" si="1"/>
        <v>3894.1999999999994</v>
      </c>
      <c r="AJ57" s="35">
        <f t="shared" si="2"/>
        <v>3425.8999999999996</v>
      </c>
      <c r="AK57" s="35">
        <f t="shared" si="3"/>
        <v>3190.6957999999995</v>
      </c>
    </row>
    <row r="58" spans="1:37" s="8" customFormat="1" ht="24.75" customHeight="1" x14ac:dyDescent="0.25">
      <c r="A58" s="73" t="s">
        <v>24</v>
      </c>
      <c r="B58" s="18">
        <f>B60</f>
        <v>3894.1999999999994</v>
      </c>
      <c r="C58" s="15">
        <f>C60</f>
        <v>3803.9999999999995</v>
      </c>
      <c r="D58" s="15">
        <f>D60</f>
        <v>3505.6897999999997</v>
      </c>
      <c r="E58" s="15">
        <f>E60</f>
        <v>3505.6897999999997</v>
      </c>
      <c r="F58" s="15">
        <f t="shared" si="36"/>
        <v>90.023362950028258</v>
      </c>
      <c r="G58" s="15">
        <f t="shared" si="38"/>
        <v>92.157986330178758</v>
      </c>
      <c r="H58" s="15">
        <f>H59+H60</f>
        <v>257.8</v>
      </c>
      <c r="I58" s="15">
        <f t="shared" ref="I58:AE58" si="41">I59+I60</f>
        <v>242.8</v>
      </c>
      <c r="J58" s="15">
        <f t="shared" si="41"/>
        <v>595.6</v>
      </c>
      <c r="K58" s="15">
        <f t="shared" si="41"/>
        <v>524.54</v>
      </c>
      <c r="L58" s="15">
        <f t="shared" si="41"/>
        <v>921.8</v>
      </c>
      <c r="M58" s="15">
        <f t="shared" si="41"/>
        <v>842.78800000000001</v>
      </c>
      <c r="N58" s="47">
        <f t="shared" si="41"/>
        <v>384.4</v>
      </c>
      <c r="O58" s="15">
        <f t="shared" si="41"/>
        <v>392.94499999999999</v>
      </c>
      <c r="P58" s="15">
        <f t="shared" si="41"/>
        <v>590.79999999999995</v>
      </c>
      <c r="Q58" s="15">
        <f t="shared" si="41"/>
        <v>439.91</v>
      </c>
      <c r="R58" s="15">
        <f t="shared" si="41"/>
        <v>0</v>
      </c>
      <c r="S58" s="15">
        <f t="shared" si="41"/>
        <v>55.566000000000003</v>
      </c>
      <c r="T58" s="15">
        <f t="shared" si="41"/>
        <v>8.5</v>
      </c>
      <c r="U58" s="15">
        <f t="shared" si="41"/>
        <v>24.35</v>
      </c>
      <c r="V58" s="15">
        <f t="shared" si="41"/>
        <v>0</v>
      </c>
      <c r="W58" s="15">
        <f t="shared" si="41"/>
        <v>0</v>
      </c>
      <c r="X58" s="15">
        <f t="shared" si="41"/>
        <v>328.3</v>
      </c>
      <c r="Y58" s="15">
        <f t="shared" si="41"/>
        <v>279.16500000000002</v>
      </c>
      <c r="Z58" s="15">
        <f t="shared" si="41"/>
        <v>338.7</v>
      </c>
      <c r="AA58" s="15">
        <f t="shared" si="41"/>
        <v>388.6318</v>
      </c>
      <c r="AB58" s="15">
        <f t="shared" si="41"/>
        <v>378.1</v>
      </c>
      <c r="AC58" s="15">
        <f t="shared" si="41"/>
        <v>314.99400000000003</v>
      </c>
      <c r="AD58" s="15">
        <f t="shared" si="41"/>
        <v>90.2</v>
      </c>
      <c r="AE58" s="15">
        <f t="shared" si="41"/>
        <v>0</v>
      </c>
      <c r="AF58" s="109"/>
      <c r="AG58" s="35">
        <f t="shared" si="5"/>
        <v>298.3101999999999</v>
      </c>
      <c r="AI58" s="35">
        <f t="shared" si="1"/>
        <v>3894.1999999999994</v>
      </c>
      <c r="AJ58" s="35">
        <f t="shared" si="2"/>
        <v>3425.8999999999996</v>
      </c>
      <c r="AK58" s="35">
        <f t="shared" si="3"/>
        <v>3190.6957999999995</v>
      </c>
    </row>
    <row r="59" spans="1:37" s="6" customFormat="1" ht="25.9" customHeight="1" x14ac:dyDescent="0.25">
      <c r="A59" s="23" t="s">
        <v>20</v>
      </c>
      <c r="B59" s="17">
        <v>0</v>
      </c>
      <c r="C59" s="16">
        <v>0</v>
      </c>
      <c r="D59" s="16">
        <v>0</v>
      </c>
      <c r="E59" s="16">
        <v>0</v>
      </c>
      <c r="F59" s="16">
        <v>0</v>
      </c>
      <c r="G59" s="16">
        <v>0</v>
      </c>
      <c r="H59" s="16">
        <v>0</v>
      </c>
      <c r="I59" s="16">
        <v>0</v>
      </c>
      <c r="J59" s="16">
        <v>0</v>
      </c>
      <c r="K59" s="16">
        <v>0</v>
      </c>
      <c r="L59" s="16">
        <v>0</v>
      </c>
      <c r="M59" s="16">
        <v>0</v>
      </c>
      <c r="N59" s="26">
        <v>0</v>
      </c>
      <c r="O59" s="16">
        <v>0</v>
      </c>
      <c r="P59" s="16">
        <v>0</v>
      </c>
      <c r="Q59" s="16">
        <v>0</v>
      </c>
      <c r="R59" s="16">
        <v>0</v>
      </c>
      <c r="S59" s="16">
        <v>0</v>
      </c>
      <c r="T59" s="16">
        <v>0</v>
      </c>
      <c r="U59" s="16">
        <v>0</v>
      </c>
      <c r="V59" s="16">
        <v>0</v>
      </c>
      <c r="W59" s="16">
        <v>0</v>
      </c>
      <c r="X59" s="16">
        <v>0</v>
      </c>
      <c r="Y59" s="16">
        <v>0</v>
      </c>
      <c r="Z59" s="16">
        <v>0</v>
      </c>
      <c r="AA59" s="16">
        <v>0</v>
      </c>
      <c r="AB59" s="16">
        <v>0</v>
      </c>
      <c r="AC59" s="16">
        <v>0</v>
      </c>
      <c r="AD59" s="16">
        <v>0</v>
      </c>
      <c r="AE59" s="16"/>
      <c r="AF59" s="109"/>
      <c r="AG59" s="35">
        <f t="shared" si="5"/>
        <v>0</v>
      </c>
      <c r="AI59" s="35">
        <f t="shared" si="1"/>
        <v>0</v>
      </c>
      <c r="AJ59" s="35">
        <f t="shared" si="2"/>
        <v>0</v>
      </c>
      <c r="AK59" s="35">
        <f t="shared" si="3"/>
        <v>0</v>
      </c>
    </row>
    <row r="60" spans="1:37" s="6" customFormat="1" ht="29.25" customHeight="1" x14ac:dyDescent="0.25">
      <c r="A60" s="23" t="s">
        <v>21</v>
      </c>
      <c r="B60" s="17">
        <f>H60+J60+L60+N60+P60+R60+T60+V60+X60+Z60+AB60+AD60</f>
        <v>3894.1999999999994</v>
      </c>
      <c r="C60" s="17">
        <f>H60+J60+L60+N60+P60+R60+T60+V60+X60+Z60+AB60</f>
        <v>3803.9999999999995</v>
      </c>
      <c r="D60" s="16">
        <f>E60</f>
        <v>3505.6897999999997</v>
      </c>
      <c r="E60" s="16">
        <f>SUM(I60+K60+M60+O60+Q60+S60+U60+W60+Y60+AA60+AC60+AE60)</f>
        <v>3505.6897999999997</v>
      </c>
      <c r="F60" s="16">
        <f t="shared" si="36"/>
        <v>90.023362950028258</v>
      </c>
      <c r="G60" s="16">
        <f t="shared" si="38"/>
        <v>92.157986330178758</v>
      </c>
      <c r="H60" s="16">
        <v>257.8</v>
      </c>
      <c r="I60" s="16">
        <f>242800/1000</f>
        <v>242.8</v>
      </c>
      <c r="J60" s="16">
        <v>595.6</v>
      </c>
      <c r="K60" s="16">
        <v>524.54</v>
      </c>
      <c r="L60" s="16">
        <v>921.8</v>
      </c>
      <c r="M60" s="16">
        <f>842788/1000</f>
        <v>842.78800000000001</v>
      </c>
      <c r="N60" s="26">
        <v>384.4</v>
      </c>
      <c r="O60" s="16">
        <f>392945/1000</f>
        <v>392.94499999999999</v>
      </c>
      <c r="P60" s="16">
        <v>590.79999999999995</v>
      </c>
      <c r="Q60" s="16">
        <f>439910/1000</f>
        <v>439.91</v>
      </c>
      <c r="R60" s="16">
        <v>0</v>
      </c>
      <c r="S60" s="16">
        <f>55566/1000</f>
        <v>55.566000000000003</v>
      </c>
      <c r="T60" s="16">
        <v>8.5</v>
      </c>
      <c r="U60" s="16">
        <f>24350/1000</f>
        <v>24.35</v>
      </c>
      <c r="V60" s="16">
        <v>0</v>
      </c>
      <c r="W60" s="16">
        <v>0</v>
      </c>
      <c r="X60" s="16">
        <v>328.3</v>
      </c>
      <c r="Y60" s="16">
        <v>279.16500000000002</v>
      </c>
      <c r="Z60" s="16">
        <v>338.7</v>
      </c>
      <c r="AA60" s="16">
        <f>388631.8/1000</f>
        <v>388.6318</v>
      </c>
      <c r="AB60" s="16">
        <v>378.1</v>
      </c>
      <c r="AC60" s="16">
        <f>314994/1000</f>
        <v>314.99400000000003</v>
      </c>
      <c r="AD60" s="16">
        <v>90.2</v>
      </c>
      <c r="AE60" s="16">
        <v>0</v>
      </c>
      <c r="AF60" s="110"/>
      <c r="AG60" s="35">
        <f t="shared" si="5"/>
        <v>298.3101999999999</v>
      </c>
      <c r="AI60" s="35">
        <f t="shared" si="1"/>
        <v>3894.1999999999994</v>
      </c>
      <c r="AJ60" s="35">
        <f t="shared" si="2"/>
        <v>3425.8999999999996</v>
      </c>
      <c r="AK60" s="35">
        <f t="shared" si="3"/>
        <v>3190.6957999999995</v>
      </c>
    </row>
    <row r="61" spans="1:37" s="6" customFormat="1" ht="50.1" customHeight="1" x14ac:dyDescent="0.25">
      <c r="A61" s="71" t="s">
        <v>35</v>
      </c>
      <c r="B61" s="15">
        <f t="shared" ref="B61:E62" si="42">B62</f>
        <v>7222.8969999999999</v>
      </c>
      <c r="C61" s="15">
        <f t="shared" si="42"/>
        <v>6535.29</v>
      </c>
      <c r="D61" s="15">
        <f t="shared" si="42"/>
        <v>6060.06711</v>
      </c>
      <c r="E61" s="15">
        <f t="shared" si="42"/>
        <v>6060.06711</v>
      </c>
      <c r="F61" s="15">
        <f t="shared" si="36"/>
        <v>83.900782608418751</v>
      </c>
      <c r="G61" s="15">
        <f t="shared" si="38"/>
        <v>92.728358037669338</v>
      </c>
      <c r="H61" s="15">
        <f xml:space="preserve"> H62</f>
        <v>1419.9190000000001</v>
      </c>
      <c r="I61" s="15">
        <f t="shared" ref="I61:AE61" si="43" xml:space="preserve"> I62</f>
        <v>1068.08095</v>
      </c>
      <c r="J61" s="15">
        <f t="shared" si="43"/>
        <v>595.91999999999996</v>
      </c>
      <c r="K61" s="15">
        <f xml:space="preserve"> K62</f>
        <v>643.70773999999994</v>
      </c>
      <c r="L61" s="15">
        <f t="shared" si="43"/>
        <v>261.23</v>
      </c>
      <c r="M61" s="15">
        <f t="shared" si="43"/>
        <v>225.98582000000002</v>
      </c>
      <c r="N61" s="47">
        <f t="shared" si="43"/>
        <v>572.28599999999994</v>
      </c>
      <c r="O61" s="15">
        <f t="shared" si="43"/>
        <v>601.55618000000004</v>
      </c>
      <c r="P61" s="15">
        <f t="shared" si="43"/>
        <v>579.02700000000004</v>
      </c>
      <c r="Q61" s="15">
        <f t="shared" si="43"/>
        <v>523.19788000000005</v>
      </c>
      <c r="R61" s="15">
        <f t="shared" si="43"/>
        <v>804.30100000000004</v>
      </c>
      <c r="S61" s="15">
        <f t="shared" si="43"/>
        <v>844.87</v>
      </c>
      <c r="T61" s="15">
        <f t="shared" si="43"/>
        <v>1035.346</v>
      </c>
      <c r="U61" s="15">
        <f t="shared" si="43"/>
        <v>928.06309999999996</v>
      </c>
      <c r="V61" s="15">
        <f t="shared" si="43"/>
        <v>296.10300000000001</v>
      </c>
      <c r="W61" s="15">
        <f t="shared" si="43"/>
        <v>517.95435999999995</v>
      </c>
      <c r="X61" s="15">
        <f t="shared" si="43"/>
        <v>189.48599999999999</v>
      </c>
      <c r="Y61" s="15">
        <f t="shared" si="43"/>
        <v>15.888</v>
      </c>
      <c r="Z61" s="15">
        <f>Z65</f>
        <v>555.44500000000005</v>
      </c>
      <c r="AA61" s="15">
        <f t="shared" si="43"/>
        <v>499.46253999999999</v>
      </c>
      <c r="AB61" s="15">
        <f t="shared" si="43"/>
        <v>226.227</v>
      </c>
      <c r="AC61" s="15">
        <f t="shared" si="43"/>
        <v>191.30054000000001</v>
      </c>
      <c r="AD61" s="15">
        <f t="shared" si="43"/>
        <v>687.60699999999997</v>
      </c>
      <c r="AE61" s="15">
        <f t="shared" si="43"/>
        <v>0</v>
      </c>
      <c r="AF61" s="74"/>
      <c r="AG61" s="35">
        <f t="shared" si="5"/>
        <v>475.22289000000001</v>
      </c>
      <c r="AI61" s="35">
        <f t="shared" si="1"/>
        <v>7222.8969999999999</v>
      </c>
      <c r="AJ61" s="35">
        <f t="shared" si="2"/>
        <v>6309.0630000000001</v>
      </c>
      <c r="AK61" s="35">
        <f t="shared" si="3"/>
        <v>5868.7665699999998</v>
      </c>
    </row>
    <row r="62" spans="1:37" s="6" customFormat="1" ht="84" customHeight="1" x14ac:dyDescent="0.2">
      <c r="A62" s="72" t="s">
        <v>36</v>
      </c>
      <c r="B62" s="18">
        <f t="shared" si="42"/>
        <v>7222.8969999999999</v>
      </c>
      <c r="C62" s="15">
        <f t="shared" si="42"/>
        <v>6535.29</v>
      </c>
      <c r="D62" s="15">
        <f t="shared" si="42"/>
        <v>6060.06711</v>
      </c>
      <c r="E62" s="15">
        <f t="shared" si="42"/>
        <v>6060.06711</v>
      </c>
      <c r="F62" s="15">
        <f>E62/B62*100</f>
        <v>83.900782608418751</v>
      </c>
      <c r="G62" s="15">
        <f>E62/C62*100</f>
        <v>92.728358037669338</v>
      </c>
      <c r="H62" s="15">
        <f>H63</f>
        <v>1419.9190000000001</v>
      </c>
      <c r="I62" s="15">
        <f t="shared" ref="I62:AE62" si="44">I63</f>
        <v>1068.08095</v>
      </c>
      <c r="J62" s="15">
        <f t="shared" si="44"/>
        <v>595.91999999999996</v>
      </c>
      <c r="K62" s="15">
        <f t="shared" si="44"/>
        <v>643.70773999999994</v>
      </c>
      <c r="L62" s="15">
        <f t="shared" si="44"/>
        <v>261.23</v>
      </c>
      <c r="M62" s="15">
        <f t="shared" si="44"/>
        <v>225.98582000000002</v>
      </c>
      <c r="N62" s="47">
        <f t="shared" si="44"/>
        <v>572.28599999999994</v>
      </c>
      <c r="O62" s="15">
        <f t="shared" si="44"/>
        <v>601.55618000000004</v>
      </c>
      <c r="P62" s="15">
        <f t="shared" si="44"/>
        <v>579.02700000000004</v>
      </c>
      <c r="Q62" s="15">
        <f t="shared" si="44"/>
        <v>523.19788000000005</v>
      </c>
      <c r="R62" s="15">
        <f t="shared" si="44"/>
        <v>804.30100000000004</v>
      </c>
      <c r="S62" s="15">
        <f t="shared" si="44"/>
        <v>844.87</v>
      </c>
      <c r="T62" s="15">
        <f t="shared" si="44"/>
        <v>1035.346</v>
      </c>
      <c r="U62" s="15">
        <f t="shared" si="44"/>
        <v>928.06309999999996</v>
      </c>
      <c r="V62" s="15">
        <f t="shared" si="44"/>
        <v>296.10300000000001</v>
      </c>
      <c r="W62" s="15">
        <f t="shared" si="44"/>
        <v>517.95435999999995</v>
      </c>
      <c r="X62" s="15">
        <f t="shared" si="44"/>
        <v>189.48599999999999</v>
      </c>
      <c r="Y62" s="15">
        <f t="shared" si="44"/>
        <v>15.888</v>
      </c>
      <c r="Z62" s="15">
        <f t="shared" si="44"/>
        <v>555.44500000000005</v>
      </c>
      <c r="AA62" s="15">
        <f t="shared" si="44"/>
        <v>499.46253999999999</v>
      </c>
      <c r="AB62" s="15">
        <f t="shared" si="44"/>
        <v>226.227</v>
      </c>
      <c r="AC62" s="15">
        <f t="shared" si="44"/>
        <v>191.30054000000001</v>
      </c>
      <c r="AD62" s="15">
        <f t="shared" si="44"/>
        <v>687.60699999999997</v>
      </c>
      <c r="AE62" s="15">
        <f t="shared" si="44"/>
        <v>0</v>
      </c>
      <c r="AF62" s="116" t="s">
        <v>74</v>
      </c>
      <c r="AG62" s="35">
        <f t="shared" si="5"/>
        <v>475.22289000000001</v>
      </c>
      <c r="AI62" s="35">
        <f t="shared" si="1"/>
        <v>7222.8969999999999</v>
      </c>
      <c r="AJ62" s="35">
        <f t="shared" si="2"/>
        <v>6309.0630000000001</v>
      </c>
      <c r="AK62" s="35">
        <f t="shared" si="3"/>
        <v>5868.7665699999998</v>
      </c>
    </row>
    <row r="63" spans="1:37" s="6" customFormat="1" ht="24" customHeight="1" x14ac:dyDescent="0.2">
      <c r="A63" s="22" t="s">
        <v>24</v>
      </c>
      <c r="B63" s="18">
        <f>B64+B65</f>
        <v>7222.8969999999999</v>
      </c>
      <c r="C63" s="18">
        <f>C64+C65</f>
        <v>6535.29</v>
      </c>
      <c r="D63" s="18">
        <f>D64+D65</f>
        <v>6060.06711</v>
      </c>
      <c r="E63" s="18">
        <f>E65</f>
        <v>6060.06711</v>
      </c>
      <c r="F63" s="15">
        <f>E63/B63*100</f>
        <v>83.900782608418751</v>
      </c>
      <c r="G63" s="15">
        <f>E63/C63*100</f>
        <v>92.728358037669338</v>
      </c>
      <c r="H63" s="15">
        <f>H64+H65</f>
        <v>1419.9190000000001</v>
      </c>
      <c r="I63" s="15">
        <f t="shared" ref="I63:AE63" si="45">I64+I65</f>
        <v>1068.08095</v>
      </c>
      <c r="J63" s="15">
        <f t="shared" si="45"/>
        <v>595.91999999999996</v>
      </c>
      <c r="K63" s="15">
        <f t="shared" si="45"/>
        <v>643.70773999999994</v>
      </c>
      <c r="L63" s="15">
        <f t="shared" si="45"/>
        <v>261.23</v>
      </c>
      <c r="M63" s="15">
        <f t="shared" si="45"/>
        <v>225.98582000000002</v>
      </c>
      <c r="N63" s="47">
        <f t="shared" si="45"/>
        <v>572.28599999999994</v>
      </c>
      <c r="O63" s="15">
        <f t="shared" si="45"/>
        <v>601.55618000000004</v>
      </c>
      <c r="P63" s="15">
        <f t="shared" si="45"/>
        <v>579.02700000000004</v>
      </c>
      <c r="Q63" s="15">
        <f t="shared" si="45"/>
        <v>523.19788000000005</v>
      </c>
      <c r="R63" s="15">
        <f t="shared" si="45"/>
        <v>804.30100000000004</v>
      </c>
      <c r="S63" s="15">
        <f t="shared" si="45"/>
        <v>844.87</v>
      </c>
      <c r="T63" s="15">
        <f t="shared" si="45"/>
        <v>1035.346</v>
      </c>
      <c r="U63" s="15">
        <f t="shared" si="45"/>
        <v>928.06309999999996</v>
      </c>
      <c r="V63" s="15">
        <f t="shared" si="45"/>
        <v>296.10300000000001</v>
      </c>
      <c r="W63" s="15">
        <f t="shared" si="45"/>
        <v>517.95435999999995</v>
      </c>
      <c r="X63" s="15">
        <f t="shared" si="45"/>
        <v>189.48599999999999</v>
      </c>
      <c r="Y63" s="15">
        <f t="shared" si="45"/>
        <v>15.888</v>
      </c>
      <c r="Z63" s="15">
        <f t="shared" si="45"/>
        <v>555.44500000000005</v>
      </c>
      <c r="AA63" s="15">
        <f t="shared" si="45"/>
        <v>499.46253999999999</v>
      </c>
      <c r="AB63" s="15">
        <f t="shared" si="45"/>
        <v>226.227</v>
      </c>
      <c r="AC63" s="15">
        <f t="shared" si="45"/>
        <v>191.30054000000001</v>
      </c>
      <c r="AD63" s="15">
        <f t="shared" si="45"/>
        <v>687.60699999999997</v>
      </c>
      <c r="AE63" s="15">
        <f t="shared" si="45"/>
        <v>0</v>
      </c>
      <c r="AF63" s="117"/>
      <c r="AG63" s="35">
        <f t="shared" si="5"/>
        <v>475.22289000000001</v>
      </c>
      <c r="AI63" s="35">
        <f t="shared" si="1"/>
        <v>7222.8969999999999</v>
      </c>
      <c r="AJ63" s="35">
        <f t="shared" si="2"/>
        <v>6309.0630000000001</v>
      </c>
      <c r="AK63" s="35">
        <f t="shared" si="3"/>
        <v>5868.7665699999998</v>
      </c>
    </row>
    <row r="64" spans="1:37" s="6" customFormat="1" ht="27" customHeight="1" x14ac:dyDescent="0.25">
      <c r="A64" s="23" t="s">
        <v>20</v>
      </c>
      <c r="B64" s="17">
        <v>0</v>
      </c>
      <c r="C64" s="16">
        <v>0</v>
      </c>
      <c r="D64" s="16">
        <v>0</v>
      </c>
      <c r="E64" s="16">
        <v>0</v>
      </c>
      <c r="F64" s="16">
        <v>0</v>
      </c>
      <c r="G64" s="16">
        <v>0</v>
      </c>
      <c r="H64" s="16">
        <v>0</v>
      </c>
      <c r="I64" s="16">
        <v>0</v>
      </c>
      <c r="J64" s="16">
        <v>0</v>
      </c>
      <c r="K64" s="16">
        <v>0</v>
      </c>
      <c r="L64" s="16">
        <v>0</v>
      </c>
      <c r="M64" s="16">
        <v>0</v>
      </c>
      <c r="N64" s="26">
        <v>0</v>
      </c>
      <c r="O64" s="16">
        <v>0</v>
      </c>
      <c r="P64" s="16">
        <v>0</v>
      </c>
      <c r="Q64" s="16">
        <v>0</v>
      </c>
      <c r="R64" s="16">
        <v>0</v>
      </c>
      <c r="S64" s="16">
        <v>0</v>
      </c>
      <c r="T64" s="16">
        <v>0</v>
      </c>
      <c r="U64" s="16">
        <v>0</v>
      </c>
      <c r="V64" s="16">
        <v>0</v>
      </c>
      <c r="W64" s="16">
        <v>0</v>
      </c>
      <c r="X64" s="16">
        <v>0</v>
      </c>
      <c r="Y64" s="16">
        <v>0</v>
      </c>
      <c r="Z64" s="16">
        <v>0</v>
      </c>
      <c r="AA64" s="16">
        <v>0</v>
      </c>
      <c r="AB64" s="16">
        <v>0</v>
      </c>
      <c r="AC64" s="16">
        <v>0</v>
      </c>
      <c r="AD64" s="16">
        <v>0</v>
      </c>
      <c r="AE64" s="16"/>
      <c r="AF64" s="117"/>
      <c r="AG64" s="35">
        <f t="shared" si="5"/>
        <v>0</v>
      </c>
      <c r="AI64" s="35">
        <f t="shared" si="1"/>
        <v>0</v>
      </c>
      <c r="AJ64" s="35">
        <f t="shared" si="2"/>
        <v>0</v>
      </c>
      <c r="AK64" s="35">
        <f t="shared" si="3"/>
        <v>0</v>
      </c>
    </row>
    <row r="65" spans="1:44" s="6" customFormat="1" ht="25.5" customHeight="1" x14ac:dyDescent="0.25">
      <c r="A65" s="23" t="s">
        <v>21</v>
      </c>
      <c r="B65" s="17">
        <f>H65+J65+L65+N65+P65+R65+T65+V65+X65+Z65+AB65+AD65</f>
        <v>7222.8969999999999</v>
      </c>
      <c r="C65" s="16">
        <f>H65+J65+L65+N65+P65+R65+T65+V65+X65+Z65+AB65</f>
        <v>6535.29</v>
      </c>
      <c r="D65" s="16">
        <f>E65</f>
        <v>6060.06711</v>
      </c>
      <c r="E65" s="16">
        <f>SUM(I65+K65+M65+O65+Q65+S65+U65+W65+Y65+AA65+AC65+AE65)</f>
        <v>6060.06711</v>
      </c>
      <c r="F65" s="16">
        <f>E65/B65*100</f>
        <v>83.900782608418751</v>
      </c>
      <c r="G65" s="16">
        <f>E65/C65*100</f>
        <v>92.728358037669338</v>
      </c>
      <c r="H65" s="16">
        <f>1419919/1000</f>
        <v>1419.9190000000001</v>
      </c>
      <c r="I65" s="16">
        <f>1068080.95/1000</f>
        <v>1068.08095</v>
      </c>
      <c r="J65" s="16">
        <v>595.91999999999996</v>
      </c>
      <c r="K65" s="16">
        <f>643707.74/1000</f>
        <v>643.70773999999994</v>
      </c>
      <c r="L65" s="16">
        <v>261.23</v>
      </c>
      <c r="M65" s="16">
        <f>225985.82/1000</f>
        <v>225.98582000000002</v>
      </c>
      <c r="N65" s="26">
        <f>572286/1000</f>
        <v>572.28599999999994</v>
      </c>
      <c r="O65" s="16">
        <f>601556.18/1000</f>
        <v>601.55618000000004</v>
      </c>
      <c r="P65" s="16">
        <f>579027/1000</f>
        <v>579.02700000000004</v>
      </c>
      <c r="Q65" s="16">
        <f>523197.88/1000</f>
        <v>523.19788000000005</v>
      </c>
      <c r="R65" s="16">
        <f>804301/1000</f>
        <v>804.30100000000004</v>
      </c>
      <c r="S65" s="16">
        <v>844.87</v>
      </c>
      <c r="T65" s="16">
        <f>1035346/1000</f>
        <v>1035.346</v>
      </c>
      <c r="U65" s="16">
        <f>928063.1/1000</f>
        <v>928.06309999999996</v>
      </c>
      <c r="V65" s="16">
        <f>296103/1000</f>
        <v>296.10300000000001</v>
      </c>
      <c r="W65" s="16">
        <f>517954.36/1000</f>
        <v>517.95435999999995</v>
      </c>
      <c r="X65" s="16">
        <v>189.48599999999999</v>
      </c>
      <c r="Y65" s="16">
        <v>15.888</v>
      </c>
      <c r="Z65" s="16">
        <v>555.44500000000005</v>
      </c>
      <c r="AA65" s="16">
        <f>499462.54/1000</f>
        <v>499.46253999999999</v>
      </c>
      <c r="AB65" s="16">
        <v>226.227</v>
      </c>
      <c r="AC65" s="16">
        <f>191300.54/1000</f>
        <v>191.30054000000001</v>
      </c>
      <c r="AD65" s="16">
        <v>687.60699999999997</v>
      </c>
      <c r="AE65" s="15"/>
      <c r="AF65" s="118"/>
      <c r="AG65" s="35">
        <f t="shared" si="5"/>
        <v>475.22289000000001</v>
      </c>
      <c r="AI65" s="35">
        <f t="shared" si="1"/>
        <v>7222.8969999999999</v>
      </c>
      <c r="AJ65" s="35">
        <f t="shared" si="2"/>
        <v>6309.0630000000001</v>
      </c>
      <c r="AK65" s="35">
        <f t="shared" si="3"/>
        <v>5868.7665699999998</v>
      </c>
    </row>
    <row r="66" spans="1:44" s="9" customFormat="1" ht="39" customHeight="1" x14ac:dyDescent="0.2">
      <c r="A66" s="29" t="s">
        <v>25</v>
      </c>
      <c r="B66" s="30">
        <f>B67+B68+B69+B72+B71</f>
        <v>245622.99986000001</v>
      </c>
      <c r="C66" s="30">
        <f>C67+C68+C69+C72+C71</f>
        <v>199961.67062000002</v>
      </c>
      <c r="D66" s="30">
        <f>D67+D68+D69+D72+D71</f>
        <v>196595.33220999996</v>
      </c>
      <c r="E66" s="30">
        <f>E67+E68+E69+E71+E72</f>
        <v>196595.33520999996</v>
      </c>
      <c r="F66" s="77">
        <f>E66/B66*100</f>
        <v>80.039465083504069</v>
      </c>
      <c r="G66" s="77">
        <f>E66/C66*100</f>
        <v>98.316509659294994</v>
      </c>
      <c r="H66" s="30">
        <f t="shared" ref="H66:AE66" si="46">H68+H69+H67+H72+H71</f>
        <v>21844.122960000001</v>
      </c>
      <c r="I66" s="30">
        <f t="shared" si="46"/>
        <v>13222.88925</v>
      </c>
      <c r="J66" s="30">
        <f t="shared" si="46"/>
        <v>18088.668489999996</v>
      </c>
      <c r="K66" s="30">
        <f t="shared" si="46"/>
        <v>18554.42756</v>
      </c>
      <c r="L66" s="30">
        <f t="shared" si="46"/>
        <v>19351.321</v>
      </c>
      <c r="M66" s="30">
        <f t="shared" si="46"/>
        <v>14653.75153</v>
      </c>
      <c r="N66" s="30">
        <f t="shared" si="46"/>
        <v>17990.778910000001</v>
      </c>
      <c r="O66" s="30">
        <f t="shared" si="46"/>
        <v>16487.07518</v>
      </c>
      <c r="P66" s="30">
        <f t="shared" si="46"/>
        <v>25090.942999999999</v>
      </c>
      <c r="Q66" s="30">
        <f t="shared" si="46"/>
        <v>20328.90581</v>
      </c>
      <c r="R66" s="30">
        <f t="shared" si="46"/>
        <v>24017.69774</v>
      </c>
      <c r="S66" s="30">
        <f t="shared" si="46"/>
        <v>27504.530999999992</v>
      </c>
      <c r="T66" s="30">
        <f t="shared" si="46"/>
        <v>19967.427019999999</v>
      </c>
      <c r="U66" s="30">
        <f t="shared" si="46"/>
        <v>26504.329859999994</v>
      </c>
      <c r="V66" s="30">
        <f t="shared" si="46"/>
        <v>13057.451999999999</v>
      </c>
      <c r="W66" s="30">
        <f t="shared" si="46"/>
        <v>9897.1847099999995</v>
      </c>
      <c r="X66" s="30">
        <f t="shared" si="46"/>
        <v>23024.331999999999</v>
      </c>
      <c r="Y66" s="30">
        <f t="shared" si="46"/>
        <v>13954.923999999999</v>
      </c>
      <c r="Z66" s="30">
        <f t="shared" si="46"/>
        <v>17528.927500000002</v>
      </c>
      <c r="AA66" s="30">
        <f t="shared" si="46"/>
        <v>20923.326410000001</v>
      </c>
      <c r="AB66" s="30">
        <f t="shared" si="46"/>
        <v>16860.989000000001</v>
      </c>
      <c r="AC66" s="30">
        <f t="shared" si="46"/>
        <v>14563.9899</v>
      </c>
      <c r="AD66" s="30">
        <f t="shared" si="46"/>
        <v>28800.340239999998</v>
      </c>
      <c r="AE66" s="30">
        <f t="shared" si="46"/>
        <v>0</v>
      </c>
      <c r="AF66" s="22"/>
      <c r="AG66" s="35">
        <f t="shared" si="5"/>
        <v>3366.3354100000579</v>
      </c>
      <c r="AH66" s="31"/>
      <c r="AI66" s="35">
        <f>H66+J66+L66+N66+P66+R66+T66+V66+X66+Z66+AB66+AD66</f>
        <v>245622.99985999998</v>
      </c>
      <c r="AJ66" s="35">
        <f>H66+J66+L66+N66+P66+R66+T66+V66+X66+Z66</f>
        <v>199961.67061999999</v>
      </c>
      <c r="AK66" s="35">
        <f>I66+K66+M66+O66+Q66+S66+U66+W66+Y66+AA66</f>
        <v>182031.34530999998</v>
      </c>
    </row>
    <row r="67" spans="1:44" s="9" customFormat="1" ht="35.25" customHeight="1" x14ac:dyDescent="0.2">
      <c r="A67" s="79" t="s">
        <v>43</v>
      </c>
      <c r="B67" s="30">
        <f>H67+J67+L67+N67+P67+R67+T67+V67+X67+Z67+AB67+AD67</f>
        <v>1200</v>
      </c>
      <c r="C67" s="30">
        <f t="shared" ref="C67:C70" si="47">H67+J67+L67+N67+P67+R67+T67+V67+X67+Z67</f>
        <v>1200</v>
      </c>
      <c r="D67" s="30">
        <f>C67</f>
        <v>1200</v>
      </c>
      <c r="E67" s="30">
        <f>I67+K67+M67+O67+Q67+S67+U67+W67+Y67+AA67+AC67+AE67</f>
        <v>1200</v>
      </c>
      <c r="F67" s="77">
        <f>E67/B67*100</f>
        <v>100</v>
      </c>
      <c r="G67" s="77">
        <f>E67/C67*100</f>
        <v>100</v>
      </c>
      <c r="H67" s="30">
        <f t="shared" ref="H67:AE67" si="48">H14+H29+H42</f>
        <v>0</v>
      </c>
      <c r="I67" s="30">
        <f t="shared" si="48"/>
        <v>0</v>
      </c>
      <c r="J67" s="30">
        <f t="shared" si="48"/>
        <v>0</v>
      </c>
      <c r="K67" s="30">
        <f t="shared" si="48"/>
        <v>0</v>
      </c>
      <c r="L67" s="30">
        <f t="shared" si="48"/>
        <v>0</v>
      </c>
      <c r="M67" s="30">
        <f t="shared" si="48"/>
        <v>0</v>
      </c>
      <c r="N67" s="30">
        <f t="shared" si="48"/>
        <v>0</v>
      </c>
      <c r="O67" s="30">
        <f t="shared" si="48"/>
        <v>0</v>
      </c>
      <c r="P67" s="30">
        <f t="shared" si="48"/>
        <v>1000</v>
      </c>
      <c r="Q67" s="30">
        <f t="shared" si="48"/>
        <v>0</v>
      </c>
      <c r="R67" s="30">
        <f t="shared" si="48"/>
        <v>200</v>
      </c>
      <c r="S67" s="30">
        <f t="shared" si="48"/>
        <v>200</v>
      </c>
      <c r="T67" s="30">
        <f t="shared" si="48"/>
        <v>0</v>
      </c>
      <c r="U67" s="30">
        <f t="shared" si="48"/>
        <v>970</v>
      </c>
      <c r="V67" s="30">
        <f t="shared" si="48"/>
        <v>0</v>
      </c>
      <c r="W67" s="30">
        <f t="shared" si="48"/>
        <v>0</v>
      </c>
      <c r="X67" s="30">
        <f t="shared" si="48"/>
        <v>0</v>
      </c>
      <c r="Y67" s="30">
        <f t="shared" si="48"/>
        <v>30</v>
      </c>
      <c r="Z67" s="30">
        <f t="shared" si="48"/>
        <v>0</v>
      </c>
      <c r="AA67" s="30">
        <f t="shared" si="48"/>
        <v>0</v>
      </c>
      <c r="AB67" s="30">
        <f t="shared" si="48"/>
        <v>0</v>
      </c>
      <c r="AC67" s="30">
        <f t="shared" si="48"/>
        <v>0</v>
      </c>
      <c r="AD67" s="30">
        <f t="shared" si="48"/>
        <v>0</v>
      </c>
      <c r="AE67" s="30">
        <f t="shared" si="48"/>
        <v>0</v>
      </c>
      <c r="AF67" s="22"/>
      <c r="AG67" s="35">
        <f t="shared" si="5"/>
        <v>0</v>
      </c>
      <c r="AH67" s="31"/>
      <c r="AI67" s="35">
        <f t="shared" ref="AI67:AI72" si="49">H67+J67+L67+N67+P67+R67+T67+V67+X67+Z67+AB67+AD67</f>
        <v>1200</v>
      </c>
      <c r="AJ67" s="35">
        <f t="shared" ref="AJ67:AJ72" si="50">H67+J67+L67+N67+P67+R67+T67+V67+X67+Z67</f>
        <v>1200</v>
      </c>
      <c r="AK67" s="35">
        <f t="shared" ref="AK67:AK72" si="51">I67+K67+M67+O67+Q67+S67+U67+W67</f>
        <v>1170</v>
      </c>
    </row>
    <row r="68" spans="1:44" s="6" customFormat="1" ht="27" customHeight="1" x14ac:dyDescent="0.25">
      <c r="A68" s="80" t="s">
        <v>20</v>
      </c>
      <c r="B68" s="30">
        <f>H68+J68+L68+N68+P68+R68+T68+V68+X68+Z68+AB68+AD68</f>
        <v>2944</v>
      </c>
      <c r="C68" s="30">
        <f t="shared" si="47"/>
        <v>2944</v>
      </c>
      <c r="D68" s="30">
        <f>C68</f>
        <v>2944</v>
      </c>
      <c r="E68" s="30">
        <f t="shared" ref="E68:E69" si="52">I68+K68+M68+O68+Q68+S68+U68+W68+Y68+AA68+AC68+AE68</f>
        <v>2944.0030000000002</v>
      </c>
      <c r="F68" s="77">
        <f>E68/B68*100</f>
        <v>100.00010190217392</v>
      </c>
      <c r="G68" s="77">
        <f>E68/C68*100</f>
        <v>100.00010190217392</v>
      </c>
      <c r="H68" s="30">
        <f t="shared" ref="H68:AE68" si="53">H10+H15+H20+H24+H28+H39+H49+H54+H59+H64</f>
        <v>0</v>
      </c>
      <c r="I68" s="30">
        <f t="shared" si="53"/>
        <v>0</v>
      </c>
      <c r="J68" s="30">
        <f t="shared" si="53"/>
        <v>0</v>
      </c>
      <c r="K68" s="30">
        <f t="shared" si="53"/>
        <v>0</v>
      </c>
      <c r="L68" s="30">
        <f t="shared" si="53"/>
        <v>34.299999999999997</v>
      </c>
      <c r="M68" s="30">
        <f t="shared" si="53"/>
        <v>34.299999999999997</v>
      </c>
      <c r="N68" s="30">
        <f t="shared" si="53"/>
        <v>43</v>
      </c>
      <c r="O68" s="30">
        <f t="shared" si="53"/>
        <v>43</v>
      </c>
      <c r="P68" s="30">
        <f t="shared" si="53"/>
        <v>2000</v>
      </c>
      <c r="Q68" s="30">
        <f t="shared" si="53"/>
        <v>0</v>
      </c>
      <c r="R68" s="30">
        <f t="shared" si="53"/>
        <v>585.06999999999994</v>
      </c>
      <c r="S68" s="30">
        <f t="shared" si="53"/>
        <v>155</v>
      </c>
      <c r="T68" s="30">
        <f t="shared" si="53"/>
        <v>108.3</v>
      </c>
      <c r="U68" s="30">
        <f t="shared" si="53"/>
        <v>2493.373</v>
      </c>
      <c r="V68" s="30">
        <f t="shared" si="53"/>
        <v>0</v>
      </c>
      <c r="W68" s="30">
        <f t="shared" si="53"/>
        <v>45</v>
      </c>
      <c r="X68" s="30">
        <f t="shared" si="53"/>
        <v>0</v>
      </c>
      <c r="Y68" s="30">
        <f t="shared" si="53"/>
        <v>0</v>
      </c>
      <c r="Z68" s="30">
        <f t="shared" si="53"/>
        <v>173.33</v>
      </c>
      <c r="AA68" s="30">
        <f t="shared" si="53"/>
        <v>173.33</v>
      </c>
      <c r="AB68" s="30">
        <f t="shared" si="53"/>
        <v>0</v>
      </c>
      <c r="AC68" s="30">
        <f t="shared" si="53"/>
        <v>0</v>
      </c>
      <c r="AD68" s="30">
        <f t="shared" si="53"/>
        <v>0</v>
      </c>
      <c r="AE68" s="30">
        <f t="shared" si="53"/>
        <v>0</v>
      </c>
      <c r="AF68" s="52"/>
      <c r="AG68" s="35">
        <f t="shared" si="5"/>
        <v>-3.0000000001564331E-3</v>
      </c>
      <c r="AI68" s="35">
        <f t="shared" si="49"/>
        <v>2944</v>
      </c>
      <c r="AJ68" s="35">
        <f t="shared" si="50"/>
        <v>2944</v>
      </c>
      <c r="AK68" s="35">
        <f t="shared" si="51"/>
        <v>2770.6730000000002</v>
      </c>
    </row>
    <row r="69" spans="1:44" s="6" customFormat="1" ht="25.9" customHeight="1" x14ac:dyDescent="0.25">
      <c r="A69" s="80" t="s">
        <v>21</v>
      </c>
      <c r="B69" s="30">
        <f>H69+J69+L69+N69+P69+R69+T69+V69+X69+Z69+AB69+AD69</f>
        <v>199084.40300000002</v>
      </c>
      <c r="C69" s="30">
        <f>H69+J69+L69+N69+P69+R69+T69+V69+X69+Z69</f>
        <v>168614.44500000001</v>
      </c>
      <c r="D69" s="30">
        <f>E69</f>
        <v>165085.77693999998</v>
      </c>
      <c r="E69" s="30">
        <f t="shared" si="52"/>
        <v>165085.77693999998</v>
      </c>
      <c r="F69" s="77">
        <f>E69/B69*100</f>
        <v>82.922506460739655</v>
      </c>
      <c r="G69" s="77">
        <f>E69/C69*100</f>
        <v>97.907256368219208</v>
      </c>
      <c r="H69" s="30">
        <f>H11+H16+H21+H25+H30+H40+H46+H50+H55+H60+H65</f>
        <v>14201.215999999999</v>
      </c>
      <c r="I69" s="30">
        <f t="shared" ref="I69:AE69" si="54">I11+I16+I21+I25+I30+I40+I46+I50+I55+I60+I65</f>
        <v>5579.9792500000003</v>
      </c>
      <c r="J69" s="30">
        <f t="shared" si="54"/>
        <v>17044.896749999996</v>
      </c>
      <c r="K69" s="30">
        <f t="shared" si="54"/>
        <v>18554.42756</v>
      </c>
      <c r="L69" s="30">
        <f t="shared" si="54"/>
        <v>16781.021000000001</v>
      </c>
      <c r="M69" s="30">
        <f t="shared" si="54"/>
        <v>14619.45153</v>
      </c>
      <c r="N69" s="30">
        <f t="shared" si="54"/>
        <v>17470.639750000002</v>
      </c>
      <c r="O69" s="30">
        <f t="shared" si="54"/>
        <v>16444.07518</v>
      </c>
      <c r="P69" s="30">
        <f t="shared" si="54"/>
        <v>21513.351999999999</v>
      </c>
      <c r="Q69" s="30">
        <f t="shared" si="54"/>
        <v>17791.79581</v>
      </c>
      <c r="R69" s="30">
        <f t="shared" si="54"/>
        <v>20364.853999999999</v>
      </c>
      <c r="S69" s="30">
        <f t="shared" si="54"/>
        <v>22928.607259999993</v>
      </c>
      <c r="T69" s="30">
        <f t="shared" si="54"/>
        <v>19171.417000000001</v>
      </c>
      <c r="U69" s="30">
        <f t="shared" si="54"/>
        <v>22290.638859999995</v>
      </c>
      <c r="V69" s="30">
        <f t="shared" si="54"/>
        <v>12021.561</v>
      </c>
      <c r="W69" s="30">
        <f t="shared" si="54"/>
        <v>9175.8964500000002</v>
      </c>
      <c r="X69" s="30">
        <f t="shared" si="54"/>
        <v>13884.081</v>
      </c>
      <c r="Y69" s="30">
        <f t="shared" si="54"/>
        <v>10496.583000000001</v>
      </c>
      <c r="Z69" s="30">
        <f t="shared" si="54"/>
        <v>16161.406500000001</v>
      </c>
      <c r="AA69" s="30">
        <f t="shared" si="54"/>
        <v>14254.721720000001</v>
      </c>
      <c r="AB69" s="30">
        <f t="shared" si="54"/>
        <v>14983.423000000003</v>
      </c>
      <c r="AC69" s="30">
        <f t="shared" si="54"/>
        <v>12949.600320000001</v>
      </c>
      <c r="AD69" s="30">
        <f t="shared" si="54"/>
        <v>15486.535</v>
      </c>
      <c r="AE69" s="30">
        <f t="shared" si="54"/>
        <v>0</v>
      </c>
      <c r="AF69" s="52"/>
      <c r="AG69" s="35">
        <f t="shared" si="5"/>
        <v>3528.6680600000254</v>
      </c>
      <c r="AI69" s="35">
        <f t="shared" si="49"/>
        <v>199084.40300000002</v>
      </c>
      <c r="AJ69" s="35">
        <f t="shared" si="50"/>
        <v>168614.44500000001</v>
      </c>
      <c r="AK69" s="35">
        <f t="shared" si="51"/>
        <v>127384.87189999998</v>
      </c>
    </row>
    <row r="70" spans="1:44" s="6" customFormat="1" ht="48.75" customHeight="1" x14ac:dyDescent="0.25">
      <c r="A70" s="56" t="s">
        <v>53</v>
      </c>
      <c r="B70" s="57">
        <f>B31</f>
        <v>39.201999999999998</v>
      </c>
      <c r="C70" s="57">
        <f t="shared" si="47"/>
        <v>39.201999999999998</v>
      </c>
      <c r="D70" s="57">
        <f t="shared" ref="D70" si="55">C70</f>
        <v>39.201999999999998</v>
      </c>
      <c r="E70" s="57">
        <f>I70+K70+M70+O70+Q70+S70+U70+W70+Y70+AA70+AC70+AE70</f>
        <v>39.201999999999998</v>
      </c>
      <c r="F70" s="57">
        <f t="shared" ref="F70:AE70" si="56">F31</f>
        <v>100</v>
      </c>
      <c r="G70" s="57">
        <f t="shared" si="56"/>
        <v>100</v>
      </c>
      <c r="H70" s="57">
        <f t="shared" si="56"/>
        <v>0</v>
      </c>
      <c r="I70" s="57">
        <f t="shared" si="56"/>
        <v>0</v>
      </c>
      <c r="J70" s="57">
        <f t="shared" si="56"/>
        <v>0</v>
      </c>
      <c r="K70" s="57">
        <f t="shared" si="56"/>
        <v>0</v>
      </c>
      <c r="L70" s="57">
        <f t="shared" si="56"/>
        <v>1.8049999999999999</v>
      </c>
      <c r="M70" s="57">
        <f t="shared" si="56"/>
        <v>1.8049999999999999</v>
      </c>
      <c r="N70" s="57">
        <f t="shared" si="56"/>
        <v>2.2999999999999998</v>
      </c>
      <c r="O70" s="57">
        <f t="shared" si="56"/>
        <v>2.2999999999999998</v>
      </c>
      <c r="P70" s="57">
        <f t="shared" si="56"/>
        <v>0</v>
      </c>
      <c r="Q70" s="57">
        <f t="shared" si="56"/>
        <v>0</v>
      </c>
      <c r="R70" s="57">
        <f t="shared" si="56"/>
        <v>20.266999999999999</v>
      </c>
      <c r="S70" s="57">
        <f t="shared" si="56"/>
        <v>0</v>
      </c>
      <c r="T70" s="57">
        <f>T31</f>
        <v>5.7</v>
      </c>
      <c r="U70" s="57">
        <f t="shared" si="56"/>
        <v>25.966999999999999</v>
      </c>
      <c r="V70" s="57">
        <f t="shared" si="56"/>
        <v>0</v>
      </c>
      <c r="W70" s="57">
        <f t="shared" si="56"/>
        <v>0</v>
      </c>
      <c r="X70" s="57">
        <f t="shared" si="56"/>
        <v>0</v>
      </c>
      <c r="Y70" s="57">
        <f t="shared" si="56"/>
        <v>0</v>
      </c>
      <c r="Z70" s="57">
        <f t="shared" si="56"/>
        <v>9.1300000000000008</v>
      </c>
      <c r="AA70" s="57">
        <f t="shared" si="56"/>
        <v>9.1300000000000008</v>
      </c>
      <c r="AB70" s="57">
        <f t="shared" si="56"/>
        <v>0</v>
      </c>
      <c r="AC70" s="57">
        <f t="shared" si="56"/>
        <v>0</v>
      </c>
      <c r="AD70" s="57">
        <f t="shared" si="56"/>
        <v>0</v>
      </c>
      <c r="AE70" s="57">
        <f t="shared" si="56"/>
        <v>0</v>
      </c>
      <c r="AF70" s="52"/>
      <c r="AG70" s="35"/>
      <c r="AI70" s="35">
        <f t="shared" si="49"/>
        <v>39.201999999999998</v>
      </c>
      <c r="AJ70" s="35">
        <f t="shared" si="50"/>
        <v>39.201999999999998</v>
      </c>
      <c r="AK70" s="35">
        <f t="shared" si="51"/>
        <v>30.071999999999999</v>
      </c>
    </row>
    <row r="71" spans="1:44" s="6" customFormat="1" ht="40.5" customHeight="1" x14ac:dyDescent="0.25">
      <c r="A71" s="80" t="s">
        <v>56</v>
      </c>
      <c r="B71" s="30">
        <f>B51+B17</f>
        <v>14940.598999999998</v>
      </c>
      <c r="C71" s="30">
        <f>H71+J71+L71+N71+P71+R71+T71+V71+X71+Z71</f>
        <v>7707.3477599999987</v>
      </c>
      <c r="D71" s="30">
        <f>E71</f>
        <v>8785.7552699999997</v>
      </c>
      <c r="E71" s="30">
        <f>I71+K71+M71+O71+Q71+S71+U71+W71+Y71+AA71+AC71+AE71</f>
        <v>8785.7552699999997</v>
      </c>
      <c r="F71" s="77">
        <f>E71/B71*100</f>
        <v>58.804571824730722</v>
      </c>
      <c r="G71" s="77">
        <f>E71/C71*100</f>
        <v>113.99194046487402</v>
      </c>
      <c r="H71" s="30">
        <v>0</v>
      </c>
      <c r="I71" s="30">
        <v>0</v>
      </c>
      <c r="J71" s="30">
        <v>0</v>
      </c>
      <c r="K71" s="30">
        <v>0</v>
      </c>
      <c r="L71" s="30">
        <v>0</v>
      </c>
      <c r="M71" s="30">
        <v>0</v>
      </c>
      <c r="N71" s="30">
        <v>0</v>
      </c>
      <c r="O71" s="30">
        <v>0</v>
      </c>
      <c r="P71" s="30">
        <f t="shared" ref="P71:AE71" si="57">P51+P17</f>
        <v>577.59100000000001</v>
      </c>
      <c r="Q71" s="30">
        <f t="shared" si="57"/>
        <v>1.1100000000000001</v>
      </c>
      <c r="R71" s="30">
        <f>R51+R17</f>
        <v>2867.7737399999996</v>
      </c>
      <c r="S71" s="30">
        <f t="shared" si="57"/>
        <v>3381.6437399999995</v>
      </c>
      <c r="T71" s="30">
        <f t="shared" si="57"/>
        <v>687.71001999999999</v>
      </c>
      <c r="U71" s="30">
        <f t="shared" si="57"/>
        <v>750.31799999999998</v>
      </c>
      <c r="V71" s="30">
        <f t="shared" si="57"/>
        <v>1035.8910000000001</v>
      </c>
      <c r="W71" s="30">
        <f t="shared" si="57"/>
        <v>676.28826000000004</v>
      </c>
      <c r="X71" s="30">
        <f t="shared" si="57"/>
        <v>1344.191</v>
      </c>
      <c r="Y71" s="30">
        <f t="shared" si="57"/>
        <v>1255.6109999999999</v>
      </c>
      <c r="Z71" s="30">
        <f t="shared" si="57"/>
        <v>1194.191</v>
      </c>
      <c r="AA71" s="30">
        <f t="shared" si="57"/>
        <v>1106.3946900000001</v>
      </c>
      <c r="AB71" s="30">
        <f t="shared" si="57"/>
        <v>1877.5659999999998</v>
      </c>
      <c r="AC71" s="30">
        <f t="shared" si="57"/>
        <v>1614.38958</v>
      </c>
      <c r="AD71" s="30">
        <f t="shared" si="57"/>
        <v>5355.6852400000007</v>
      </c>
      <c r="AE71" s="30">
        <f t="shared" si="57"/>
        <v>0</v>
      </c>
      <c r="AF71" s="52"/>
      <c r="AG71" s="35"/>
      <c r="AI71" s="35">
        <f t="shared" si="49"/>
        <v>14940.599</v>
      </c>
      <c r="AJ71" s="35">
        <f t="shared" si="50"/>
        <v>7707.3477599999987</v>
      </c>
      <c r="AK71" s="35">
        <f t="shared" si="51"/>
        <v>4809.3599999999997</v>
      </c>
    </row>
    <row r="72" spans="1:44" s="6" customFormat="1" ht="25.5" customHeight="1" x14ac:dyDescent="0.25">
      <c r="A72" s="80" t="s">
        <v>47</v>
      </c>
      <c r="B72" s="30">
        <f>H72+J72+L72+N72+P72+R72+T72+V72+X72+Z72+AB72+AD72</f>
        <v>27453.997859999999</v>
      </c>
      <c r="C72" s="30">
        <f>H72+J72+L72+N72+P72+R72+T72+V72+X72+Z72</f>
        <v>19495.877860000001</v>
      </c>
      <c r="D72" s="30">
        <f>E72</f>
        <v>18579.8</v>
      </c>
      <c r="E72" s="30">
        <f>I72+K72+M72+O72+Q72+S72+U72+W72+Y72+AA72+AC72+AE72</f>
        <v>18579.8</v>
      </c>
      <c r="F72" s="77">
        <f>E72/B72*100</f>
        <v>67.676118045708904</v>
      </c>
      <c r="G72" s="77">
        <f>E72/C72*100</f>
        <v>95.301171526728055</v>
      </c>
      <c r="H72" s="30">
        <f>H41</f>
        <v>7642.9069600000003</v>
      </c>
      <c r="I72" s="30">
        <f t="shared" ref="I72:AE72" si="58">I41</f>
        <v>7642.91</v>
      </c>
      <c r="J72" s="30">
        <f t="shared" si="58"/>
        <v>1043.7717399999999</v>
      </c>
      <c r="K72" s="30">
        <f t="shared" si="58"/>
        <v>0</v>
      </c>
      <c r="L72" s="30">
        <f t="shared" si="58"/>
        <v>2536</v>
      </c>
      <c r="M72" s="30">
        <f t="shared" si="58"/>
        <v>0</v>
      </c>
      <c r="N72" s="30">
        <f t="shared" si="58"/>
        <v>477.13915999999995</v>
      </c>
      <c r="O72" s="30">
        <f t="shared" si="58"/>
        <v>0</v>
      </c>
      <c r="P72" s="30">
        <f t="shared" si="58"/>
        <v>0</v>
      </c>
      <c r="Q72" s="30">
        <f t="shared" si="58"/>
        <v>2536</v>
      </c>
      <c r="R72" s="30">
        <f t="shared" si="58"/>
        <v>0</v>
      </c>
      <c r="S72" s="30">
        <f t="shared" si="58"/>
        <v>839.28</v>
      </c>
      <c r="T72" s="30">
        <f t="shared" si="58"/>
        <v>0</v>
      </c>
      <c r="U72" s="30">
        <f t="shared" si="58"/>
        <v>0</v>
      </c>
      <c r="V72" s="30">
        <f t="shared" si="58"/>
        <v>0</v>
      </c>
      <c r="W72" s="30">
        <f t="shared" si="58"/>
        <v>0</v>
      </c>
      <c r="X72" s="30">
        <f t="shared" si="58"/>
        <v>7796.06</v>
      </c>
      <c r="Y72" s="30">
        <f t="shared" si="58"/>
        <v>2172.73</v>
      </c>
      <c r="Z72" s="30">
        <f t="shared" si="58"/>
        <v>0</v>
      </c>
      <c r="AA72" s="30">
        <f t="shared" si="58"/>
        <v>5388.88</v>
      </c>
      <c r="AB72" s="30">
        <f t="shared" si="58"/>
        <v>0</v>
      </c>
      <c r="AC72" s="30">
        <f t="shared" si="58"/>
        <v>0</v>
      </c>
      <c r="AD72" s="30">
        <f t="shared" si="58"/>
        <v>7958.12</v>
      </c>
      <c r="AE72" s="30">
        <f t="shared" si="58"/>
        <v>0</v>
      </c>
      <c r="AF72" s="52"/>
      <c r="AG72" s="35"/>
      <c r="AI72" s="35">
        <f t="shared" si="49"/>
        <v>27453.997859999999</v>
      </c>
      <c r="AJ72" s="35">
        <f t="shared" si="50"/>
        <v>19495.877860000001</v>
      </c>
      <c r="AK72" s="35">
        <f t="shared" si="51"/>
        <v>11018.19</v>
      </c>
    </row>
    <row r="73" spans="1:44" s="41" customFormat="1" ht="26.25" customHeight="1" x14ac:dyDescent="0.2">
      <c r="A73" s="58"/>
      <c r="B73" s="59"/>
      <c r="C73" s="59"/>
      <c r="D73" s="59"/>
      <c r="E73" s="59"/>
      <c r="F73" s="59"/>
      <c r="G73" s="60"/>
      <c r="H73" s="58"/>
      <c r="I73" s="58"/>
      <c r="J73" s="58"/>
      <c r="K73" s="58"/>
      <c r="L73" s="61"/>
      <c r="M73" s="61"/>
      <c r="N73" s="62"/>
      <c r="O73" s="61"/>
      <c r="P73" s="61"/>
      <c r="Z73" s="42"/>
      <c r="AB73" s="42"/>
      <c r="AD73" s="42"/>
      <c r="AI73" s="45">
        <f>H73+J73+L73+N73+P73+R73+T73+V73+X73+Z73+AB73+AD73</f>
        <v>0</v>
      </c>
      <c r="AJ73" s="84">
        <f t="shared" ref="AJ73" si="59">H73+J73+L73+N73+P73+R73+T73+V73</f>
        <v>0</v>
      </c>
      <c r="AK73" s="84">
        <f t="shared" ref="AK73" si="60">I73+K73+M73+O73+Q73+S73+U73+W73</f>
        <v>0</v>
      </c>
      <c r="AR73" s="43"/>
    </row>
    <row r="74" spans="1:44" ht="36.75" customHeight="1" x14ac:dyDescent="0.2">
      <c r="A74" s="107" t="s">
        <v>66</v>
      </c>
      <c r="B74" s="107"/>
      <c r="C74" s="107"/>
      <c r="D74" s="107"/>
      <c r="E74" s="107"/>
      <c r="F74" s="107"/>
      <c r="G74" s="107"/>
      <c r="H74" s="107"/>
      <c r="I74" s="107"/>
      <c r="J74" s="107"/>
      <c r="K74" s="107"/>
      <c r="L74" s="107"/>
      <c r="M74" s="107"/>
      <c r="N74" s="107"/>
      <c r="O74" s="107"/>
      <c r="P74" s="107"/>
      <c r="Q74" s="11"/>
      <c r="R74" s="10"/>
      <c r="S74" s="10"/>
      <c r="T74" s="2"/>
      <c r="U74" s="2"/>
      <c r="V74" s="2"/>
      <c r="W74" s="2"/>
      <c r="X74" s="2"/>
      <c r="Y74" s="2"/>
      <c r="Z74" s="38"/>
      <c r="AA74" s="2"/>
      <c r="AB74" s="37"/>
      <c r="AC74" s="2"/>
      <c r="AD74" s="37"/>
      <c r="AE74" s="2"/>
      <c r="AF74" s="49"/>
      <c r="AG74" s="10"/>
      <c r="AH74" s="10"/>
      <c r="AI74" s="10"/>
      <c r="AJ74" s="10"/>
      <c r="AK74" s="10"/>
      <c r="AL74" s="10"/>
      <c r="AM74" s="10"/>
      <c r="AN74" s="10"/>
      <c r="AO74" s="10"/>
      <c r="AP74" s="10"/>
      <c r="AQ74" s="10"/>
      <c r="AR74" s="12"/>
    </row>
    <row r="75" spans="1:44" ht="26.25" customHeight="1" x14ac:dyDescent="0.2">
      <c r="A75" s="107" t="s">
        <v>55</v>
      </c>
      <c r="B75" s="107"/>
      <c r="C75" s="107"/>
      <c r="D75" s="107"/>
      <c r="E75" s="107"/>
      <c r="F75" s="107"/>
      <c r="G75" s="107"/>
      <c r="H75" s="107"/>
      <c r="I75" s="107"/>
      <c r="J75" s="107"/>
      <c r="K75" s="107"/>
      <c r="L75" s="87"/>
      <c r="M75" s="87"/>
      <c r="N75" s="39"/>
      <c r="O75" s="87"/>
      <c r="P75" s="87"/>
      <c r="Q75" s="11"/>
      <c r="R75" s="10"/>
      <c r="S75" s="10"/>
      <c r="T75" s="2"/>
      <c r="U75" s="2"/>
      <c r="V75" s="2"/>
      <c r="W75" s="2"/>
      <c r="X75" s="2"/>
      <c r="Y75" s="2"/>
      <c r="Z75" s="37"/>
      <c r="AA75" s="2"/>
      <c r="AB75" s="37"/>
      <c r="AC75" s="2"/>
      <c r="AD75" s="37"/>
      <c r="AE75" s="2"/>
      <c r="AF75" s="49"/>
      <c r="AG75" s="10"/>
      <c r="AH75" s="10"/>
      <c r="AI75" s="10"/>
      <c r="AJ75" s="10"/>
      <c r="AK75" s="10"/>
      <c r="AL75" s="10"/>
      <c r="AM75" s="10"/>
      <c r="AN75" s="10"/>
      <c r="AO75" s="10"/>
      <c r="AP75" s="10"/>
      <c r="AQ75" s="10"/>
      <c r="AR75" s="12"/>
    </row>
    <row r="76" spans="1:44" ht="24.75" customHeight="1" x14ac:dyDescent="0.2">
      <c r="A76" s="111" t="s">
        <v>54</v>
      </c>
      <c r="B76" s="112"/>
      <c r="C76" s="112"/>
      <c r="D76" s="78"/>
      <c r="E76" s="78"/>
      <c r="F76" s="88"/>
      <c r="G76" s="78"/>
      <c r="H76" s="87"/>
      <c r="I76" s="87"/>
      <c r="J76" s="87"/>
      <c r="K76" s="87"/>
      <c r="L76" s="87"/>
      <c r="M76" s="87"/>
      <c r="N76" s="39"/>
      <c r="O76" s="87"/>
      <c r="P76" s="87"/>
      <c r="Q76" s="11"/>
      <c r="R76" s="10"/>
      <c r="S76" s="10"/>
      <c r="T76" s="2"/>
      <c r="U76" s="2"/>
      <c r="V76" s="2"/>
      <c r="W76" s="2"/>
      <c r="X76" s="2"/>
      <c r="Y76" s="2"/>
      <c r="Z76" s="37"/>
      <c r="AA76" s="2"/>
      <c r="AB76" s="37"/>
      <c r="AC76" s="2"/>
      <c r="AD76" s="37"/>
      <c r="AE76" s="2"/>
      <c r="AF76" s="49"/>
      <c r="AG76" s="10"/>
      <c r="AH76" s="10"/>
      <c r="AI76" s="10"/>
      <c r="AJ76" s="10"/>
      <c r="AK76" s="10"/>
      <c r="AL76" s="10"/>
      <c r="AM76" s="10"/>
      <c r="AN76" s="10"/>
      <c r="AO76" s="10"/>
      <c r="AP76" s="10"/>
      <c r="AQ76" s="10"/>
      <c r="AR76" s="12"/>
    </row>
    <row r="77" spans="1:44" ht="47.25" customHeight="1" x14ac:dyDescent="0.2">
      <c r="B77" s="107"/>
      <c r="C77" s="107"/>
      <c r="D77" s="107"/>
      <c r="E77" s="107"/>
      <c r="F77" s="107"/>
      <c r="G77" s="12"/>
      <c r="H77" s="10"/>
      <c r="I77" s="10"/>
      <c r="J77" s="10"/>
      <c r="K77" s="10"/>
      <c r="L77" s="10"/>
      <c r="M77" s="10"/>
      <c r="N77" s="39"/>
      <c r="O77" s="10"/>
      <c r="P77" s="10"/>
      <c r="Q77" s="11"/>
      <c r="R77" s="10"/>
      <c r="S77" s="10"/>
      <c r="T77" s="2"/>
      <c r="U77" s="2"/>
      <c r="V77" s="2"/>
      <c r="W77" s="2"/>
      <c r="X77" s="2"/>
      <c r="Y77" s="2"/>
      <c r="Z77" s="37"/>
      <c r="AA77" s="2"/>
      <c r="AB77" s="37"/>
      <c r="AC77" s="2"/>
      <c r="AD77" s="37"/>
      <c r="AE77" s="2"/>
      <c r="AF77" s="10"/>
      <c r="AG77" s="10"/>
      <c r="AH77" s="10"/>
      <c r="AI77" s="10"/>
      <c r="AJ77" s="10"/>
      <c r="AK77" s="10"/>
      <c r="AL77" s="10"/>
      <c r="AM77" s="10"/>
      <c r="AN77" s="10"/>
      <c r="AO77" s="10"/>
      <c r="AP77" s="10"/>
      <c r="AQ77" s="10"/>
      <c r="AR77" s="12"/>
    </row>
    <row r="78" spans="1:44" ht="47.25" customHeight="1" x14ac:dyDescent="0.2">
      <c r="B78" s="107"/>
      <c r="C78" s="107"/>
      <c r="D78" s="107"/>
      <c r="E78" s="107"/>
      <c r="F78" s="107"/>
      <c r="G78" s="107"/>
      <c r="H78" s="2"/>
      <c r="J78" s="2"/>
      <c r="L78" s="2"/>
      <c r="P78" s="2"/>
      <c r="R78" s="2"/>
      <c r="T78" s="10"/>
      <c r="X78" s="10"/>
    </row>
    <row r="79" spans="1:44" x14ac:dyDescent="0.2">
      <c r="H79" s="2"/>
      <c r="J79" s="2"/>
      <c r="L79" s="2"/>
      <c r="P79" s="2"/>
      <c r="R79" s="2"/>
      <c r="T79" s="10"/>
      <c r="X79" s="10"/>
    </row>
    <row r="80" spans="1:44" s="10" customFormat="1" x14ac:dyDescent="0.2">
      <c r="A80" s="12"/>
      <c r="B80" s="12"/>
      <c r="H80" s="2"/>
      <c r="I80" s="2"/>
      <c r="J80" s="2"/>
      <c r="K80" s="2"/>
      <c r="L80" s="2"/>
      <c r="M80" s="2"/>
      <c r="N80" s="37"/>
      <c r="O80" s="2"/>
      <c r="P80" s="2"/>
      <c r="Q80" s="2"/>
      <c r="R80" s="2"/>
      <c r="S80" s="2"/>
      <c r="V80" s="25"/>
      <c r="W80" s="25"/>
      <c r="Z80" s="39"/>
      <c r="AB80" s="39"/>
      <c r="AD80" s="39"/>
      <c r="AF80" s="12"/>
      <c r="AG80" s="2"/>
      <c r="AH80" s="2"/>
      <c r="AI80" s="2"/>
      <c r="AJ80" s="2"/>
      <c r="AK80" s="2"/>
      <c r="AL80" s="2"/>
      <c r="AM80" s="2"/>
      <c r="AN80" s="2"/>
      <c r="AO80" s="2"/>
      <c r="AP80" s="2"/>
      <c r="AQ80" s="2"/>
      <c r="AR80" s="2"/>
    </row>
    <row r="81" spans="1:44" s="10" customFormat="1" x14ac:dyDescent="0.2">
      <c r="A81" s="12"/>
      <c r="B81" s="12"/>
      <c r="H81" s="2"/>
      <c r="I81" s="2"/>
      <c r="J81" s="2"/>
      <c r="K81" s="2"/>
      <c r="L81" s="2"/>
      <c r="M81" s="2"/>
      <c r="N81" s="37"/>
      <c r="O81" s="2"/>
      <c r="P81" s="2"/>
      <c r="Q81" s="2"/>
      <c r="R81" s="2"/>
      <c r="S81" s="2"/>
      <c r="V81" s="25"/>
      <c r="W81" s="25"/>
      <c r="Z81" s="39"/>
      <c r="AB81" s="39"/>
      <c r="AD81" s="39"/>
      <c r="AF81" s="12"/>
      <c r="AG81" s="2"/>
      <c r="AH81" s="2"/>
      <c r="AI81" s="2"/>
      <c r="AJ81" s="2"/>
      <c r="AK81" s="2"/>
      <c r="AL81" s="2"/>
      <c r="AM81" s="2"/>
      <c r="AN81" s="2"/>
      <c r="AO81" s="2"/>
      <c r="AP81" s="2"/>
      <c r="AQ81" s="2"/>
      <c r="AR81" s="2"/>
    </row>
    <row r="82" spans="1:44" s="10" customFormat="1" x14ac:dyDescent="0.2">
      <c r="A82" s="12"/>
      <c r="B82" s="12"/>
      <c r="H82" s="2"/>
      <c r="I82" s="2"/>
      <c r="J82" s="2"/>
      <c r="K82" s="2"/>
      <c r="L82" s="2"/>
      <c r="M82" s="2"/>
      <c r="N82" s="37"/>
      <c r="O82" s="2"/>
      <c r="P82" s="2"/>
      <c r="Q82" s="2"/>
      <c r="R82" s="2"/>
      <c r="S82" s="2"/>
      <c r="V82" s="25"/>
      <c r="W82" s="25"/>
      <c r="Z82" s="39"/>
      <c r="AB82" s="39"/>
      <c r="AD82" s="39"/>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37"/>
      <c r="O83" s="2"/>
      <c r="P83" s="2"/>
      <c r="Q83" s="2"/>
      <c r="R83" s="2"/>
      <c r="S83" s="2"/>
      <c r="V83" s="25"/>
      <c r="W83" s="25"/>
      <c r="Z83" s="39"/>
      <c r="AB83" s="39"/>
      <c r="AD83" s="39"/>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37"/>
      <c r="O84" s="2"/>
      <c r="P84" s="2"/>
      <c r="Q84" s="2"/>
      <c r="R84" s="2"/>
      <c r="S84" s="2"/>
      <c r="V84" s="25"/>
      <c r="W84" s="25"/>
      <c r="Z84" s="39"/>
      <c r="AB84" s="39"/>
      <c r="AD84" s="39"/>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37"/>
      <c r="O85" s="2"/>
      <c r="P85" s="2"/>
      <c r="Q85" s="2"/>
      <c r="R85" s="2"/>
      <c r="S85" s="2"/>
      <c r="V85" s="25"/>
      <c r="W85" s="25"/>
      <c r="Z85" s="39"/>
      <c r="AB85" s="39"/>
      <c r="AD85" s="39"/>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37"/>
      <c r="O86" s="2"/>
      <c r="P86" s="2"/>
      <c r="Q86" s="28" t="s">
        <v>29</v>
      </c>
      <c r="R86" s="2"/>
      <c r="S86" s="2"/>
      <c r="V86" s="25"/>
      <c r="W86" s="25"/>
      <c r="Z86" s="39"/>
      <c r="AB86" s="39"/>
      <c r="AD86" s="39"/>
      <c r="AF86" s="12"/>
      <c r="AG86" s="2"/>
      <c r="AH86" s="2"/>
      <c r="AI86" s="2"/>
      <c r="AJ86" s="2"/>
      <c r="AK86" s="2"/>
      <c r="AL86" s="2"/>
      <c r="AM86" s="2"/>
      <c r="AN86" s="2"/>
      <c r="AO86" s="2"/>
      <c r="AP86" s="2"/>
      <c r="AQ86" s="2"/>
      <c r="AR86" s="2"/>
    </row>
    <row r="87" spans="1:44" s="10" customFormat="1" x14ac:dyDescent="0.2">
      <c r="A87" s="12"/>
      <c r="B87" s="12"/>
      <c r="G87" s="33" t="s">
        <v>29</v>
      </c>
      <c r="H87" s="2"/>
      <c r="I87" s="2"/>
      <c r="J87" s="2"/>
      <c r="K87" s="2"/>
      <c r="L87" s="2"/>
      <c r="M87" s="2"/>
      <c r="N87" s="37"/>
      <c r="O87" s="2"/>
      <c r="P87" s="2"/>
      <c r="Q87" s="2"/>
      <c r="R87" s="2"/>
      <c r="S87" s="2"/>
      <c r="V87" s="25"/>
      <c r="W87" s="25"/>
      <c r="Z87" s="39"/>
      <c r="AB87" s="39"/>
      <c r="AD87" s="39"/>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37"/>
      <c r="O88" s="2"/>
      <c r="P88" s="2"/>
      <c r="Q88" s="2"/>
      <c r="R88" s="2"/>
      <c r="S88" s="28" t="s">
        <v>29</v>
      </c>
      <c r="T88" s="34" t="s">
        <v>29</v>
      </c>
      <c r="V88" s="25"/>
      <c r="W88" s="25"/>
      <c r="Z88" s="39"/>
      <c r="AB88" s="39"/>
      <c r="AD88" s="39"/>
      <c r="AF88" s="12"/>
      <c r="AG88" s="2"/>
      <c r="AH88" s="2"/>
      <c r="AI88" s="2"/>
      <c r="AJ88" s="2"/>
      <c r="AK88" s="2"/>
      <c r="AL88" s="2"/>
      <c r="AM88" s="2"/>
      <c r="AN88" s="2"/>
      <c r="AO88" s="2"/>
      <c r="AP88" s="2"/>
      <c r="AQ88" s="2"/>
      <c r="AR88" s="2"/>
    </row>
    <row r="89" spans="1:44" s="10" customFormat="1" x14ac:dyDescent="0.2">
      <c r="A89" s="12"/>
      <c r="B89" s="12"/>
      <c r="H89" s="2"/>
      <c r="I89" s="2"/>
      <c r="J89" s="2"/>
      <c r="K89" s="2"/>
      <c r="L89" s="2"/>
      <c r="M89" s="2"/>
      <c r="N89" s="37"/>
      <c r="O89" s="2"/>
      <c r="P89" s="2"/>
      <c r="Q89" s="2"/>
      <c r="R89" s="2"/>
      <c r="S89" s="2"/>
      <c r="V89" s="25"/>
      <c r="W89" s="25"/>
      <c r="Z89" s="39"/>
      <c r="AB89" s="39"/>
      <c r="AD89" s="39"/>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37"/>
      <c r="O90" s="2"/>
      <c r="P90" s="2"/>
      <c r="Q90" s="2"/>
      <c r="R90" s="2"/>
      <c r="S90" s="2"/>
      <c r="V90" s="25"/>
      <c r="W90" s="25"/>
      <c r="Z90" s="39"/>
      <c r="AB90" s="39"/>
      <c r="AD90" s="39"/>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37"/>
      <c r="O91" s="2"/>
      <c r="P91" s="2"/>
      <c r="Q91" s="2"/>
      <c r="R91" s="2"/>
      <c r="S91" s="2"/>
      <c r="V91" s="25"/>
      <c r="W91" s="25"/>
      <c r="Z91" s="39"/>
      <c r="AB91" s="39"/>
      <c r="AD91" s="39"/>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37"/>
      <c r="O92" s="2"/>
      <c r="P92" s="2"/>
      <c r="Q92" s="2"/>
      <c r="R92" s="2"/>
      <c r="S92" s="2"/>
      <c r="V92" s="25"/>
      <c r="W92" s="25"/>
      <c r="Z92" s="39"/>
      <c r="AB92" s="39"/>
      <c r="AD92" s="39"/>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37"/>
      <c r="O93" s="2"/>
      <c r="P93" s="2"/>
      <c r="Q93" s="2"/>
      <c r="R93" s="2"/>
      <c r="S93" s="2"/>
      <c r="V93" s="25"/>
      <c r="W93" s="25"/>
      <c r="Z93" s="39"/>
      <c r="AB93" s="39"/>
      <c r="AD93" s="39"/>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37"/>
      <c r="O94" s="2"/>
      <c r="P94" s="2"/>
      <c r="Q94" s="2"/>
      <c r="R94" s="2"/>
      <c r="S94" s="2"/>
      <c r="V94" s="25"/>
      <c r="W94" s="25"/>
      <c r="Z94" s="39"/>
      <c r="AB94" s="39"/>
      <c r="AD94" s="39"/>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37"/>
      <c r="O95" s="2"/>
      <c r="P95" s="2"/>
      <c r="Q95" s="2"/>
      <c r="R95" s="2"/>
      <c r="S95" s="2"/>
      <c r="V95" s="25"/>
      <c r="W95" s="25"/>
      <c r="Z95" s="39"/>
      <c r="AB95" s="39"/>
      <c r="AD95" s="39"/>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37"/>
      <c r="O96" s="2"/>
      <c r="P96" s="2"/>
      <c r="Q96" s="2"/>
      <c r="R96" s="2"/>
      <c r="S96" s="2"/>
      <c r="V96" s="25"/>
      <c r="W96" s="25"/>
      <c r="Z96" s="39"/>
      <c r="AB96" s="39"/>
      <c r="AD96" s="39"/>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37"/>
      <c r="O97" s="2"/>
      <c r="P97" s="2"/>
      <c r="Q97" s="2"/>
      <c r="R97" s="2"/>
      <c r="S97" s="2"/>
      <c r="V97" s="25"/>
      <c r="W97" s="25"/>
      <c r="Z97" s="39"/>
      <c r="AB97" s="39"/>
      <c r="AD97" s="39"/>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37"/>
      <c r="O98" s="2"/>
      <c r="P98" s="2"/>
      <c r="Q98" s="2"/>
      <c r="R98" s="2"/>
      <c r="S98" s="2"/>
      <c r="V98" s="25"/>
      <c r="W98" s="25"/>
      <c r="Z98" s="39"/>
      <c r="AB98" s="39"/>
      <c r="AD98" s="39"/>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37"/>
      <c r="O99" s="2"/>
      <c r="P99" s="2"/>
      <c r="Q99" s="2"/>
      <c r="R99" s="2"/>
      <c r="S99" s="2"/>
      <c r="V99" s="25"/>
      <c r="W99" s="25"/>
      <c r="Z99" s="39"/>
      <c r="AB99" s="39"/>
      <c r="AD99" s="39"/>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37"/>
      <c r="O100" s="2"/>
      <c r="P100" s="2"/>
      <c r="Q100" s="2"/>
      <c r="R100" s="2"/>
      <c r="S100" s="2"/>
      <c r="V100" s="25"/>
      <c r="W100" s="25"/>
      <c r="Z100" s="39"/>
      <c r="AB100" s="39"/>
      <c r="AD100" s="39"/>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37"/>
      <c r="O101" s="2"/>
      <c r="P101" s="2"/>
      <c r="Q101" s="2"/>
      <c r="R101" s="2"/>
      <c r="S101" s="2"/>
      <c r="V101" s="25"/>
      <c r="W101" s="25"/>
      <c r="Z101" s="39"/>
      <c r="AB101" s="39"/>
      <c r="AD101" s="39"/>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37"/>
      <c r="O102" s="2"/>
      <c r="P102" s="2"/>
      <c r="Q102" s="2"/>
      <c r="R102" s="2"/>
      <c r="S102" s="2"/>
      <c r="V102" s="25"/>
      <c r="W102" s="25"/>
      <c r="Z102" s="39"/>
      <c r="AB102" s="39"/>
      <c r="AD102" s="39"/>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37"/>
      <c r="O103" s="2"/>
      <c r="P103" s="2"/>
      <c r="Q103" s="2"/>
      <c r="R103" s="2"/>
      <c r="S103" s="2"/>
      <c r="V103" s="25"/>
      <c r="W103" s="25"/>
      <c r="Z103" s="39"/>
      <c r="AB103" s="39"/>
      <c r="AD103" s="39"/>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37"/>
      <c r="O104" s="2"/>
      <c r="P104" s="2"/>
      <c r="Q104" s="2"/>
      <c r="R104" s="2"/>
      <c r="S104" s="2"/>
      <c r="V104" s="25"/>
      <c r="W104" s="25"/>
      <c r="Z104" s="39"/>
      <c r="AB104" s="39"/>
      <c r="AD104" s="39"/>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37"/>
      <c r="O105" s="2"/>
      <c r="P105" s="2"/>
      <c r="Q105" s="2"/>
      <c r="R105" s="2"/>
      <c r="S105" s="2"/>
      <c r="V105" s="25"/>
      <c r="W105" s="25"/>
      <c r="Z105" s="39"/>
      <c r="AB105" s="39"/>
      <c r="AD105" s="39"/>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37"/>
      <c r="O106" s="2"/>
      <c r="P106" s="2"/>
      <c r="Q106" s="2"/>
      <c r="R106" s="2"/>
      <c r="S106" s="2"/>
      <c r="V106" s="25"/>
      <c r="W106" s="25"/>
      <c r="Z106" s="39"/>
      <c r="AB106" s="39"/>
      <c r="AD106" s="39"/>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37"/>
      <c r="O107" s="2"/>
      <c r="P107" s="2"/>
      <c r="Q107" s="2"/>
      <c r="R107" s="2"/>
      <c r="S107" s="2"/>
      <c r="V107" s="25"/>
      <c r="W107" s="25"/>
      <c r="Z107" s="39"/>
      <c r="AB107" s="39"/>
      <c r="AD107" s="39"/>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37"/>
      <c r="O108" s="2"/>
      <c r="P108" s="2"/>
      <c r="Q108" s="2"/>
      <c r="R108" s="2"/>
      <c r="S108" s="2"/>
      <c r="V108" s="25"/>
      <c r="W108" s="25"/>
      <c r="Z108" s="39"/>
      <c r="AB108" s="39"/>
      <c r="AD108" s="39"/>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37"/>
      <c r="O109" s="2"/>
      <c r="P109" s="2"/>
      <c r="Q109" s="2"/>
      <c r="R109" s="2"/>
      <c r="S109" s="2"/>
      <c r="V109" s="25"/>
      <c r="W109" s="25"/>
      <c r="Z109" s="39"/>
      <c r="AB109" s="39"/>
      <c r="AD109" s="39"/>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37"/>
      <c r="O110" s="2"/>
      <c r="P110" s="2"/>
      <c r="Q110" s="2"/>
      <c r="R110" s="2"/>
      <c r="S110" s="2"/>
      <c r="V110" s="25"/>
      <c r="W110" s="25"/>
      <c r="Z110" s="39"/>
      <c r="AB110" s="39"/>
      <c r="AD110" s="39"/>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37"/>
      <c r="O111" s="2"/>
      <c r="P111" s="2"/>
      <c r="Q111" s="2"/>
      <c r="R111" s="2"/>
      <c r="S111" s="2"/>
      <c r="V111" s="25"/>
      <c r="W111" s="25"/>
      <c r="Z111" s="39"/>
      <c r="AB111" s="39"/>
      <c r="AD111" s="39"/>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37"/>
      <c r="O112" s="2"/>
      <c r="P112" s="2"/>
      <c r="Q112" s="2"/>
      <c r="R112" s="2"/>
      <c r="S112" s="2"/>
      <c r="V112" s="25"/>
      <c r="W112" s="25"/>
      <c r="Z112" s="39"/>
      <c r="AB112" s="39"/>
      <c r="AD112" s="39"/>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37"/>
      <c r="O113" s="2"/>
      <c r="P113" s="2"/>
      <c r="Q113" s="2"/>
      <c r="R113" s="2"/>
      <c r="S113" s="2"/>
      <c r="V113" s="25"/>
      <c r="W113" s="25"/>
      <c r="Z113" s="39"/>
      <c r="AB113" s="39"/>
      <c r="AD113" s="39"/>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37"/>
      <c r="O114" s="2"/>
      <c r="P114" s="2"/>
      <c r="Q114" s="2"/>
      <c r="R114" s="2"/>
      <c r="S114" s="2"/>
      <c r="V114" s="25"/>
      <c r="W114" s="25"/>
      <c r="Z114" s="39"/>
      <c r="AB114" s="39"/>
      <c r="AD114" s="39"/>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37"/>
      <c r="O115" s="2"/>
      <c r="P115" s="2"/>
      <c r="Q115" s="2"/>
      <c r="R115" s="2"/>
      <c r="S115" s="2"/>
      <c r="V115" s="25"/>
      <c r="W115" s="25"/>
      <c r="Z115" s="39"/>
      <c r="AB115" s="39"/>
      <c r="AD115" s="39"/>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37"/>
      <c r="O116" s="2"/>
      <c r="P116" s="2"/>
      <c r="Q116" s="2"/>
      <c r="R116" s="2"/>
      <c r="S116" s="2"/>
      <c r="V116" s="25"/>
      <c r="W116" s="25"/>
      <c r="Z116" s="39"/>
      <c r="AB116" s="39"/>
      <c r="AD116" s="39"/>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37"/>
      <c r="O117" s="2"/>
      <c r="P117" s="2"/>
      <c r="Q117" s="2"/>
      <c r="R117" s="2"/>
      <c r="S117" s="2"/>
      <c r="V117" s="25"/>
      <c r="W117" s="25"/>
      <c r="Z117" s="39"/>
      <c r="AB117" s="39"/>
      <c r="AD117" s="39"/>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37"/>
      <c r="O118" s="2"/>
      <c r="P118" s="2"/>
      <c r="Q118" s="2"/>
      <c r="R118" s="2"/>
      <c r="S118" s="2"/>
      <c r="V118" s="25"/>
      <c r="W118" s="25"/>
      <c r="Z118" s="39"/>
      <c r="AB118" s="39"/>
      <c r="AD118" s="39"/>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37"/>
      <c r="O119" s="2"/>
      <c r="P119" s="2"/>
      <c r="Q119" s="2"/>
      <c r="R119" s="2"/>
      <c r="S119" s="2"/>
      <c r="V119" s="25"/>
      <c r="W119" s="25"/>
      <c r="Z119" s="39"/>
      <c r="AB119" s="39"/>
      <c r="AD119" s="39"/>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37"/>
      <c r="O120" s="2"/>
      <c r="P120" s="2"/>
      <c r="Q120" s="2"/>
      <c r="R120" s="2"/>
      <c r="S120" s="2"/>
      <c r="V120" s="25"/>
      <c r="W120" s="25"/>
      <c r="Z120" s="39"/>
      <c r="AB120" s="39"/>
      <c r="AD120" s="39"/>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37"/>
      <c r="O121" s="2"/>
      <c r="P121" s="2"/>
      <c r="Q121" s="2"/>
      <c r="R121" s="2"/>
      <c r="S121" s="2"/>
      <c r="V121" s="25"/>
      <c r="W121" s="25"/>
      <c r="Z121" s="39"/>
      <c r="AB121" s="39"/>
      <c r="AD121" s="39"/>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37"/>
      <c r="O122" s="2"/>
      <c r="P122" s="2"/>
      <c r="Q122" s="2"/>
      <c r="R122" s="2"/>
      <c r="S122" s="2"/>
      <c r="V122" s="25"/>
      <c r="W122" s="25"/>
      <c r="Z122" s="39"/>
      <c r="AB122" s="39"/>
      <c r="AD122" s="39"/>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37"/>
      <c r="O123" s="2"/>
      <c r="P123" s="2"/>
      <c r="Q123" s="2"/>
      <c r="R123" s="2"/>
      <c r="S123" s="2"/>
      <c r="V123" s="25"/>
      <c r="W123" s="25"/>
      <c r="Z123" s="39"/>
      <c r="AB123" s="39"/>
      <c r="AD123" s="39"/>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37"/>
      <c r="O124" s="2"/>
      <c r="P124" s="2"/>
      <c r="Q124" s="2"/>
      <c r="R124" s="2"/>
      <c r="S124" s="2"/>
      <c r="V124" s="25"/>
      <c r="W124" s="25"/>
      <c r="Z124" s="39"/>
      <c r="AB124" s="39"/>
      <c r="AD124" s="39"/>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37"/>
      <c r="O125" s="2"/>
      <c r="P125" s="2"/>
      <c r="Q125" s="2"/>
      <c r="R125" s="2"/>
      <c r="S125" s="2"/>
      <c r="V125" s="25"/>
      <c r="W125" s="25"/>
      <c r="Z125" s="39"/>
      <c r="AB125" s="39"/>
      <c r="AD125" s="39"/>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37"/>
      <c r="O126" s="2"/>
      <c r="P126" s="2"/>
      <c r="Q126" s="2"/>
      <c r="R126" s="2"/>
      <c r="S126" s="2"/>
      <c r="V126" s="25"/>
      <c r="W126" s="25"/>
      <c r="Z126" s="39"/>
      <c r="AB126" s="39"/>
      <c r="AD126" s="39"/>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37"/>
      <c r="O127" s="2"/>
      <c r="P127" s="2"/>
      <c r="Q127" s="2"/>
      <c r="R127" s="2"/>
      <c r="S127" s="2"/>
      <c r="V127" s="25"/>
      <c r="W127" s="25"/>
      <c r="Z127" s="39"/>
      <c r="AB127" s="39"/>
      <c r="AD127" s="39"/>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37"/>
      <c r="O128" s="2"/>
      <c r="P128" s="2"/>
      <c r="Q128" s="2"/>
      <c r="R128" s="2"/>
      <c r="S128" s="2"/>
      <c r="V128" s="25"/>
      <c r="W128" s="25"/>
      <c r="Z128" s="39"/>
      <c r="AB128" s="39"/>
      <c r="AD128" s="39"/>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37"/>
      <c r="O129" s="2"/>
      <c r="P129" s="2"/>
      <c r="Q129" s="2"/>
      <c r="R129" s="2"/>
      <c r="S129" s="2"/>
      <c r="V129" s="25"/>
      <c r="W129" s="25"/>
      <c r="Z129" s="39"/>
      <c r="AB129" s="39"/>
      <c r="AD129" s="39"/>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37"/>
      <c r="O130" s="2"/>
      <c r="P130" s="2"/>
      <c r="Q130" s="2"/>
      <c r="R130" s="2"/>
      <c r="S130" s="2"/>
      <c r="V130" s="25"/>
      <c r="W130" s="25"/>
      <c r="Z130" s="39"/>
      <c r="AB130" s="39"/>
      <c r="AD130" s="39"/>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37"/>
      <c r="O131" s="2"/>
      <c r="P131" s="2"/>
      <c r="Q131" s="2"/>
      <c r="R131" s="2"/>
      <c r="S131" s="2"/>
      <c r="V131" s="25"/>
      <c r="W131" s="25"/>
      <c r="Z131" s="39"/>
      <c r="AB131" s="39"/>
      <c r="AD131" s="39"/>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37"/>
      <c r="O132" s="2"/>
      <c r="P132" s="2"/>
      <c r="Q132" s="2"/>
      <c r="R132" s="2"/>
      <c r="S132" s="2"/>
      <c r="V132" s="25"/>
      <c r="W132" s="25"/>
      <c r="Z132" s="39"/>
      <c r="AB132" s="39"/>
      <c r="AD132" s="39"/>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37"/>
      <c r="O133" s="2"/>
      <c r="P133" s="2"/>
      <c r="Q133" s="2"/>
      <c r="R133" s="2"/>
      <c r="S133" s="2"/>
      <c r="V133" s="25"/>
      <c r="W133" s="25"/>
      <c r="Z133" s="39"/>
      <c r="AB133" s="39"/>
      <c r="AD133" s="39"/>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37"/>
      <c r="O134" s="2"/>
      <c r="P134" s="2"/>
      <c r="Q134" s="2"/>
      <c r="R134" s="2"/>
      <c r="S134" s="2"/>
      <c r="V134" s="25"/>
      <c r="W134" s="25"/>
      <c r="Z134" s="39"/>
      <c r="AB134" s="39"/>
      <c r="AD134" s="39"/>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37"/>
      <c r="O135" s="2"/>
      <c r="P135" s="2"/>
      <c r="Q135" s="2"/>
      <c r="R135" s="2"/>
      <c r="S135" s="2"/>
      <c r="V135" s="25"/>
      <c r="W135" s="25"/>
      <c r="Z135" s="39"/>
      <c r="AB135" s="39"/>
      <c r="AD135" s="39"/>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37"/>
      <c r="O136" s="2"/>
      <c r="P136" s="2"/>
      <c r="Q136" s="2"/>
      <c r="R136" s="2"/>
      <c r="S136" s="2"/>
      <c r="V136" s="25"/>
      <c r="W136" s="25"/>
      <c r="Z136" s="39"/>
      <c r="AB136" s="39"/>
      <c r="AD136" s="39"/>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37"/>
      <c r="O137" s="2"/>
      <c r="P137" s="2"/>
      <c r="Q137" s="2"/>
      <c r="R137" s="2"/>
      <c r="S137" s="2"/>
      <c r="V137" s="25"/>
      <c r="W137" s="25"/>
      <c r="Z137" s="39"/>
      <c r="AB137" s="39"/>
      <c r="AD137" s="39"/>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37"/>
      <c r="O138" s="2"/>
      <c r="P138" s="2"/>
      <c r="Q138" s="2"/>
      <c r="R138" s="2"/>
      <c r="S138" s="2"/>
      <c r="V138" s="25"/>
      <c r="W138" s="25"/>
      <c r="Z138" s="39"/>
      <c r="AB138" s="39"/>
      <c r="AD138" s="39"/>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37"/>
      <c r="O139" s="2"/>
      <c r="P139" s="2"/>
      <c r="Q139" s="2"/>
      <c r="R139" s="2"/>
      <c r="S139" s="2"/>
      <c r="V139" s="25"/>
      <c r="W139" s="25"/>
      <c r="Z139" s="39"/>
      <c r="AB139" s="39"/>
      <c r="AD139" s="39"/>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37"/>
      <c r="O140" s="2"/>
      <c r="P140" s="2"/>
      <c r="Q140" s="2"/>
      <c r="R140" s="2"/>
      <c r="S140" s="2"/>
      <c r="V140" s="25"/>
      <c r="W140" s="25"/>
      <c r="Z140" s="39"/>
      <c r="AB140" s="39"/>
      <c r="AD140" s="39"/>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37"/>
      <c r="O141" s="2"/>
      <c r="P141" s="2"/>
      <c r="Q141" s="2"/>
      <c r="R141" s="2"/>
      <c r="S141" s="2"/>
      <c r="V141" s="25"/>
      <c r="W141" s="25"/>
      <c r="Z141" s="39"/>
      <c r="AB141" s="39"/>
      <c r="AD141" s="39"/>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37"/>
      <c r="O142" s="2"/>
      <c r="P142" s="2"/>
      <c r="Q142" s="2"/>
      <c r="R142" s="2"/>
      <c r="S142" s="2"/>
      <c r="V142" s="25"/>
      <c r="W142" s="25"/>
      <c r="Z142" s="39"/>
      <c r="AB142" s="39"/>
      <c r="AD142" s="39"/>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37"/>
      <c r="O143" s="2"/>
      <c r="P143" s="2"/>
      <c r="Q143" s="2"/>
      <c r="R143" s="2"/>
      <c r="S143" s="2"/>
      <c r="V143" s="25"/>
      <c r="W143" s="25"/>
      <c r="Z143" s="39"/>
      <c r="AB143" s="39"/>
      <c r="AD143" s="39"/>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37"/>
      <c r="O144" s="2"/>
      <c r="P144" s="2"/>
      <c r="Q144" s="2"/>
      <c r="R144" s="2"/>
      <c r="S144" s="2"/>
      <c r="V144" s="25"/>
      <c r="W144" s="25"/>
      <c r="Z144" s="39"/>
      <c r="AB144" s="39"/>
      <c r="AD144" s="39"/>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37"/>
      <c r="O145" s="2"/>
      <c r="P145" s="2"/>
      <c r="Q145" s="2"/>
      <c r="R145" s="2"/>
      <c r="S145" s="2"/>
      <c r="V145" s="25"/>
      <c r="W145" s="25"/>
      <c r="Z145" s="39"/>
      <c r="AB145" s="39"/>
      <c r="AD145" s="39"/>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37"/>
      <c r="O146" s="2"/>
      <c r="P146" s="2"/>
      <c r="Q146" s="2"/>
      <c r="R146" s="2"/>
      <c r="S146" s="2"/>
      <c r="V146" s="25"/>
      <c r="W146" s="25"/>
      <c r="Z146" s="39"/>
      <c r="AB146" s="39"/>
      <c r="AD146" s="39"/>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37"/>
      <c r="O147" s="2"/>
      <c r="P147" s="2"/>
      <c r="Q147" s="2"/>
      <c r="R147" s="2"/>
      <c r="S147" s="2"/>
      <c r="V147" s="25"/>
      <c r="W147" s="25"/>
      <c r="Z147" s="39"/>
      <c r="AB147" s="39"/>
      <c r="AD147" s="39"/>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37"/>
      <c r="O148" s="2"/>
      <c r="P148" s="2"/>
      <c r="Q148" s="2"/>
      <c r="R148" s="2"/>
      <c r="S148" s="2"/>
      <c r="V148" s="25"/>
      <c r="W148" s="25"/>
      <c r="Z148" s="39"/>
      <c r="AB148" s="39"/>
      <c r="AD148" s="39"/>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37"/>
      <c r="O149" s="2"/>
      <c r="P149" s="2"/>
      <c r="Q149" s="2"/>
      <c r="R149" s="2"/>
      <c r="S149" s="2"/>
      <c r="V149" s="25"/>
      <c r="W149" s="25"/>
      <c r="Z149" s="39"/>
      <c r="AB149" s="39"/>
      <c r="AD149" s="39"/>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37"/>
      <c r="O150" s="2"/>
      <c r="P150" s="2"/>
      <c r="Q150" s="2"/>
      <c r="R150" s="2"/>
      <c r="S150" s="2"/>
      <c r="V150" s="25"/>
      <c r="W150" s="25"/>
      <c r="Z150" s="39"/>
      <c r="AB150" s="39"/>
      <c r="AD150" s="39"/>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37"/>
      <c r="O151" s="2"/>
      <c r="P151" s="2"/>
      <c r="Q151" s="2"/>
      <c r="R151" s="2"/>
      <c r="S151" s="2"/>
      <c r="V151" s="25"/>
      <c r="W151" s="25"/>
      <c r="Z151" s="39"/>
      <c r="AB151" s="39"/>
      <c r="AD151" s="39"/>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37"/>
      <c r="O152" s="2"/>
      <c r="P152" s="2"/>
      <c r="Q152" s="2"/>
      <c r="R152" s="2"/>
      <c r="S152" s="2"/>
      <c r="V152" s="25"/>
      <c r="W152" s="25"/>
      <c r="Z152" s="39"/>
      <c r="AB152" s="39"/>
      <c r="AD152" s="39"/>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37"/>
      <c r="O153" s="2"/>
      <c r="P153" s="2"/>
      <c r="Q153" s="2"/>
      <c r="R153" s="2"/>
      <c r="S153" s="2"/>
      <c r="V153" s="25"/>
      <c r="W153" s="25"/>
      <c r="Z153" s="39"/>
      <c r="AB153" s="39"/>
      <c r="AD153" s="39"/>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37"/>
      <c r="O154" s="2"/>
      <c r="P154" s="2"/>
      <c r="Q154" s="2"/>
      <c r="R154" s="2"/>
      <c r="S154" s="2"/>
      <c r="V154" s="25"/>
      <c r="W154" s="25"/>
      <c r="Z154" s="39"/>
      <c r="AB154" s="39"/>
      <c r="AD154" s="39"/>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37"/>
      <c r="O155" s="2"/>
      <c r="P155" s="2"/>
      <c r="Q155" s="2"/>
      <c r="R155" s="2"/>
      <c r="S155" s="2"/>
      <c r="V155" s="25"/>
      <c r="W155" s="25"/>
      <c r="Z155" s="39"/>
      <c r="AB155" s="39"/>
      <c r="AD155" s="39"/>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37"/>
      <c r="O156" s="2"/>
      <c r="P156" s="2"/>
      <c r="Q156" s="2"/>
      <c r="R156" s="2"/>
      <c r="S156" s="2"/>
      <c r="V156" s="25"/>
      <c r="W156" s="25"/>
      <c r="Z156" s="39"/>
      <c r="AB156" s="39"/>
      <c r="AD156" s="39"/>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37"/>
      <c r="O157" s="2"/>
      <c r="P157" s="2"/>
      <c r="Q157" s="2"/>
      <c r="R157" s="2"/>
      <c r="S157" s="2"/>
      <c r="V157" s="25"/>
      <c r="W157" s="25"/>
      <c r="Z157" s="39"/>
      <c r="AB157" s="39"/>
      <c r="AD157" s="39"/>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37"/>
      <c r="O158" s="2"/>
      <c r="P158" s="2"/>
      <c r="Q158" s="2"/>
      <c r="R158" s="2"/>
      <c r="S158" s="2"/>
      <c r="V158" s="25"/>
      <c r="W158" s="25"/>
      <c r="Z158" s="39"/>
      <c r="AB158" s="39"/>
      <c r="AD158" s="39"/>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37"/>
      <c r="O159" s="2"/>
      <c r="P159" s="2"/>
      <c r="Q159" s="2"/>
      <c r="R159" s="2"/>
      <c r="S159" s="2"/>
      <c r="V159" s="25"/>
      <c r="W159" s="25"/>
      <c r="Z159" s="39"/>
      <c r="AB159" s="39"/>
      <c r="AD159" s="39"/>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37"/>
      <c r="O160" s="2"/>
      <c r="P160" s="2"/>
      <c r="Q160" s="2"/>
      <c r="R160" s="2"/>
      <c r="S160" s="2"/>
      <c r="V160" s="25"/>
      <c r="W160" s="25"/>
      <c r="Z160" s="39"/>
      <c r="AB160" s="39"/>
      <c r="AD160" s="39"/>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37"/>
      <c r="O161" s="2"/>
      <c r="P161" s="2"/>
      <c r="Q161" s="2"/>
      <c r="R161" s="2"/>
      <c r="S161" s="2"/>
      <c r="V161" s="25"/>
      <c r="W161" s="25"/>
      <c r="Z161" s="39"/>
      <c r="AB161" s="39"/>
      <c r="AD161" s="39"/>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37"/>
      <c r="O162" s="2"/>
      <c r="P162" s="2"/>
      <c r="Q162" s="2"/>
      <c r="R162" s="2"/>
      <c r="S162" s="2"/>
      <c r="V162" s="25"/>
      <c r="W162" s="25"/>
      <c r="Z162" s="39"/>
      <c r="AB162" s="39"/>
      <c r="AD162" s="39"/>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37"/>
      <c r="O163" s="2"/>
      <c r="P163" s="2"/>
      <c r="Q163" s="2"/>
      <c r="R163" s="2"/>
      <c r="S163" s="2"/>
      <c r="V163" s="25"/>
      <c r="W163" s="25"/>
      <c r="Z163" s="39"/>
      <c r="AB163" s="39"/>
      <c r="AD163" s="39"/>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37"/>
      <c r="O164" s="2"/>
      <c r="P164" s="2"/>
      <c r="Q164" s="2"/>
      <c r="R164" s="2"/>
      <c r="S164" s="2"/>
      <c r="V164" s="25"/>
      <c r="W164" s="25"/>
      <c r="Z164" s="39"/>
      <c r="AB164" s="39"/>
      <c r="AD164" s="39"/>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37"/>
      <c r="O165" s="2"/>
      <c r="P165" s="2"/>
      <c r="Q165" s="2"/>
      <c r="R165" s="2"/>
      <c r="S165" s="2"/>
      <c r="V165" s="25"/>
      <c r="W165" s="25"/>
      <c r="Z165" s="39"/>
      <c r="AB165" s="39"/>
      <c r="AD165" s="39"/>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37"/>
      <c r="O166" s="2"/>
      <c r="P166" s="2"/>
      <c r="Q166" s="2"/>
      <c r="R166" s="2"/>
      <c r="S166" s="2"/>
      <c r="V166" s="25"/>
      <c r="W166" s="25"/>
      <c r="Z166" s="39"/>
      <c r="AB166" s="39"/>
      <c r="AD166" s="39"/>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37"/>
      <c r="O167" s="2"/>
      <c r="P167" s="2"/>
      <c r="Q167" s="2"/>
      <c r="R167" s="2"/>
      <c r="S167" s="2"/>
      <c r="V167" s="25"/>
      <c r="W167" s="25"/>
      <c r="Z167" s="39"/>
      <c r="AB167" s="39"/>
      <c r="AD167" s="39"/>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37"/>
      <c r="O168" s="2"/>
      <c r="P168" s="2"/>
      <c r="Q168" s="2"/>
      <c r="R168" s="2"/>
      <c r="S168" s="2"/>
      <c r="V168" s="25"/>
      <c r="W168" s="25"/>
      <c r="Z168" s="39"/>
      <c r="AB168" s="39"/>
      <c r="AD168" s="39"/>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37"/>
      <c r="O169" s="2"/>
      <c r="P169" s="2"/>
      <c r="Q169" s="2"/>
      <c r="R169" s="2"/>
      <c r="S169" s="2"/>
      <c r="V169" s="25"/>
      <c r="W169" s="25"/>
      <c r="Z169" s="39"/>
      <c r="AB169" s="39"/>
      <c r="AD169" s="39"/>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37"/>
      <c r="O170" s="2"/>
      <c r="P170" s="2"/>
      <c r="Q170" s="2"/>
      <c r="R170" s="2"/>
      <c r="S170" s="2"/>
      <c r="V170" s="25"/>
      <c r="W170" s="25"/>
      <c r="Z170" s="39"/>
      <c r="AB170" s="39"/>
      <c r="AD170" s="39"/>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37"/>
      <c r="O171" s="2"/>
      <c r="P171" s="2"/>
      <c r="Q171" s="2"/>
      <c r="R171" s="2"/>
      <c r="S171" s="2"/>
      <c r="V171" s="25"/>
      <c r="W171" s="25"/>
      <c r="Z171" s="39"/>
      <c r="AB171" s="39"/>
      <c r="AD171" s="39"/>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37"/>
      <c r="O172" s="2"/>
      <c r="P172" s="2"/>
      <c r="Q172" s="2"/>
      <c r="R172" s="2"/>
      <c r="S172" s="2"/>
      <c r="V172" s="25"/>
      <c r="W172" s="25"/>
      <c r="Z172" s="39"/>
      <c r="AB172" s="39"/>
      <c r="AD172" s="39"/>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37"/>
      <c r="O173" s="2"/>
      <c r="P173" s="2"/>
      <c r="Q173" s="2"/>
      <c r="R173" s="2"/>
      <c r="S173" s="2"/>
      <c r="V173" s="25"/>
      <c r="W173" s="25"/>
      <c r="Z173" s="39"/>
      <c r="AB173" s="39"/>
      <c r="AD173" s="39"/>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37"/>
      <c r="O174" s="2"/>
      <c r="P174" s="2"/>
      <c r="Q174" s="2"/>
      <c r="R174" s="2"/>
      <c r="S174" s="2"/>
      <c r="V174" s="25"/>
      <c r="W174" s="25"/>
      <c r="Z174" s="39"/>
      <c r="AB174" s="39"/>
      <c r="AD174" s="39"/>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37"/>
      <c r="O175" s="2"/>
      <c r="P175" s="2"/>
      <c r="Q175" s="2"/>
      <c r="R175" s="2"/>
      <c r="S175" s="2"/>
      <c r="V175" s="25"/>
      <c r="W175" s="25"/>
      <c r="Z175" s="39"/>
      <c r="AB175" s="39"/>
      <c r="AD175" s="39"/>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37"/>
      <c r="O176" s="2"/>
      <c r="P176" s="2"/>
      <c r="Q176" s="2"/>
      <c r="R176" s="2"/>
      <c r="S176" s="2"/>
      <c r="V176" s="25"/>
      <c r="W176" s="25"/>
      <c r="Z176" s="39"/>
      <c r="AB176" s="39"/>
      <c r="AD176" s="39"/>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37"/>
      <c r="O177" s="2"/>
      <c r="P177" s="2"/>
      <c r="Q177" s="2"/>
      <c r="R177" s="2"/>
      <c r="S177" s="2"/>
      <c r="V177" s="25"/>
      <c r="W177" s="25"/>
      <c r="Z177" s="39"/>
      <c r="AB177" s="39"/>
      <c r="AD177" s="39"/>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37"/>
      <c r="O178" s="2"/>
      <c r="P178" s="2"/>
      <c r="Q178" s="2"/>
      <c r="R178" s="2"/>
      <c r="S178" s="2"/>
      <c r="V178" s="25"/>
      <c r="W178" s="25"/>
      <c r="Z178" s="39"/>
      <c r="AB178" s="39"/>
      <c r="AD178" s="39"/>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37"/>
      <c r="O179" s="2"/>
      <c r="P179" s="2"/>
      <c r="Q179" s="2"/>
      <c r="R179" s="2"/>
      <c r="S179" s="2"/>
      <c r="V179" s="25"/>
      <c r="W179" s="25"/>
      <c r="Z179" s="39"/>
      <c r="AB179" s="39"/>
      <c r="AD179" s="39"/>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37"/>
      <c r="O180" s="2"/>
      <c r="P180" s="2"/>
      <c r="Q180" s="2"/>
      <c r="R180" s="2"/>
      <c r="S180" s="2"/>
      <c r="V180" s="25"/>
      <c r="W180" s="25"/>
      <c r="Z180" s="39"/>
      <c r="AB180" s="39"/>
      <c r="AD180" s="39"/>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37"/>
      <c r="O181" s="2"/>
      <c r="P181" s="2"/>
      <c r="Q181" s="2"/>
      <c r="R181" s="2"/>
      <c r="S181" s="2"/>
      <c r="V181" s="25"/>
      <c r="W181" s="25"/>
      <c r="Z181" s="39"/>
      <c r="AB181" s="39"/>
      <c r="AD181" s="39"/>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37"/>
      <c r="O182" s="2"/>
      <c r="P182" s="2"/>
      <c r="Q182" s="2"/>
      <c r="R182" s="2"/>
      <c r="S182" s="2"/>
      <c r="V182" s="25"/>
      <c r="W182" s="25"/>
      <c r="Z182" s="39"/>
      <c r="AB182" s="39"/>
      <c r="AD182" s="39"/>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37"/>
      <c r="O183" s="2"/>
      <c r="P183" s="2"/>
      <c r="Q183" s="2"/>
      <c r="R183" s="2"/>
      <c r="S183" s="2"/>
      <c r="V183" s="25"/>
      <c r="W183" s="25"/>
      <c r="Z183" s="39"/>
      <c r="AB183" s="39"/>
      <c r="AD183" s="39"/>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37"/>
      <c r="O184" s="2"/>
      <c r="P184" s="2"/>
      <c r="Q184" s="2"/>
      <c r="R184" s="2"/>
      <c r="S184" s="2"/>
      <c r="V184" s="25"/>
      <c r="W184" s="25"/>
      <c r="Z184" s="39"/>
      <c r="AB184" s="39"/>
      <c r="AD184" s="39"/>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37"/>
      <c r="O185" s="2"/>
      <c r="P185" s="2"/>
      <c r="Q185" s="2"/>
      <c r="R185" s="2"/>
      <c r="S185" s="2"/>
      <c r="V185" s="25"/>
      <c r="W185" s="25"/>
      <c r="Z185" s="39"/>
      <c r="AB185" s="39"/>
      <c r="AD185" s="39"/>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37"/>
      <c r="O186" s="2"/>
      <c r="P186" s="2"/>
      <c r="Q186" s="2"/>
      <c r="R186" s="2"/>
      <c r="S186" s="2"/>
      <c r="V186" s="25"/>
      <c r="W186" s="25"/>
      <c r="Z186" s="39"/>
      <c r="AB186" s="39"/>
      <c r="AD186" s="39"/>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37"/>
      <c r="O187" s="2"/>
      <c r="P187" s="2"/>
      <c r="Q187" s="2"/>
      <c r="R187" s="2"/>
      <c r="S187" s="2"/>
      <c r="V187" s="25"/>
      <c r="W187" s="25"/>
      <c r="Z187" s="39"/>
      <c r="AB187" s="39"/>
      <c r="AD187" s="39"/>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37"/>
      <c r="O188" s="2"/>
      <c r="P188" s="2"/>
      <c r="Q188" s="2"/>
      <c r="R188" s="2"/>
      <c r="S188" s="2"/>
      <c r="V188" s="25"/>
      <c r="W188" s="25"/>
      <c r="Z188" s="39"/>
      <c r="AB188" s="39"/>
      <c r="AD188" s="39"/>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37"/>
      <c r="O189" s="2"/>
      <c r="P189" s="2"/>
      <c r="Q189" s="2"/>
      <c r="R189" s="2"/>
      <c r="S189" s="2"/>
      <c r="V189" s="25"/>
      <c r="W189" s="25"/>
      <c r="Z189" s="39"/>
      <c r="AB189" s="39"/>
      <c r="AD189" s="39"/>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37"/>
      <c r="O190" s="2"/>
      <c r="P190" s="2"/>
      <c r="Q190" s="2"/>
      <c r="R190" s="2"/>
      <c r="S190" s="2"/>
      <c r="V190" s="25"/>
      <c r="W190" s="25"/>
      <c r="Z190" s="39"/>
      <c r="AB190" s="39"/>
      <c r="AD190" s="39"/>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37"/>
      <c r="O191" s="2"/>
      <c r="P191" s="2"/>
      <c r="Q191" s="2"/>
      <c r="R191" s="2"/>
      <c r="S191" s="2"/>
      <c r="V191" s="25"/>
      <c r="W191" s="25"/>
      <c r="Z191" s="39"/>
      <c r="AB191" s="39"/>
      <c r="AD191" s="39"/>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37"/>
      <c r="O192" s="2"/>
      <c r="P192" s="2"/>
      <c r="Q192" s="2"/>
      <c r="R192" s="2"/>
      <c r="S192" s="2"/>
      <c r="V192" s="25"/>
      <c r="W192" s="25"/>
      <c r="Z192" s="39"/>
      <c r="AB192" s="39"/>
      <c r="AD192" s="39"/>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37"/>
      <c r="O193" s="2"/>
      <c r="P193" s="2"/>
      <c r="Q193" s="2"/>
      <c r="R193" s="2"/>
      <c r="S193" s="2"/>
      <c r="V193" s="25"/>
      <c r="W193" s="25"/>
      <c r="Z193" s="39"/>
      <c r="AB193" s="39"/>
      <c r="AD193" s="39"/>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37"/>
      <c r="O194" s="2"/>
      <c r="P194" s="2"/>
      <c r="Q194" s="2"/>
      <c r="R194" s="2"/>
      <c r="S194" s="2"/>
      <c r="V194" s="25"/>
      <c r="W194" s="25"/>
      <c r="Z194" s="39"/>
      <c r="AB194" s="39"/>
      <c r="AD194" s="39"/>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37"/>
      <c r="O195" s="2"/>
      <c r="P195" s="2"/>
      <c r="Q195" s="2"/>
      <c r="R195" s="2"/>
      <c r="S195" s="2"/>
      <c r="V195" s="25"/>
      <c r="W195" s="25"/>
      <c r="Z195" s="39"/>
      <c r="AB195" s="39"/>
      <c r="AD195" s="39"/>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37"/>
      <c r="O196" s="2"/>
      <c r="P196" s="2"/>
      <c r="Q196" s="2"/>
      <c r="R196" s="2"/>
      <c r="S196" s="2"/>
      <c r="V196" s="25"/>
      <c r="W196" s="25"/>
      <c r="Z196" s="39"/>
      <c r="AB196" s="39"/>
      <c r="AD196" s="39"/>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37"/>
      <c r="O197" s="2"/>
      <c r="P197" s="2"/>
      <c r="Q197" s="2"/>
      <c r="R197" s="2"/>
      <c r="S197" s="2"/>
      <c r="V197" s="25"/>
      <c r="W197" s="25"/>
      <c r="Z197" s="39"/>
      <c r="AB197" s="39"/>
      <c r="AD197" s="39"/>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37"/>
      <c r="O198" s="2"/>
      <c r="P198" s="2"/>
      <c r="Q198" s="2"/>
      <c r="R198" s="2"/>
      <c r="S198" s="2"/>
      <c r="V198" s="25"/>
      <c r="W198" s="25"/>
      <c r="Z198" s="39"/>
      <c r="AB198" s="39"/>
      <c r="AD198" s="39"/>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37"/>
      <c r="O199" s="2"/>
      <c r="P199" s="2"/>
      <c r="Q199" s="2"/>
      <c r="R199" s="2"/>
      <c r="S199" s="2"/>
      <c r="V199" s="25"/>
      <c r="W199" s="25"/>
      <c r="Z199" s="39"/>
      <c r="AB199" s="39"/>
      <c r="AD199" s="39"/>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37"/>
      <c r="O200" s="2"/>
      <c r="P200" s="2"/>
      <c r="Q200" s="2"/>
      <c r="R200" s="2"/>
      <c r="S200" s="2"/>
      <c r="V200" s="25"/>
      <c r="W200" s="25"/>
      <c r="Z200" s="39"/>
      <c r="AB200" s="39"/>
      <c r="AD200" s="39"/>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37"/>
      <c r="O201" s="2"/>
      <c r="P201" s="2"/>
      <c r="Q201" s="2"/>
      <c r="R201" s="2"/>
      <c r="S201" s="2"/>
      <c r="V201" s="25"/>
      <c r="W201" s="25"/>
      <c r="Z201" s="39"/>
      <c r="AB201" s="39"/>
      <c r="AD201" s="39"/>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37"/>
      <c r="O202" s="2"/>
      <c r="P202" s="2"/>
      <c r="Q202" s="2"/>
      <c r="R202" s="2"/>
      <c r="S202" s="2"/>
      <c r="V202" s="25"/>
      <c r="W202" s="25"/>
      <c r="Z202" s="39"/>
      <c r="AB202" s="39"/>
      <c r="AD202" s="39"/>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37"/>
      <c r="O203" s="2"/>
      <c r="P203" s="2"/>
      <c r="Q203" s="2"/>
      <c r="R203" s="2"/>
      <c r="S203" s="2"/>
      <c r="V203" s="25"/>
      <c r="W203" s="25"/>
      <c r="Z203" s="39"/>
      <c r="AB203" s="39"/>
      <c r="AD203" s="39"/>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37"/>
      <c r="O204" s="2"/>
      <c r="P204" s="2"/>
      <c r="Q204" s="2"/>
      <c r="R204" s="2"/>
      <c r="S204" s="2"/>
      <c r="V204" s="25"/>
      <c r="W204" s="25"/>
      <c r="Z204" s="39"/>
      <c r="AB204" s="39"/>
      <c r="AD204" s="39"/>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37"/>
      <c r="O205" s="2"/>
      <c r="P205" s="2"/>
      <c r="Q205" s="2"/>
      <c r="R205" s="2"/>
      <c r="S205" s="2"/>
      <c r="V205" s="25"/>
      <c r="W205" s="25"/>
      <c r="Z205" s="39"/>
      <c r="AB205" s="39"/>
      <c r="AD205" s="39"/>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37"/>
      <c r="O206" s="2"/>
      <c r="P206" s="2"/>
      <c r="Q206" s="2"/>
      <c r="R206" s="2"/>
      <c r="S206" s="2"/>
      <c r="V206" s="25"/>
      <c r="W206" s="25"/>
      <c r="Z206" s="39"/>
      <c r="AB206" s="39"/>
      <c r="AD206" s="39"/>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37"/>
      <c r="O207" s="2"/>
      <c r="P207" s="2"/>
      <c r="Q207" s="2"/>
      <c r="R207" s="2"/>
      <c r="S207" s="2"/>
      <c r="V207" s="25"/>
      <c r="W207" s="25"/>
      <c r="Z207" s="39"/>
      <c r="AB207" s="39"/>
      <c r="AD207" s="39"/>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37"/>
      <c r="O208" s="2"/>
      <c r="P208" s="2"/>
      <c r="Q208" s="2"/>
      <c r="R208" s="2"/>
      <c r="S208" s="2"/>
      <c r="V208" s="25"/>
      <c r="W208" s="25"/>
      <c r="Z208" s="39"/>
      <c r="AB208" s="39"/>
      <c r="AD208" s="39"/>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37"/>
      <c r="O209" s="2"/>
      <c r="P209" s="2"/>
      <c r="Q209" s="2"/>
      <c r="R209" s="2"/>
      <c r="S209" s="2"/>
      <c r="V209" s="25"/>
      <c r="W209" s="25"/>
      <c r="Z209" s="39"/>
      <c r="AB209" s="39"/>
      <c r="AD209" s="39"/>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37"/>
      <c r="O210" s="2"/>
      <c r="P210" s="2"/>
      <c r="Q210" s="2"/>
      <c r="R210" s="2"/>
      <c r="S210" s="2"/>
      <c r="V210" s="25"/>
      <c r="W210" s="25"/>
      <c r="Z210" s="39"/>
      <c r="AB210" s="39"/>
      <c r="AD210" s="39"/>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37"/>
      <c r="O211" s="2"/>
      <c r="P211" s="2"/>
      <c r="Q211" s="2"/>
      <c r="R211" s="2"/>
      <c r="S211" s="2"/>
      <c r="V211" s="25"/>
      <c r="W211" s="25"/>
      <c r="Z211" s="39"/>
      <c r="AB211" s="39"/>
      <c r="AD211" s="39"/>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37"/>
      <c r="O212" s="2"/>
      <c r="P212" s="2"/>
      <c r="Q212" s="2"/>
      <c r="R212" s="2"/>
      <c r="S212" s="2"/>
      <c r="V212" s="25"/>
      <c r="W212" s="25"/>
      <c r="Z212" s="39"/>
      <c r="AB212" s="39"/>
      <c r="AD212" s="39"/>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37"/>
      <c r="O213" s="2"/>
      <c r="P213" s="2"/>
      <c r="Q213" s="2"/>
      <c r="R213" s="2"/>
      <c r="S213" s="2"/>
      <c r="V213" s="25"/>
      <c r="W213" s="25"/>
      <c r="Z213" s="39"/>
      <c r="AB213" s="39"/>
      <c r="AD213" s="39"/>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37"/>
      <c r="O214" s="2"/>
      <c r="P214" s="2"/>
      <c r="Q214" s="2"/>
      <c r="R214" s="2"/>
      <c r="S214" s="2"/>
      <c r="V214" s="25"/>
      <c r="W214" s="25"/>
      <c r="Z214" s="39"/>
      <c r="AB214" s="39"/>
      <c r="AD214" s="39"/>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37"/>
      <c r="O215" s="2"/>
      <c r="P215" s="2"/>
      <c r="Q215" s="2"/>
      <c r="R215" s="2"/>
      <c r="S215" s="2"/>
      <c r="V215" s="25"/>
      <c r="W215" s="25"/>
      <c r="Z215" s="39"/>
      <c r="AB215" s="39"/>
      <c r="AD215" s="39"/>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37"/>
      <c r="O216" s="2"/>
      <c r="P216" s="2"/>
      <c r="Q216" s="2"/>
      <c r="R216" s="2"/>
      <c r="S216" s="2"/>
      <c r="V216" s="25"/>
      <c r="W216" s="25"/>
      <c r="Z216" s="39"/>
      <c r="AB216" s="39"/>
      <c r="AD216" s="39"/>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37"/>
      <c r="O217" s="2"/>
      <c r="P217" s="2"/>
      <c r="Q217" s="2"/>
      <c r="R217" s="2"/>
      <c r="S217" s="2"/>
      <c r="V217" s="25"/>
      <c r="W217" s="25"/>
      <c r="Z217" s="39"/>
      <c r="AB217" s="39"/>
      <c r="AD217" s="39"/>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37"/>
      <c r="O218" s="2"/>
      <c r="P218" s="2"/>
      <c r="Q218" s="2"/>
      <c r="R218" s="2"/>
      <c r="S218" s="2"/>
      <c r="V218" s="25"/>
      <c r="W218" s="25"/>
      <c r="Z218" s="39"/>
      <c r="AB218" s="39"/>
      <c r="AD218" s="39"/>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37"/>
      <c r="O219" s="2"/>
      <c r="P219" s="2"/>
      <c r="Q219" s="2"/>
      <c r="R219" s="2"/>
      <c r="S219" s="2"/>
      <c r="V219" s="25"/>
      <c r="W219" s="25"/>
      <c r="Z219" s="39"/>
      <c r="AB219" s="39"/>
      <c r="AD219" s="39"/>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37"/>
      <c r="O220" s="2"/>
      <c r="P220" s="2"/>
      <c r="Q220" s="2"/>
      <c r="R220" s="2"/>
      <c r="S220" s="2"/>
      <c r="V220" s="25"/>
      <c r="W220" s="25"/>
      <c r="Z220" s="39"/>
      <c r="AB220" s="39"/>
      <c r="AD220" s="39"/>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37"/>
      <c r="O221" s="2"/>
      <c r="P221" s="2"/>
      <c r="Q221" s="2"/>
      <c r="R221" s="2"/>
      <c r="S221" s="2"/>
      <c r="V221" s="25"/>
      <c r="W221" s="25"/>
      <c r="Z221" s="39"/>
      <c r="AB221" s="39"/>
      <c r="AD221" s="39"/>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37"/>
      <c r="O222" s="2"/>
      <c r="P222" s="2"/>
      <c r="Q222" s="2"/>
      <c r="R222" s="2"/>
      <c r="S222" s="2"/>
      <c r="V222" s="25"/>
      <c r="W222" s="25"/>
      <c r="Z222" s="39"/>
      <c r="AB222" s="39"/>
      <c r="AD222" s="39"/>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37"/>
      <c r="O223" s="2"/>
      <c r="P223" s="2"/>
      <c r="Q223" s="2"/>
      <c r="R223" s="2"/>
      <c r="S223" s="2"/>
      <c r="V223" s="25"/>
      <c r="W223" s="25"/>
      <c r="Z223" s="39"/>
      <c r="AB223" s="39"/>
      <c r="AD223" s="39"/>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37"/>
      <c r="O224" s="2"/>
      <c r="P224" s="2"/>
      <c r="Q224" s="2"/>
      <c r="R224" s="2"/>
      <c r="S224" s="2"/>
      <c r="V224" s="25"/>
      <c r="W224" s="25"/>
      <c r="Z224" s="39"/>
      <c r="AB224" s="39"/>
      <c r="AD224" s="39"/>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37"/>
      <c r="O225" s="2"/>
      <c r="P225" s="2"/>
      <c r="Q225" s="2"/>
      <c r="R225" s="2"/>
      <c r="S225" s="2"/>
      <c r="V225" s="25"/>
      <c r="W225" s="25"/>
      <c r="Z225" s="39"/>
      <c r="AB225" s="39"/>
      <c r="AD225" s="39"/>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37"/>
      <c r="O226" s="2"/>
      <c r="P226" s="2"/>
      <c r="Q226" s="2"/>
      <c r="R226" s="2"/>
      <c r="S226" s="2"/>
      <c r="V226" s="25"/>
      <c r="W226" s="25"/>
      <c r="Z226" s="39"/>
      <c r="AB226" s="39"/>
      <c r="AD226" s="39"/>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37"/>
      <c r="O227" s="2"/>
      <c r="P227" s="2"/>
      <c r="Q227" s="2"/>
      <c r="R227" s="2"/>
      <c r="S227" s="2"/>
      <c r="V227" s="25"/>
      <c r="W227" s="25"/>
      <c r="Z227" s="39"/>
      <c r="AB227" s="39"/>
      <c r="AD227" s="39"/>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37"/>
      <c r="O228" s="2"/>
      <c r="P228" s="2"/>
      <c r="Q228" s="2"/>
      <c r="R228" s="2"/>
      <c r="S228" s="2"/>
      <c r="V228" s="25"/>
      <c r="W228" s="25"/>
      <c r="Z228" s="39"/>
      <c r="AB228" s="39"/>
      <c r="AD228" s="39"/>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37"/>
      <c r="O229" s="2"/>
      <c r="P229" s="2"/>
      <c r="Q229" s="2"/>
      <c r="R229" s="2"/>
      <c r="S229" s="2"/>
      <c r="V229" s="25"/>
      <c r="W229" s="25"/>
      <c r="Z229" s="39"/>
      <c r="AB229" s="39"/>
      <c r="AD229" s="39"/>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37"/>
      <c r="O230" s="2"/>
      <c r="P230" s="2"/>
      <c r="Q230" s="2"/>
      <c r="R230" s="2"/>
      <c r="S230" s="2"/>
      <c r="V230" s="25"/>
      <c r="W230" s="25"/>
      <c r="Z230" s="39"/>
      <c r="AB230" s="39"/>
      <c r="AD230" s="39"/>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37"/>
      <c r="O231" s="2"/>
      <c r="P231" s="2"/>
      <c r="Q231" s="2"/>
      <c r="R231" s="2"/>
      <c r="S231" s="2"/>
      <c r="V231" s="25"/>
      <c r="W231" s="25"/>
      <c r="Z231" s="39"/>
      <c r="AB231" s="39"/>
      <c r="AD231" s="39"/>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37"/>
      <c r="O232" s="2"/>
      <c r="P232" s="2"/>
      <c r="Q232" s="2"/>
      <c r="R232" s="2"/>
      <c r="S232" s="2"/>
      <c r="V232" s="25"/>
      <c r="W232" s="25"/>
      <c r="Z232" s="39"/>
      <c r="AB232" s="39"/>
      <c r="AD232" s="39"/>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37"/>
      <c r="O233" s="2"/>
      <c r="P233" s="2"/>
      <c r="Q233" s="2"/>
      <c r="R233" s="2"/>
      <c r="S233" s="2"/>
      <c r="V233" s="25"/>
      <c r="W233" s="25"/>
      <c r="Z233" s="39"/>
      <c r="AB233" s="39"/>
      <c r="AD233" s="39"/>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37"/>
      <c r="O234" s="2"/>
      <c r="P234" s="2"/>
      <c r="Q234" s="2"/>
      <c r="R234" s="2"/>
      <c r="S234" s="2"/>
      <c r="V234" s="25"/>
      <c r="W234" s="25"/>
      <c r="Z234" s="39"/>
      <c r="AB234" s="39"/>
      <c r="AD234" s="39"/>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37"/>
      <c r="O235" s="2"/>
      <c r="P235" s="2"/>
      <c r="Q235" s="2"/>
      <c r="R235" s="2"/>
      <c r="S235" s="2"/>
      <c r="V235" s="25"/>
      <c r="W235" s="25"/>
      <c r="Z235" s="39"/>
      <c r="AB235" s="39"/>
      <c r="AD235" s="39"/>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37"/>
      <c r="O236" s="2"/>
      <c r="P236" s="2"/>
      <c r="Q236" s="2"/>
      <c r="R236" s="2"/>
      <c r="S236" s="2"/>
      <c r="V236" s="25"/>
      <c r="W236" s="25"/>
      <c r="Z236" s="39"/>
      <c r="AB236" s="39"/>
      <c r="AD236" s="39"/>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37"/>
      <c r="O237" s="2"/>
      <c r="P237" s="2"/>
      <c r="Q237" s="2"/>
      <c r="R237" s="2"/>
      <c r="S237" s="2"/>
      <c r="V237" s="25"/>
      <c r="W237" s="25"/>
      <c r="Z237" s="39"/>
      <c r="AB237" s="39"/>
      <c r="AD237" s="39"/>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37"/>
      <c r="O238" s="2"/>
      <c r="P238" s="2"/>
      <c r="Q238" s="2"/>
      <c r="R238" s="2"/>
      <c r="S238" s="2"/>
      <c r="V238" s="25"/>
      <c r="W238" s="25"/>
      <c r="Z238" s="39"/>
      <c r="AB238" s="39"/>
      <c r="AD238" s="39"/>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37"/>
      <c r="O239" s="2"/>
      <c r="P239" s="2"/>
      <c r="Q239" s="2"/>
      <c r="R239" s="2"/>
      <c r="S239" s="2"/>
      <c r="V239" s="25"/>
      <c r="W239" s="25"/>
      <c r="Z239" s="39"/>
      <c r="AB239" s="39"/>
      <c r="AD239" s="39"/>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37"/>
      <c r="O240" s="2"/>
      <c r="P240" s="2"/>
      <c r="Q240" s="2"/>
      <c r="R240" s="2"/>
      <c r="S240" s="2"/>
      <c r="V240" s="25"/>
      <c r="W240" s="25"/>
      <c r="Z240" s="39"/>
      <c r="AB240" s="39"/>
      <c r="AD240" s="39"/>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37"/>
      <c r="O241" s="2"/>
      <c r="P241" s="2"/>
      <c r="Q241" s="2"/>
      <c r="R241" s="2"/>
      <c r="S241" s="2"/>
      <c r="V241" s="25"/>
      <c r="W241" s="25"/>
      <c r="Z241" s="39"/>
      <c r="AB241" s="39"/>
      <c r="AD241" s="39"/>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37"/>
      <c r="O242" s="2"/>
      <c r="P242" s="2"/>
      <c r="Q242" s="2"/>
      <c r="R242" s="2"/>
      <c r="S242" s="2"/>
      <c r="V242" s="25"/>
      <c r="W242" s="25"/>
      <c r="Z242" s="39"/>
      <c r="AB242" s="39"/>
      <c r="AD242" s="39"/>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37"/>
      <c r="O243" s="2"/>
      <c r="P243" s="2"/>
      <c r="Q243" s="2"/>
      <c r="R243" s="2"/>
      <c r="S243" s="2"/>
      <c r="V243" s="25"/>
      <c r="W243" s="25"/>
      <c r="Z243" s="39"/>
      <c r="AB243" s="39"/>
      <c r="AD243" s="39"/>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37"/>
      <c r="O244" s="2"/>
      <c r="P244" s="2"/>
      <c r="Q244" s="2"/>
      <c r="R244" s="2"/>
      <c r="S244" s="2"/>
      <c r="V244" s="25"/>
      <c r="W244" s="25"/>
      <c r="Z244" s="39"/>
      <c r="AB244" s="39"/>
      <c r="AD244" s="39"/>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37"/>
      <c r="O245" s="2"/>
      <c r="P245" s="2"/>
      <c r="Q245" s="2"/>
      <c r="R245" s="2"/>
      <c r="S245" s="2"/>
      <c r="V245" s="25"/>
      <c r="W245" s="25"/>
      <c r="Z245" s="39"/>
      <c r="AB245" s="39"/>
      <c r="AD245" s="39"/>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37"/>
      <c r="O246" s="2"/>
      <c r="P246" s="2"/>
      <c r="Q246" s="2"/>
      <c r="R246" s="2"/>
      <c r="S246" s="2"/>
      <c r="V246" s="25"/>
      <c r="W246" s="25"/>
      <c r="Z246" s="39"/>
      <c r="AB246" s="39"/>
      <c r="AD246" s="39"/>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37"/>
      <c r="O247" s="2"/>
      <c r="P247" s="2"/>
      <c r="Q247" s="2"/>
      <c r="R247" s="2"/>
      <c r="S247" s="2"/>
      <c r="V247" s="25"/>
      <c r="W247" s="25"/>
      <c r="Z247" s="39"/>
      <c r="AB247" s="39"/>
      <c r="AD247" s="39"/>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37"/>
      <c r="O248" s="2"/>
      <c r="P248" s="2"/>
      <c r="Q248" s="2"/>
      <c r="R248" s="2"/>
      <c r="S248" s="2"/>
      <c r="V248" s="25"/>
      <c r="W248" s="25"/>
      <c r="Z248" s="39"/>
      <c r="AB248" s="39"/>
      <c r="AD248" s="39"/>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37"/>
      <c r="O249" s="2"/>
      <c r="P249" s="2"/>
      <c r="Q249" s="2"/>
      <c r="R249" s="2"/>
      <c r="S249" s="2"/>
      <c r="V249" s="25"/>
      <c r="W249" s="25"/>
      <c r="Z249" s="39"/>
      <c r="AB249" s="39"/>
      <c r="AD249" s="39"/>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37"/>
      <c r="O250" s="2"/>
      <c r="P250" s="2"/>
      <c r="Q250" s="2"/>
      <c r="R250" s="2"/>
      <c r="S250" s="2"/>
      <c r="V250" s="25"/>
      <c r="W250" s="25"/>
      <c r="Z250" s="39"/>
      <c r="AB250" s="39"/>
      <c r="AD250" s="39"/>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37"/>
      <c r="O251" s="2"/>
      <c r="P251" s="2"/>
      <c r="Q251" s="2"/>
      <c r="R251" s="2"/>
      <c r="S251" s="2"/>
      <c r="V251" s="25"/>
      <c r="W251" s="25"/>
      <c r="Z251" s="39"/>
      <c r="AB251" s="39"/>
      <c r="AD251" s="39"/>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37"/>
      <c r="O252" s="2"/>
      <c r="P252" s="2"/>
      <c r="Q252" s="2"/>
      <c r="R252" s="2"/>
      <c r="S252" s="2"/>
      <c r="V252" s="25"/>
      <c r="W252" s="25"/>
      <c r="Z252" s="39"/>
      <c r="AB252" s="39"/>
      <c r="AD252" s="39"/>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37"/>
      <c r="O253" s="2"/>
      <c r="P253" s="2"/>
      <c r="Q253" s="2"/>
      <c r="R253" s="2"/>
      <c r="S253" s="2"/>
      <c r="V253" s="25"/>
      <c r="W253" s="25"/>
      <c r="Z253" s="39"/>
      <c r="AB253" s="39"/>
      <c r="AD253" s="39"/>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37"/>
      <c r="O254" s="2"/>
      <c r="P254" s="2"/>
      <c r="Q254" s="2"/>
      <c r="R254" s="2"/>
      <c r="S254" s="2"/>
      <c r="V254" s="25"/>
      <c r="W254" s="25"/>
      <c r="Z254" s="39"/>
      <c r="AB254" s="39"/>
      <c r="AD254" s="39"/>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37"/>
      <c r="O255" s="2"/>
      <c r="P255" s="2"/>
      <c r="Q255" s="2"/>
      <c r="R255" s="2"/>
      <c r="S255" s="2"/>
      <c r="V255" s="25"/>
      <c r="W255" s="25"/>
      <c r="Z255" s="39"/>
      <c r="AB255" s="39"/>
      <c r="AD255" s="39"/>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37"/>
      <c r="O256" s="2"/>
      <c r="P256" s="2"/>
      <c r="Q256" s="2"/>
      <c r="R256" s="2"/>
      <c r="S256" s="2"/>
      <c r="V256" s="25"/>
      <c r="W256" s="25"/>
      <c r="Z256" s="39"/>
      <c r="AB256" s="39"/>
      <c r="AD256" s="39"/>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37"/>
      <c r="O257" s="2"/>
      <c r="P257" s="2"/>
      <c r="Q257" s="2"/>
      <c r="R257" s="2"/>
      <c r="S257" s="2"/>
      <c r="V257" s="25"/>
      <c r="W257" s="25"/>
      <c r="Z257" s="39"/>
      <c r="AB257" s="39"/>
      <c r="AD257" s="39"/>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37"/>
      <c r="O258" s="2"/>
      <c r="P258" s="2"/>
      <c r="Q258" s="2"/>
      <c r="R258" s="2"/>
      <c r="S258" s="2"/>
      <c r="V258" s="25"/>
      <c r="W258" s="25"/>
      <c r="Z258" s="39"/>
      <c r="AB258" s="39"/>
      <c r="AD258" s="39"/>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37"/>
      <c r="O259" s="2"/>
      <c r="P259" s="2"/>
      <c r="Q259" s="2"/>
      <c r="R259" s="2"/>
      <c r="S259" s="2"/>
      <c r="V259" s="25"/>
      <c r="W259" s="25"/>
      <c r="Z259" s="39"/>
      <c r="AB259" s="39"/>
      <c r="AD259" s="39"/>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37"/>
      <c r="O260" s="2"/>
      <c r="P260" s="2"/>
      <c r="Q260" s="2"/>
      <c r="R260" s="2"/>
      <c r="S260" s="2"/>
      <c r="V260" s="25"/>
      <c r="W260" s="25"/>
      <c r="Z260" s="39"/>
      <c r="AB260" s="39"/>
      <c r="AD260" s="39"/>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37"/>
      <c r="O261" s="2"/>
      <c r="P261" s="2"/>
      <c r="Q261" s="2"/>
      <c r="R261" s="2"/>
      <c r="S261" s="2"/>
      <c r="V261" s="25"/>
      <c r="W261" s="25"/>
      <c r="Z261" s="39"/>
      <c r="AB261" s="39"/>
      <c r="AD261" s="39"/>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37"/>
      <c r="O262" s="2"/>
      <c r="P262" s="2"/>
      <c r="Q262" s="2"/>
      <c r="R262" s="2"/>
      <c r="S262" s="2"/>
      <c r="V262" s="25"/>
      <c r="W262" s="25"/>
      <c r="Z262" s="39"/>
      <c r="AB262" s="39"/>
      <c r="AD262" s="39"/>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37"/>
      <c r="O263" s="2"/>
      <c r="P263" s="2"/>
      <c r="Q263" s="2"/>
      <c r="R263" s="2"/>
      <c r="S263" s="2"/>
      <c r="V263" s="25"/>
      <c r="W263" s="25"/>
      <c r="Z263" s="39"/>
      <c r="AB263" s="39"/>
      <c r="AD263" s="39"/>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37"/>
      <c r="O264" s="2"/>
      <c r="P264" s="2"/>
      <c r="Q264" s="2"/>
      <c r="R264" s="2"/>
      <c r="S264" s="2"/>
      <c r="V264" s="25"/>
      <c r="W264" s="25"/>
      <c r="Z264" s="39"/>
      <c r="AB264" s="39"/>
      <c r="AD264" s="39"/>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37"/>
      <c r="O265" s="2"/>
      <c r="P265" s="2"/>
      <c r="Q265" s="2"/>
      <c r="R265" s="2"/>
      <c r="S265" s="2"/>
      <c r="V265" s="25"/>
      <c r="W265" s="25"/>
      <c r="Z265" s="39"/>
      <c r="AB265" s="39"/>
      <c r="AD265" s="39"/>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37"/>
      <c r="O266" s="2"/>
      <c r="P266" s="2"/>
      <c r="Q266" s="2"/>
      <c r="R266" s="2"/>
      <c r="S266" s="2"/>
      <c r="V266" s="25"/>
      <c r="W266" s="25"/>
      <c r="Z266" s="39"/>
      <c r="AB266" s="39"/>
      <c r="AD266" s="39"/>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37"/>
      <c r="O267" s="2"/>
      <c r="P267" s="2"/>
      <c r="Q267" s="2"/>
      <c r="R267" s="2"/>
      <c r="S267" s="2"/>
      <c r="V267" s="25"/>
      <c r="W267" s="25"/>
      <c r="Z267" s="39"/>
      <c r="AB267" s="39"/>
      <c r="AD267" s="39"/>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37"/>
      <c r="O268" s="2"/>
      <c r="P268" s="2"/>
      <c r="Q268" s="2"/>
      <c r="R268" s="2"/>
      <c r="S268" s="2"/>
      <c r="V268" s="25"/>
      <c r="W268" s="25"/>
      <c r="Z268" s="39"/>
      <c r="AB268" s="39"/>
      <c r="AD268" s="39"/>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37"/>
      <c r="O269" s="2"/>
      <c r="P269" s="2"/>
      <c r="Q269" s="2"/>
      <c r="R269" s="2"/>
      <c r="S269" s="2"/>
      <c r="V269" s="25"/>
      <c r="W269" s="25"/>
      <c r="Z269" s="39"/>
      <c r="AB269" s="39"/>
      <c r="AD269" s="39"/>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37"/>
      <c r="O270" s="2"/>
      <c r="P270" s="2"/>
      <c r="Q270" s="2"/>
      <c r="R270" s="2"/>
      <c r="S270" s="2"/>
      <c r="V270" s="25"/>
      <c r="W270" s="25"/>
      <c r="Z270" s="39"/>
      <c r="AB270" s="39"/>
      <c r="AD270" s="39"/>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37"/>
      <c r="O271" s="2"/>
      <c r="P271" s="2"/>
      <c r="Q271" s="2"/>
      <c r="R271" s="2"/>
      <c r="S271" s="2"/>
      <c r="V271" s="25"/>
      <c r="W271" s="25"/>
      <c r="Z271" s="39"/>
      <c r="AB271" s="39"/>
      <c r="AD271" s="39"/>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37"/>
      <c r="O272" s="2"/>
      <c r="P272" s="2"/>
      <c r="Q272" s="2"/>
      <c r="R272" s="2"/>
      <c r="S272" s="2"/>
      <c r="V272" s="25"/>
      <c r="W272" s="25"/>
      <c r="Z272" s="39"/>
      <c r="AB272" s="39"/>
      <c r="AD272" s="39"/>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37"/>
      <c r="O273" s="2"/>
      <c r="P273" s="2"/>
      <c r="Q273" s="2"/>
      <c r="R273" s="2"/>
      <c r="S273" s="2"/>
      <c r="V273" s="25"/>
      <c r="W273" s="25"/>
      <c r="Z273" s="39"/>
      <c r="AB273" s="39"/>
      <c r="AD273" s="39"/>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37"/>
      <c r="O274" s="2"/>
      <c r="P274" s="2"/>
      <c r="Q274" s="2"/>
      <c r="R274" s="2"/>
      <c r="S274" s="2"/>
      <c r="V274" s="25"/>
      <c r="W274" s="25"/>
      <c r="Z274" s="39"/>
      <c r="AB274" s="39"/>
      <c r="AD274" s="39"/>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37"/>
      <c r="O275" s="2"/>
      <c r="P275" s="2"/>
      <c r="Q275" s="2"/>
      <c r="R275" s="2"/>
      <c r="S275" s="2"/>
      <c r="V275" s="25"/>
      <c r="W275" s="25"/>
      <c r="Z275" s="39"/>
      <c r="AB275" s="39"/>
      <c r="AD275" s="39"/>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37"/>
      <c r="O276" s="2"/>
      <c r="P276" s="2"/>
      <c r="Q276" s="2"/>
      <c r="R276" s="2"/>
      <c r="S276" s="2"/>
      <c r="V276" s="25"/>
      <c r="W276" s="25"/>
      <c r="Z276" s="39"/>
      <c r="AB276" s="39"/>
      <c r="AD276" s="39"/>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37"/>
      <c r="O277" s="2"/>
      <c r="P277" s="2"/>
      <c r="Q277" s="2"/>
      <c r="R277" s="2"/>
      <c r="S277" s="2"/>
      <c r="V277" s="25"/>
      <c r="W277" s="25"/>
      <c r="Z277" s="39"/>
      <c r="AB277" s="39"/>
      <c r="AD277" s="39"/>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37"/>
      <c r="O278" s="2"/>
      <c r="P278" s="2"/>
      <c r="Q278" s="2"/>
      <c r="R278" s="2"/>
      <c r="S278" s="2"/>
      <c r="V278" s="25"/>
      <c r="W278" s="25"/>
      <c r="Z278" s="39"/>
      <c r="AB278" s="39"/>
      <c r="AD278" s="39"/>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37"/>
      <c r="O279" s="2"/>
      <c r="P279" s="2"/>
      <c r="Q279" s="2"/>
      <c r="R279" s="2"/>
      <c r="S279" s="2"/>
      <c r="V279" s="25"/>
      <c r="W279" s="25"/>
      <c r="Z279" s="39"/>
      <c r="AB279" s="39"/>
      <c r="AD279" s="39"/>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37"/>
      <c r="O280" s="2"/>
      <c r="P280" s="2"/>
      <c r="Q280" s="2"/>
      <c r="R280" s="2"/>
      <c r="S280" s="2"/>
      <c r="V280" s="25"/>
      <c r="W280" s="25"/>
      <c r="Z280" s="39"/>
      <c r="AB280" s="39"/>
      <c r="AD280" s="39"/>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37"/>
      <c r="O281" s="2"/>
      <c r="P281" s="2"/>
      <c r="Q281" s="2"/>
      <c r="R281" s="2"/>
      <c r="S281" s="2"/>
      <c r="V281" s="25"/>
      <c r="W281" s="25"/>
      <c r="Z281" s="39"/>
      <c r="AB281" s="39"/>
      <c r="AD281" s="39"/>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37"/>
      <c r="O282" s="2"/>
      <c r="P282" s="2"/>
      <c r="Q282" s="2"/>
      <c r="R282" s="2"/>
      <c r="S282" s="2"/>
      <c r="V282" s="25"/>
      <c r="W282" s="25"/>
      <c r="Z282" s="39"/>
      <c r="AB282" s="39"/>
      <c r="AD282" s="39"/>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37"/>
      <c r="O283" s="2"/>
      <c r="P283" s="2"/>
      <c r="Q283" s="2"/>
      <c r="R283" s="2"/>
      <c r="S283" s="2"/>
      <c r="V283" s="25"/>
      <c r="W283" s="25"/>
      <c r="Z283" s="39"/>
      <c r="AB283" s="39"/>
      <c r="AD283" s="39"/>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37"/>
      <c r="O284" s="2"/>
      <c r="P284" s="2"/>
      <c r="Q284" s="2"/>
      <c r="R284" s="2"/>
      <c r="S284" s="2"/>
      <c r="V284" s="25"/>
      <c r="W284" s="25"/>
      <c r="Z284" s="39"/>
      <c r="AB284" s="39"/>
      <c r="AD284" s="39"/>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37"/>
      <c r="O285" s="2"/>
      <c r="P285" s="2"/>
      <c r="Q285" s="2"/>
      <c r="R285" s="2"/>
      <c r="S285" s="2"/>
      <c r="V285" s="25"/>
      <c r="W285" s="25"/>
      <c r="Z285" s="39"/>
      <c r="AB285" s="39"/>
      <c r="AD285" s="39"/>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37"/>
      <c r="O286" s="2"/>
      <c r="P286" s="2"/>
      <c r="Q286" s="2"/>
      <c r="R286" s="2"/>
      <c r="S286" s="2"/>
      <c r="V286" s="25"/>
      <c r="W286" s="25"/>
      <c r="Z286" s="39"/>
      <c r="AB286" s="39"/>
      <c r="AD286" s="39"/>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37"/>
      <c r="O287" s="2"/>
      <c r="P287" s="2"/>
      <c r="Q287" s="2"/>
      <c r="R287" s="2"/>
      <c r="S287" s="2"/>
      <c r="V287" s="25"/>
      <c r="W287" s="25"/>
      <c r="Z287" s="39"/>
      <c r="AB287" s="39"/>
      <c r="AD287" s="39"/>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37"/>
      <c r="O288" s="2"/>
      <c r="P288" s="2"/>
      <c r="Q288" s="2"/>
      <c r="R288" s="2"/>
      <c r="S288" s="2"/>
      <c r="V288" s="25"/>
      <c r="W288" s="25"/>
      <c r="Z288" s="39"/>
      <c r="AB288" s="39"/>
      <c r="AD288" s="39"/>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37"/>
      <c r="O289" s="2"/>
      <c r="P289" s="2"/>
      <c r="Q289" s="2"/>
      <c r="R289" s="2"/>
      <c r="S289" s="2"/>
      <c r="V289" s="25"/>
      <c r="W289" s="25"/>
      <c r="Z289" s="39"/>
      <c r="AB289" s="39"/>
      <c r="AD289" s="39"/>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37"/>
      <c r="O290" s="2"/>
      <c r="P290" s="2"/>
      <c r="Q290" s="2"/>
      <c r="R290" s="2"/>
      <c r="S290" s="2"/>
      <c r="V290" s="25"/>
      <c r="W290" s="25"/>
      <c r="Z290" s="39"/>
      <c r="AB290" s="39"/>
      <c r="AD290" s="39"/>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37"/>
      <c r="O291" s="2"/>
      <c r="P291" s="2"/>
      <c r="Q291" s="2"/>
      <c r="R291" s="2"/>
      <c r="S291" s="2"/>
      <c r="V291" s="25"/>
      <c r="W291" s="25"/>
      <c r="Z291" s="39"/>
      <c r="AB291" s="39"/>
      <c r="AD291" s="39"/>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37"/>
      <c r="O292" s="2"/>
      <c r="P292" s="2"/>
      <c r="Q292" s="2"/>
      <c r="R292" s="2"/>
      <c r="S292" s="2"/>
      <c r="V292" s="25"/>
      <c r="W292" s="25"/>
      <c r="Z292" s="39"/>
      <c r="AB292" s="39"/>
      <c r="AD292" s="39"/>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37"/>
      <c r="O293" s="2"/>
      <c r="P293" s="2"/>
      <c r="Q293" s="2"/>
      <c r="R293" s="2"/>
      <c r="S293" s="2"/>
      <c r="V293" s="25"/>
      <c r="W293" s="25"/>
      <c r="Z293" s="39"/>
      <c r="AB293" s="39"/>
      <c r="AD293" s="39"/>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37"/>
      <c r="O294" s="2"/>
      <c r="P294" s="2"/>
      <c r="Q294" s="2"/>
      <c r="R294" s="2"/>
      <c r="S294" s="2"/>
      <c r="V294" s="25"/>
      <c r="W294" s="25"/>
      <c r="Z294" s="39"/>
      <c r="AB294" s="39"/>
      <c r="AD294" s="39"/>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37"/>
      <c r="O295" s="2"/>
      <c r="P295" s="2"/>
      <c r="Q295" s="2"/>
      <c r="R295" s="2"/>
      <c r="S295" s="2"/>
      <c r="V295" s="25"/>
      <c r="W295" s="25"/>
      <c r="Z295" s="39"/>
      <c r="AB295" s="39"/>
      <c r="AD295" s="39"/>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37"/>
      <c r="O296" s="2"/>
      <c r="P296" s="2"/>
      <c r="Q296" s="2"/>
      <c r="R296" s="2"/>
      <c r="S296" s="2"/>
      <c r="V296" s="25"/>
      <c r="W296" s="25"/>
      <c r="Z296" s="39"/>
      <c r="AB296" s="39"/>
      <c r="AD296" s="39"/>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37"/>
      <c r="O297" s="2"/>
      <c r="P297" s="2"/>
      <c r="Q297" s="2"/>
      <c r="R297" s="2"/>
      <c r="S297" s="2"/>
      <c r="V297" s="25"/>
      <c r="W297" s="25"/>
      <c r="Z297" s="39"/>
      <c r="AB297" s="39"/>
      <c r="AD297" s="39"/>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37"/>
      <c r="O298" s="2"/>
      <c r="P298" s="2"/>
      <c r="Q298" s="2"/>
      <c r="R298" s="2"/>
      <c r="S298" s="2"/>
      <c r="V298" s="25"/>
      <c r="W298" s="25"/>
      <c r="Z298" s="39"/>
      <c r="AB298" s="39"/>
      <c r="AD298" s="39"/>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37"/>
      <c r="O299" s="2"/>
      <c r="P299" s="2"/>
      <c r="Q299" s="2"/>
      <c r="R299" s="2"/>
      <c r="S299" s="2"/>
      <c r="V299" s="25"/>
      <c r="W299" s="25"/>
      <c r="Z299" s="39"/>
      <c r="AB299" s="39"/>
      <c r="AD299" s="39"/>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37"/>
      <c r="O300" s="2"/>
      <c r="P300" s="2"/>
      <c r="Q300" s="2"/>
      <c r="R300" s="2"/>
      <c r="S300" s="2"/>
      <c r="V300" s="25"/>
      <c r="W300" s="25"/>
      <c r="Z300" s="39"/>
      <c r="AB300" s="39"/>
      <c r="AD300" s="39"/>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37"/>
      <c r="O301" s="2"/>
      <c r="P301" s="2"/>
      <c r="Q301" s="2"/>
      <c r="R301" s="2"/>
      <c r="S301" s="2"/>
      <c r="V301" s="25"/>
      <c r="W301" s="25"/>
      <c r="Z301" s="39"/>
      <c r="AB301" s="39"/>
      <c r="AD301" s="39"/>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37"/>
      <c r="O302" s="2"/>
      <c r="P302" s="2"/>
      <c r="Q302" s="2"/>
      <c r="R302" s="2"/>
      <c r="S302" s="2"/>
      <c r="V302" s="25"/>
      <c r="W302" s="25"/>
      <c r="Z302" s="39"/>
      <c r="AB302" s="39"/>
      <c r="AD302" s="39"/>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37"/>
      <c r="O303" s="2"/>
      <c r="P303" s="2"/>
      <c r="Q303" s="2"/>
      <c r="R303" s="2"/>
      <c r="S303" s="2"/>
      <c r="V303" s="25"/>
      <c r="W303" s="25"/>
      <c r="Z303" s="39"/>
      <c r="AB303" s="39"/>
      <c r="AD303" s="39"/>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37"/>
      <c r="O304" s="2"/>
      <c r="P304" s="2"/>
      <c r="Q304" s="2"/>
      <c r="R304" s="2"/>
      <c r="S304" s="2"/>
      <c r="V304" s="25"/>
      <c r="W304" s="25"/>
      <c r="Z304" s="39"/>
      <c r="AB304" s="39"/>
      <c r="AD304" s="39"/>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37"/>
      <c r="O305" s="2"/>
      <c r="P305" s="2"/>
      <c r="Q305" s="2"/>
      <c r="R305" s="2"/>
      <c r="S305" s="2"/>
      <c r="V305" s="25"/>
      <c r="W305" s="25"/>
      <c r="Z305" s="39"/>
      <c r="AB305" s="39"/>
      <c r="AD305" s="39"/>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37"/>
      <c r="O306" s="2"/>
      <c r="P306" s="2"/>
      <c r="Q306" s="2"/>
      <c r="R306" s="2"/>
      <c r="S306" s="2"/>
      <c r="V306" s="25"/>
      <c r="W306" s="25"/>
      <c r="Z306" s="39"/>
      <c r="AB306" s="39"/>
      <c r="AD306" s="39"/>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37"/>
      <c r="O307" s="2"/>
      <c r="P307" s="2"/>
      <c r="Q307" s="2"/>
      <c r="R307" s="2"/>
      <c r="S307" s="2"/>
      <c r="V307" s="25"/>
      <c r="W307" s="25"/>
      <c r="Z307" s="39"/>
      <c r="AB307" s="39"/>
      <c r="AD307" s="39"/>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37"/>
      <c r="O308" s="2"/>
      <c r="P308" s="2"/>
      <c r="Q308" s="2"/>
      <c r="R308" s="2"/>
      <c r="S308" s="2"/>
      <c r="V308" s="25"/>
      <c r="W308" s="25"/>
      <c r="Z308" s="39"/>
      <c r="AB308" s="39"/>
      <c r="AD308" s="39"/>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37"/>
      <c r="O309" s="2"/>
      <c r="P309" s="2"/>
      <c r="Q309" s="2"/>
      <c r="R309" s="2"/>
      <c r="S309" s="2"/>
      <c r="V309" s="25"/>
      <c r="W309" s="25"/>
      <c r="Z309" s="39"/>
      <c r="AB309" s="39"/>
      <c r="AD309" s="39"/>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37"/>
      <c r="O310" s="2"/>
      <c r="P310" s="2"/>
      <c r="Q310" s="2"/>
      <c r="R310" s="2"/>
      <c r="S310" s="2"/>
      <c r="V310" s="25"/>
      <c r="W310" s="25"/>
      <c r="Z310" s="39"/>
      <c r="AB310" s="39"/>
      <c r="AD310" s="39"/>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37"/>
      <c r="O311" s="2"/>
      <c r="P311" s="2"/>
      <c r="Q311" s="2"/>
      <c r="R311" s="2"/>
      <c r="S311" s="2"/>
      <c r="V311" s="25"/>
      <c r="W311" s="25"/>
      <c r="Z311" s="39"/>
      <c r="AB311" s="39"/>
      <c r="AD311" s="39"/>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37"/>
      <c r="O312" s="2"/>
      <c r="P312" s="2"/>
      <c r="Q312" s="2"/>
      <c r="R312" s="2"/>
      <c r="S312" s="2"/>
      <c r="V312" s="25"/>
      <c r="W312" s="25"/>
      <c r="Z312" s="39"/>
      <c r="AB312" s="39"/>
      <c r="AD312" s="39"/>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37"/>
      <c r="O313" s="2"/>
      <c r="P313" s="2"/>
      <c r="Q313" s="2"/>
      <c r="R313" s="2"/>
      <c r="S313" s="2"/>
      <c r="V313" s="25"/>
      <c r="W313" s="25"/>
      <c r="Z313" s="39"/>
      <c r="AB313" s="39"/>
      <c r="AD313" s="39"/>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37"/>
      <c r="O314" s="2"/>
      <c r="P314" s="2"/>
      <c r="Q314" s="2"/>
      <c r="R314" s="2"/>
      <c r="S314" s="2"/>
      <c r="V314" s="25"/>
      <c r="W314" s="25"/>
      <c r="Z314" s="39"/>
      <c r="AB314" s="39"/>
      <c r="AD314" s="39"/>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37"/>
      <c r="O315" s="2"/>
      <c r="P315" s="2"/>
      <c r="Q315" s="2"/>
      <c r="R315" s="2"/>
      <c r="S315" s="2"/>
      <c r="V315" s="25"/>
      <c r="W315" s="25"/>
      <c r="Z315" s="39"/>
      <c r="AB315" s="39"/>
      <c r="AD315" s="39"/>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37"/>
      <c r="O316" s="2"/>
      <c r="P316" s="2"/>
      <c r="Q316" s="2"/>
      <c r="R316" s="2"/>
      <c r="S316" s="2"/>
      <c r="V316" s="25"/>
      <c r="W316" s="25"/>
      <c r="Z316" s="39"/>
      <c r="AB316" s="39"/>
      <c r="AD316" s="39"/>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37"/>
      <c r="O317" s="2"/>
      <c r="P317" s="2"/>
      <c r="Q317" s="2"/>
      <c r="R317" s="2"/>
      <c r="S317" s="2"/>
      <c r="V317" s="25"/>
      <c r="W317" s="25"/>
      <c r="Z317" s="39"/>
      <c r="AB317" s="39"/>
      <c r="AD317" s="39"/>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37"/>
      <c r="O318" s="2"/>
      <c r="P318" s="2"/>
      <c r="Q318" s="2"/>
      <c r="R318" s="2"/>
      <c r="S318" s="2"/>
      <c r="V318" s="25"/>
      <c r="W318" s="25"/>
      <c r="Z318" s="39"/>
      <c r="AB318" s="39"/>
      <c r="AD318" s="39"/>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37"/>
      <c r="O319" s="2"/>
      <c r="P319" s="2"/>
      <c r="Q319" s="2"/>
      <c r="R319" s="2"/>
      <c r="S319" s="2"/>
      <c r="V319" s="25"/>
      <c r="W319" s="25"/>
      <c r="Z319" s="39"/>
      <c r="AB319" s="39"/>
      <c r="AD319" s="39"/>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37"/>
      <c r="O320" s="2"/>
      <c r="P320" s="2"/>
      <c r="Q320" s="2"/>
      <c r="R320" s="2"/>
      <c r="S320" s="2"/>
      <c r="V320" s="25"/>
      <c r="W320" s="25"/>
      <c r="Z320" s="39"/>
      <c r="AB320" s="39"/>
      <c r="AD320" s="39"/>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37"/>
      <c r="O321" s="2"/>
      <c r="P321" s="2"/>
      <c r="Q321" s="2"/>
      <c r="R321" s="2"/>
      <c r="S321" s="2"/>
      <c r="V321" s="25"/>
      <c r="W321" s="25"/>
      <c r="Z321" s="39"/>
      <c r="AB321" s="39"/>
      <c r="AD321" s="39"/>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37"/>
      <c r="O322" s="2"/>
      <c r="P322" s="2"/>
      <c r="Q322" s="2"/>
      <c r="R322" s="2"/>
      <c r="S322" s="2"/>
      <c r="V322" s="25"/>
      <c r="W322" s="25"/>
      <c r="Z322" s="39"/>
      <c r="AB322" s="39"/>
      <c r="AD322" s="39"/>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37"/>
      <c r="O323" s="2"/>
      <c r="P323" s="2"/>
      <c r="Q323" s="2"/>
      <c r="R323" s="2"/>
      <c r="S323" s="2"/>
      <c r="V323" s="25"/>
      <c r="W323" s="25"/>
      <c r="Z323" s="39"/>
      <c r="AB323" s="39"/>
      <c r="AD323" s="39"/>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37"/>
      <c r="O324" s="2"/>
      <c r="P324" s="2"/>
      <c r="Q324" s="2"/>
      <c r="R324" s="2"/>
      <c r="S324" s="2"/>
      <c r="V324" s="25"/>
      <c r="W324" s="25"/>
      <c r="Z324" s="39"/>
      <c r="AB324" s="39"/>
      <c r="AD324" s="39"/>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37"/>
      <c r="O325" s="2"/>
      <c r="P325" s="2"/>
      <c r="Q325" s="2"/>
      <c r="R325" s="2"/>
      <c r="S325" s="2"/>
      <c r="V325" s="25"/>
      <c r="W325" s="25"/>
      <c r="Z325" s="39"/>
      <c r="AB325" s="39"/>
      <c r="AD325" s="39"/>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37"/>
      <c r="O326" s="2"/>
      <c r="P326" s="2"/>
      <c r="Q326" s="2"/>
      <c r="R326" s="2"/>
      <c r="S326" s="2"/>
      <c r="V326" s="25"/>
      <c r="W326" s="25"/>
      <c r="Z326" s="39"/>
      <c r="AB326" s="39"/>
      <c r="AD326" s="39"/>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37"/>
      <c r="O327" s="2"/>
      <c r="P327" s="2"/>
      <c r="Q327" s="2"/>
      <c r="R327" s="2"/>
      <c r="S327" s="2"/>
      <c r="V327" s="25"/>
      <c r="W327" s="25"/>
      <c r="Z327" s="39"/>
      <c r="AB327" s="39"/>
      <c r="AD327" s="39"/>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37"/>
      <c r="O328" s="2"/>
      <c r="P328" s="2"/>
      <c r="Q328" s="2"/>
      <c r="R328" s="2"/>
      <c r="S328" s="2"/>
      <c r="V328" s="25"/>
      <c r="W328" s="25"/>
      <c r="Z328" s="39"/>
      <c r="AB328" s="39"/>
      <c r="AD328" s="39"/>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37"/>
      <c r="O329" s="2"/>
      <c r="P329" s="2"/>
      <c r="Q329" s="2"/>
      <c r="R329" s="2"/>
      <c r="S329" s="2"/>
      <c r="V329" s="25"/>
      <c r="W329" s="25"/>
      <c r="Z329" s="39"/>
      <c r="AB329" s="39"/>
      <c r="AD329" s="39"/>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37"/>
      <c r="O330" s="2"/>
      <c r="P330" s="2"/>
      <c r="Q330" s="2"/>
      <c r="R330" s="2"/>
      <c r="S330" s="2"/>
      <c r="V330" s="25"/>
      <c r="W330" s="25"/>
      <c r="Z330" s="39"/>
      <c r="AB330" s="39"/>
      <c r="AD330" s="39"/>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37"/>
      <c r="O331" s="2"/>
      <c r="P331" s="2"/>
      <c r="Q331" s="2"/>
      <c r="R331" s="2"/>
      <c r="S331" s="2"/>
      <c r="V331" s="25"/>
      <c r="W331" s="25"/>
      <c r="Z331" s="39"/>
      <c r="AB331" s="39"/>
      <c r="AD331" s="39"/>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37"/>
      <c r="O332" s="2"/>
      <c r="P332" s="2"/>
      <c r="Q332" s="2"/>
      <c r="R332" s="2"/>
      <c r="S332" s="2"/>
      <c r="V332" s="25"/>
      <c r="W332" s="25"/>
      <c r="Z332" s="39"/>
      <c r="AB332" s="39"/>
      <c r="AD332" s="39"/>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37"/>
      <c r="O333" s="2"/>
      <c r="P333" s="2"/>
      <c r="Q333" s="2"/>
      <c r="R333" s="2"/>
      <c r="S333" s="2"/>
      <c r="V333" s="25"/>
      <c r="W333" s="25"/>
      <c r="Z333" s="39"/>
      <c r="AB333" s="39"/>
      <c r="AD333" s="39"/>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37"/>
      <c r="O334" s="2"/>
      <c r="P334" s="2"/>
      <c r="Q334" s="2"/>
      <c r="R334" s="2"/>
      <c r="S334" s="2"/>
      <c r="V334" s="25"/>
      <c r="W334" s="25"/>
      <c r="Z334" s="39"/>
      <c r="AB334" s="39"/>
      <c r="AD334" s="39"/>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37"/>
      <c r="O335" s="2"/>
      <c r="P335" s="2"/>
      <c r="Q335" s="2"/>
      <c r="R335" s="2"/>
      <c r="S335" s="2"/>
      <c r="V335" s="25"/>
      <c r="W335" s="25"/>
      <c r="Z335" s="39"/>
      <c r="AB335" s="39"/>
      <c r="AD335" s="39"/>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37"/>
      <c r="O336" s="2"/>
      <c r="P336" s="2"/>
      <c r="Q336" s="2"/>
      <c r="R336" s="2"/>
      <c r="S336" s="2"/>
      <c r="V336" s="25"/>
      <c r="W336" s="25"/>
      <c r="Z336" s="39"/>
      <c r="AB336" s="39"/>
      <c r="AD336" s="39"/>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37"/>
      <c r="O337" s="2"/>
      <c r="P337" s="2"/>
      <c r="Q337" s="2"/>
      <c r="R337" s="2"/>
      <c r="S337" s="2"/>
      <c r="V337" s="25"/>
      <c r="W337" s="25"/>
      <c r="Z337" s="39"/>
      <c r="AB337" s="39"/>
      <c r="AD337" s="39"/>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37"/>
      <c r="O338" s="2"/>
      <c r="P338" s="2"/>
      <c r="Q338" s="2"/>
      <c r="R338" s="2"/>
      <c r="S338" s="2"/>
      <c r="V338" s="25"/>
      <c r="W338" s="25"/>
      <c r="Z338" s="39"/>
      <c r="AB338" s="39"/>
      <c r="AD338" s="39"/>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37"/>
      <c r="O339" s="2"/>
      <c r="P339" s="2"/>
      <c r="Q339" s="2"/>
      <c r="R339" s="2"/>
      <c r="S339" s="2"/>
      <c r="V339" s="25"/>
      <c r="W339" s="25"/>
      <c r="Z339" s="39"/>
      <c r="AB339" s="39"/>
      <c r="AD339" s="39"/>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37"/>
      <c r="O340" s="2"/>
      <c r="P340" s="2"/>
      <c r="Q340" s="2"/>
      <c r="R340" s="2"/>
      <c r="S340" s="2"/>
      <c r="V340" s="25"/>
      <c r="W340" s="25"/>
      <c r="Z340" s="39"/>
      <c r="AB340" s="39"/>
      <c r="AD340" s="39"/>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37"/>
      <c r="O341" s="2"/>
      <c r="P341" s="2"/>
      <c r="Q341" s="2"/>
      <c r="R341" s="2"/>
      <c r="S341" s="2"/>
      <c r="V341" s="25"/>
      <c r="W341" s="25"/>
      <c r="Z341" s="39"/>
      <c r="AB341" s="39"/>
      <c r="AD341" s="39"/>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37"/>
      <c r="O342" s="2"/>
      <c r="P342" s="2"/>
      <c r="Q342" s="2"/>
      <c r="R342" s="2"/>
      <c r="S342" s="2"/>
      <c r="V342" s="25"/>
      <c r="W342" s="25"/>
      <c r="Z342" s="39"/>
      <c r="AB342" s="39"/>
      <c r="AD342" s="39"/>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37"/>
      <c r="O343" s="2"/>
      <c r="P343" s="2"/>
      <c r="Q343" s="2"/>
      <c r="R343" s="2"/>
      <c r="S343" s="2"/>
      <c r="V343" s="25"/>
      <c r="W343" s="25"/>
      <c r="Z343" s="39"/>
      <c r="AB343" s="39"/>
      <c r="AD343" s="39"/>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37"/>
      <c r="O344" s="2"/>
      <c r="P344" s="2"/>
      <c r="Q344" s="2"/>
      <c r="R344" s="2"/>
      <c r="S344" s="2"/>
      <c r="V344" s="25"/>
      <c r="W344" s="25"/>
      <c r="Z344" s="39"/>
      <c r="AB344" s="39"/>
      <c r="AD344" s="39"/>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37"/>
      <c r="O345" s="2"/>
      <c r="P345" s="2"/>
      <c r="Q345" s="2"/>
      <c r="R345" s="2"/>
      <c r="S345" s="2"/>
      <c r="V345" s="25"/>
      <c r="W345" s="25"/>
      <c r="Z345" s="39"/>
      <c r="AB345" s="39"/>
      <c r="AD345" s="39"/>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37"/>
      <c r="O346" s="2"/>
      <c r="P346" s="2"/>
      <c r="Q346" s="2"/>
      <c r="R346" s="2"/>
      <c r="S346" s="2"/>
      <c r="V346" s="25"/>
      <c r="W346" s="25"/>
      <c r="Z346" s="39"/>
      <c r="AB346" s="39"/>
      <c r="AD346" s="39"/>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37"/>
      <c r="O347" s="2"/>
      <c r="P347" s="2"/>
      <c r="Q347" s="2"/>
      <c r="R347" s="2"/>
      <c r="S347" s="2"/>
      <c r="V347" s="25"/>
      <c r="W347" s="25"/>
      <c r="Z347" s="39"/>
      <c r="AB347" s="39"/>
      <c r="AD347" s="39"/>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37"/>
      <c r="O348" s="2"/>
      <c r="P348" s="2"/>
      <c r="Q348" s="2"/>
      <c r="R348" s="2"/>
      <c r="S348" s="2"/>
      <c r="V348" s="25"/>
      <c r="W348" s="25"/>
      <c r="Z348" s="39"/>
      <c r="AB348" s="39"/>
      <c r="AD348" s="39"/>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37"/>
      <c r="O349" s="2"/>
      <c r="P349" s="2"/>
      <c r="Q349" s="2"/>
      <c r="R349" s="2"/>
      <c r="S349" s="2"/>
      <c r="V349" s="25"/>
      <c r="W349" s="25"/>
      <c r="Z349" s="39"/>
      <c r="AB349" s="39"/>
      <c r="AD349" s="39"/>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37"/>
      <c r="O350" s="2"/>
      <c r="P350" s="2"/>
      <c r="Q350" s="2"/>
      <c r="R350" s="2"/>
      <c r="S350" s="2"/>
      <c r="V350" s="25"/>
      <c r="W350" s="25"/>
      <c r="Z350" s="39"/>
      <c r="AB350" s="39"/>
      <c r="AD350" s="39"/>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37"/>
      <c r="O351" s="2"/>
      <c r="P351" s="2"/>
      <c r="Q351" s="2"/>
      <c r="R351" s="2"/>
      <c r="S351" s="2"/>
      <c r="V351" s="25"/>
      <c r="W351" s="25"/>
      <c r="Z351" s="39"/>
      <c r="AB351" s="39"/>
      <c r="AD351" s="39"/>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37"/>
      <c r="O352" s="2"/>
      <c r="P352" s="2"/>
      <c r="Q352" s="2"/>
      <c r="R352" s="2"/>
      <c r="S352" s="2"/>
      <c r="V352" s="25"/>
      <c r="W352" s="25"/>
      <c r="Z352" s="39"/>
      <c r="AB352" s="39"/>
      <c r="AD352" s="39"/>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37"/>
      <c r="O353" s="2"/>
      <c r="P353" s="2"/>
      <c r="Q353" s="2"/>
      <c r="R353" s="2"/>
      <c r="S353" s="2"/>
      <c r="V353" s="25"/>
      <c r="W353" s="25"/>
      <c r="Z353" s="39"/>
      <c r="AB353" s="39"/>
      <c r="AD353" s="39"/>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37"/>
      <c r="O354" s="2"/>
      <c r="P354" s="2"/>
      <c r="Q354" s="2"/>
      <c r="R354" s="2"/>
      <c r="S354" s="2"/>
      <c r="V354" s="25"/>
      <c r="W354" s="25"/>
      <c r="Z354" s="39"/>
      <c r="AB354" s="39"/>
      <c r="AD354" s="39"/>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37"/>
      <c r="O355" s="2"/>
      <c r="P355" s="2"/>
      <c r="Q355" s="2"/>
      <c r="R355" s="2"/>
      <c r="S355" s="2"/>
      <c r="V355" s="25"/>
      <c r="W355" s="25"/>
      <c r="Z355" s="39"/>
      <c r="AB355" s="39"/>
      <c r="AD355" s="39"/>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37"/>
      <c r="O356" s="2"/>
      <c r="P356" s="2"/>
      <c r="Q356" s="2"/>
      <c r="R356" s="2"/>
      <c r="S356" s="2"/>
      <c r="V356" s="25"/>
      <c r="W356" s="25"/>
      <c r="Z356" s="39"/>
      <c r="AB356" s="39"/>
      <c r="AD356" s="39"/>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37"/>
      <c r="O357" s="2"/>
      <c r="P357" s="2"/>
      <c r="Q357" s="2"/>
      <c r="R357" s="2"/>
      <c r="S357" s="2"/>
      <c r="V357" s="25"/>
      <c r="W357" s="25"/>
      <c r="Z357" s="39"/>
      <c r="AB357" s="39"/>
      <c r="AD357" s="39"/>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37"/>
      <c r="O358" s="2"/>
      <c r="P358" s="2"/>
      <c r="Q358" s="2"/>
      <c r="R358" s="2"/>
      <c r="S358" s="2"/>
      <c r="V358" s="25"/>
      <c r="W358" s="25"/>
      <c r="Z358" s="39"/>
      <c r="AB358" s="39"/>
      <c r="AD358" s="39"/>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37"/>
      <c r="O359" s="2"/>
      <c r="P359" s="2"/>
      <c r="Q359" s="2"/>
      <c r="R359" s="2"/>
      <c r="S359" s="2"/>
      <c r="V359" s="25"/>
      <c r="W359" s="25"/>
      <c r="Z359" s="39"/>
      <c r="AB359" s="39"/>
      <c r="AD359" s="39"/>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37"/>
      <c r="O360" s="2"/>
      <c r="P360" s="2"/>
      <c r="Q360" s="2"/>
      <c r="R360" s="2"/>
      <c r="S360" s="2"/>
      <c r="V360" s="25"/>
      <c r="W360" s="25"/>
      <c r="Z360" s="39"/>
      <c r="AB360" s="39"/>
      <c r="AD360" s="39"/>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37"/>
      <c r="O361" s="2"/>
      <c r="P361" s="2"/>
      <c r="Q361" s="2"/>
      <c r="R361" s="2"/>
      <c r="S361" s="2"/>
      <c r="V361" s="25"/>
      <c r="W361" s="25"/>
      <c r="Z361" s="39"/>
      <c r="AB361" s="39"/>
      <c r="AD361" s="39"/>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37"/>
      <c r="O362" s="2"/>
      <c r="P362" s="2"/>
      <c r="Q362" s="2"/>
      <c r="R362" s="2"/>
      <c r="S362" s="2"/>
      <c r="V362" s="25"/>
      <c r="W362" s="25"/>
      <c r="Z362" s="39"/>
      <c r="AB362" s="39"/>
      <c r="AD362" s="39"/>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37"/>
      <c r="O363" s="2"/>
      <c r="P363" s="2"/>
      <c r="Q363" s="2"/>
      <c r="R363" s="2"/>
      <c r="S363" s="2"/>
      <c r="V363" s="25"/>
      <c r="W363" s="25"/>
      <c r="Z363" s="39"/>
      <c r="AB363" s="39"/>
      <c r="AD363" s="39"/>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37"/>
      <c r="O364" s="2"/>
      <c r="P364" s="2"/>
      <c r="Q364" s="2"/>
      <c r="R364" s="2"/>
      <c r="S364" s="2"/>
      <c r="V364" s="25"/>
      <c r="W364" s="25"/>
      <c r="Z364" s="39"/>
      <c r="AB364" s="39"/>
      <c r="AD364" s="39"/>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37"/>
      <c r="O365" s="2"/>
      <c r="P365" s="2"/>
      <c r="Q365" s="2"/>
      <c r="R365" s="2"/>
      <c r="S365" s="2"/>
      <c r="V365" s="25"/>
      <c r="W365" s="25"/>
      <c r="Z365" s="39"/>
      <c r="AB365" s="39"/>
      <c r="AD365" s="39"/>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37"/>
      <c r="O366" s="2"/>
      <c r="P366" s="2"/>
      <c r="Q366" s="2"/>
      <c r="R366" s="2"/>
      <c r="S366" s="2"/>
      <c r="V366" s="25"/>
      <c r="W366" s="25"/>
      <c r="Z366" s="39"/>
      <c r="AB366" s="39"/>
      <c r="AD366" s="39"/>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37"/>
      <c r="O367" s="2"/>
      <c r="P367" s="2"/>
      <c r="Q367" s="2"/>
      <c r="R367" s="2"/>
      <c r="S367" s="2"/>
      <c r="V367" s="25"/>
      <c r="W367" s="25"/>
      <c r="Z367" s="39"/>
      <c r="AB367" s="39"/>
      <c r="AD367" s="39"/>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37"/>
      <c r="O368" s="2"/>
      <c r="P368" s="2"/>
      <c r="Q368" s="2"/>
      <c r="R368" s="2"/>
      <c r="S368" s="2"/>
      <c r="V368" s="25"/>
      <c r="W368" s="25"/>
      <c r="Z368" s="39"/>
      <c r="AB368" s="39"/>
      <c r="AD368" s="39"/>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37"/>
      <c r="O369" s="2"/>
      <c r="P369" s="2"/>
      <c r="Q369" s="2"/>
      <c r="R369" s="2"/>
      <c r="S369" s="2"/>
      <c r="V369" s="25"/>
      <c r="W369" s="25"/>
      <c r="Z369" s="39"/>
      <c r="AB369" s="39"/>
      <c r="AD369" s="39"/>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37"/>
      <c r="O370" s="2"/>
      <c r="P370" s="2"/>
      <c r="Q370" s="2"/>
      <c r="R370" s="2"/>
      <c r="S370" s="2"/>
      <c r="V370" s="25"/>
      <c r="W370" s="25"/>
      <c r="Z370" s="39"/>
      <c r="AB370" s="39"/>
      <c r="AD370" s="39"/>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37"/>
      <c r="O371" s="2"/>
      <c r="P371" s="2"/>
      <c r="Q371" s="2"/>
      <c r="R371" s="2"/>
      <c r="S371" s="2"/>
      <c r="V371" s="25"/>
      <c r="W371" s="25"/>
      <c r="Z371" s="39"/>
      <c r="AB371" s="39"/>
      <c r="AD371" s="39"/>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37"/>
      <c r="O372" s="2"/>
      <c r="P372" s="2"/>
      <c r="Q372" s="2"/>
      <c r="R372" s="2"/>
      <c r="S372" s="2"/>
      <c r="V372" s="25"/>
      <c r="W372" s="25"/>
      <c r="Z372" s="39"/>
      <c r="AB372" s="39"/>
      <c r="AD372" s="39"/>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37"/>
      <c r="O373" s="2"/>
      <c r="P373" s="2"/>
      <c r="Q373" s="2"/>
      <c r="R373" s="2"/>
      <c r="S373" s="2"/>
      <c r="V373" s="25"/>
      <c r="W373" s="25"/>
      <c r="Z373" s="39"/>
      <c r="AB373" s="39"/>
      <c r="AD373" s="39"/>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37"/>
      <c r="O374" s="2"/>
      <c r="P374" s="2"/>
      <c r="Q374" s="2"/>
      <c r="R374" s="2"/>
      <c r="S374" s="2"/>
      <c r="V374" s="25"/>
      <c r="W374" s="25"/>
      <c r="Z374" s="39"/>
      <c r="AB374" s="39"/>
      <c r="AD374" s="39"/>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37"/>
      <c r="O375" s="2"/>
      <c r="P375" s="2"/>
      <c r="Q375" s="2"/>
      <c r="R375" s="2"/>
      <c r="S375" s="2"/>
      <c r="V375" s="25"/>
      <c r="W375" s="25"/>
      <c r="Z375" s="39"/>
      <c r="AB375" s="39"/>
      <c r="AD375" s="39"/>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37"/>
      <c r="O376" s="2"/>
      <c r="P376" s="2"/>
      <c r="Q376" s="2"/>
      <c r="R376" s="2"/>
      <c r="S376" s="2"/>
      <c r="V376" s="25"/>
      <c r="W376" s="25"/>
      <c r="Z376" s="39"/>
      <c r="AB376" s="39"/>
      <c r="AD376" s="39"/>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37"/>
      <c r="O377" s="2"/>
      <c r="P377" s="2"/>
      <c r="Q377" s="2"/>
      <c r="R377" s="2"/>
      <c r="S377" s="2"/>
      <c r="V377" s="25"/>
      <c r="W377" s="25"/>
      <c r="Z377" s="39"/>
      <c r="AB377" s="39"/>
      <c r="AD377" s="39"/>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37"/>
      <c r="O378" s="2"/>
      <c r="P378" s="2"/>
      <c r="Q378" s="2"/>
      <c r="R378" s="2"/>
      <c r="S378" s="2"/>
      <c r="V378" s="25"/>
      <c r="W378" s="25"/>
      <c r="Z378" s="39"/>
      <c r="AB378" s="39"/>
      <c r="AD378" s="39"/>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37"/>
      <c r="O379" s="2"/>
      <c r="P379" s="2"/>
      <c r="Q379" s="2"/>
      <c r="R379" s="2"/>
      <c r="S379" s="2"/>
      <c r="V379" s="25"/>
      <c r="W379" s="25"/>
      <c r="Z379" s="39"/>
      <c r="AB379" s="39"/>
      <c r="AD379" s="39"/>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37"/>
      <c r="O380" s="2"/>
      <c r="P380" s="2"/>
      <c r="Q380" s="2"/>
      <c r="R380" s="2"/>
      <c r="S380" s="2"/>
      <c r="V380" s="25"/>
      <c r="W380" s="25"/>
      <c r="Z380" s="39"/>
      <c r="AB380" s="39"/>
      <c r="AD380" s="39"/>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37"/>
      <c r="O381" s="2"/>
      <c r="P381" s="2"/>
      <c r="Q381" s="2"/>
      <c r="R381" s="2"/>
      <c r="S381" s="2"/>
      <c r="V381" s="25"/>
      <c r="W381" s="25"/>
      <c r="Z381" s="39"/>
      <c r="AB381" s="39"/>
      <c r="AD381" s="39"/>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37"/>
      <c r="O382" s="2"/>
      <c r="P382" s="2"/>
      <c r="Q382" s="2"/>
      <c r="R382" s="2"/>
      <c r="S382" s="2"/>
      <c r="V382" s="25"/>
      <c r="W382" s="25"/>
      <c r="Z382" s="39"/>
      <c r="AB382" s="39"/>
      <c r="AD382" s="39"/>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37"/>
      <c r="O383" s="2"/>
      <c r="P383" s="2"/>
      <c r="Q383" s="2"/>
      <c r="R383" s="2"/>
      <c r="S383" s="2"/>
      <c r="V383" s="25"/>
      <c r="W383" s="25"/>
      <c r="Z383" s="39"/>
      <c r="AB383" s="39"/>
      <c r="AD383" s="39"/>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37"/>
      <c r="O384" s="2"/>
      <c r="P384" s="2"/>
      <c r="Q384" s="2"/>
      <c r="R384" s="2"/>
      <c r="S384" s="2"/>
      <c r="V384" s="25"/>
      <c r="W384" s="25"/>
      <c r="Z384" s="39"/>
      <c r="AB384" s="39"/>
      <c r="AD384" s="39"/>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37"/>
      <c r="O385" s="2"/>
      <c r="P385" s="2"/>
      <c r="Q385" s="2"/>
      <c r="R385" s="2"/>
      <c r="S385" s="2"/>
      <c r="V385" s="25"/>
      <c r="W385" s="25"/>
      <c r="Z385" s="39"/>
      <c r="AB385" s="39"/>
      <c r="AD385" s="39"/>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37"/>
      <c r="O386" s="2"/>
      <c r="P386" s="2"/>
      <c r="Q386" s="2"/>
      <c r="R386" s="2"/>
      <c r="S386" s="2"/>
      <c r="V386" s="25"/>
      <c r="W386" s="25"/>
      <c r="Z386" s="39"/>
      <c r="AB386" s="39"/>
      <c r="AD386" s="39"/>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37"/>
      <c r="O387" s="2"/>
      <c r="P387" s="2"/>
      <c r="Q387" s="2"/>
      <c r="R387" s="2"/>
      <c r="S387" s="2"/>
      <c r="V387" s="25"/>
      <c r="W387" s="25"/>
      <c r="Z387" s="39"/>
      <c r="AB387" s="39"/>
      <c r="AD387" s="39"/>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37"/>
      <c r="O388" s="2"/>
      <c r="P388" s="2"/>
      <c r="Q388" s="2"/>
      <c r="R388" s="2"/>
      <c r="S388" s="2"/>
      <c r="V388" s="25"/>
      <c r="W388" s="25"/>
      <c r="Z388" s="39"/>
      <c r="AB388" s="39"/>
      <c r="AD388" s="39"/>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37"/>
      <c r="O389" s="2"/>
      <c r="P389" s="2"/>
      <c r="Q389" s="2"/>
      <c r="R389" s="2"/>
      <c r="S389" s="2"/>
      <c r="V389" s="25"/>
      <c r="W389" s="25"/>
      <c r="Z389" s="39"/>
      <c r="AB389" s="39"/>
      <c r="AD389" s="39"/>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37"/>
      <c r="O390" s="2"/>
      <c r="P390" s="2"/>
      <c r="Q390" s="2"/>
      <c r="R390" s="2"/>
      <c r="S390" s="2"/>
      <c r="V390" s="25"/>
      <c r="W390" s="25"/>
      <c r="Z390" s="39"/>
      <c r="AB390" s="39"/>
      <c r="AD390" s="39"/>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37"/>
      <c r="O391" s="2"/>
      <c r="P391" s="2"/>
      <c r="Q391" s="2"/>
      <c r="R391" s="2"/>
      <c r="S391" s="2"/>
      <c r="V391" s="25"/>
      <c r="W391" s="25"/>
      <c r="Z391" s="39"/>
      <c r="AB391" s="39"/>
      <c r="AD391" s="39"/>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37"/>
      <c r="O392" s="2"/>
      <c r="P392" s="2"/>
      <c r="Q392" s="2"/>
      <c r="R392" s="2"/>
      <c r="S392" s="2"/>
      <c r="V392" s="25"/>
      <c r="W392" s="25"/>
      <c r="Z392" s="39"/>
      <c r="AB392" s="39"/>
      <c r="AD392" s="39"/>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37"/>
      <c r="O393" s="2"/>
      <c r="P393" s="2"/>
      <c r="Q393" s="2"/>
      <c r="R393" s="2"/>
      <c r="S393" s="2"/>
      <c r="V393" s="25"/>
      <c r="W393" s="25"/>
      <c r="Z393" s="39"/>
      <c r="AB393" s="39"/>
      <c r="AD393" s="39"/>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37"/>
      <c r="O394" s="2"/>
      <c r="P394" s="2"/>
      <c r="Q394" s="2"/>
      <c r="R394" s="2"/>
      <c r="S394" s="2"/>
      <c r="V394" s="25"/>
      <c r="W394" s="25"/>
      <c r="Z394" s="39"/>
      <c r="AB394" s="39"/>
      <c r="AD394" s="39"/>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37"/>
      <c r="O395" s="2"/>
      <c r="P395" s="2"/>
      <c r="Q395" s="2"/>
      <c r="R395" s="2"/>
      <c r="S395" s="2"/>
      <c r="V395" s="25"/>
      <c r="W395" s="25"/>
      <c r="Z395" s="39"/>
      <c r="AB395" s="39"/>
      <c r="AD395" s="39"/>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37"/>
      <c r="O396" s="2"/>
      <c r="P396" s="2"/>
      <c r="Q396" s="2"/>
      <c r="R396" s="2"/>
      <c r="S396" s="2"/>
      <c r="V396" s="25"/>
      <c r="W396" s="25"/>
      <c r="Z396" s="39"/>
      <c r="AB396" s="39"/>
      <c r="AD396" s="39"/>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37"/>
      <c r="O397" s="2"/>
      <c r="P397" s="2"/>
      <c r="Q397" s="2"/>
      <c r="R397" s="2"/>
      <c r="S397" s="2"/>
      <c r="V397" s="25"/>
      <c r="W397" s="25"/>
      <c r="Z397" s="39"/>
      <c r="AB397" s="39"/>
      <c r="AD397" s="39"/>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37"/>
      <c r="O398" s="2"/>
      <c r="P398" s="2"/>
      <c r="Q398" s="2"/>
      <c r="R398" s="2"/>
      <c r="S398" s="2"/>
      <c r="V398" s="25"/>
      <c r="W398" s="25"/>
      <c r="Z398" s="39"/>
      <c r="AB398" s="39"/>
      <c r="AD398" s="39"/>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37"/>
      <c r="O399" s="2"/>
      <c r="P399" s="2"/>
      <c r="Q399" s="2"/>
      <c r="R399" s="2"/>
      <c r="S399" s="2"/>
      <c r="V399" s="25"/>
      <c r="W399" s="25"/>
      <c r="Z399" s="39"/>
      <c r="AB399" s="39"/>
      <c r="AD399" s="39"/>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37"/>
      <c r="O400" s="2"/>
      <c r="P400" s="2"/>
      <c r="Q400" s="2"/>
      <c r="R400" s="2"/>
      <c r="S400" s="2"/>
      <c r="V400" s="25"/>
      <c r="W400" s="25"/>
      <c r="Z400" s="39"/>
      <c r="AB400" s="39"/>
      <c r="AD400" s="39"/>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37"/>
      <c r="O401" s="2"/>
      <c r="P401" s="2"/>
      <c r="Q401" s="2"/>
      <c r="R401" s="2"/>
      <c r="S401" s="2"/>
      <c r="V401" s="25"/>
      <c r="W401" s="25"/>
      <c r="Z401" s="39"/>
      <c r="AB401" s="39"/>
      <c r="AD401" s="39"/>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37"/>
      <c r="O402" s="2"/>
      <c r="P402" s="2"/>
      <c r="Q402" s="2"/>
      <c r="R402" s="2"/>
      <c r="S402" s="2"/>
      <c r="V402" s="25"/>
      <c r="W402" s="25"/>
      <c r="Z402" s="39"/>
      <c r="AB402" s="39"/>
      <c r="AD402" s="39"/>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37"/>
      <c r="O403" s="2"/>
      <c r="P403" s="2"/>
      <c r="Q403" s="2"/>
      <c r="R403" s="2"/>
      <c r="S403" s="2"/>
      <c r="V403" s="25"/>
      <c r="W403" s="25"/>
      <c r="Z403" s="39"/>
      <c r="AB403" s="39"/>
      <c r="AD403" s="39"/>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37"/>
      <c r="O404" s="2"/>
      <c r="P404" s="2"/>
      <c r="Q404" s="2"/>
      <c r="R404" s="2"/>
      <c r="S404" s="2"/>
      <c r="V404" s="25"/>
      <c r="W404" s="25"/>
      <c r="Z404" s="39"/>
      <c r="AB404" s="39"/>
      <c r="AD404" s="39"/>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37"/>
      <c r="O405" s="2"/>
      <c r="P405" s="2"/>
      <c r="Q405" s="2"/>
      <c r="R405" s="2"/>
      <c r="S405" s="2"/>
      <c r="V405" s="25"/>
      <c r="W405" s="25"/>
      <c r="Z405" s="39"/>
      <c r="AB405" s="39"/>
      <c r="AD405" s="39"/>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37"/>
      <c r="O406" s="2"/>
      <c r="P406" s="2"/>
      <c r="Q406" s="2"/>
      <c r="R406" s="2"/>
      <c r="S406" s="2"/>
      <c r="V406" s="25"/>
      <c r="W406" s="25"/>
      <c r="Z406" s="39"/>
      <c r="AB406" s="39"/>
      <c r="AD406" s="39"/>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37"/>
      <c r="O407" s="2"/>
      <c r="P407" s="2"/>
      <c r="Q407" s="2"/>
      <c r="R407" s="2"/>
      <c r="S407" s="2"/>
      <c r="V407" s="25"/>
      <c r="W407" s="25"/>
      <c r="Z407" s="39"/>
      <c r="AB407" s="39"/>
      <c r="AD407" s="39"/>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37"/>
      <c r="O408" s="2"/>
      <c r="P408" s="2"/>
      <c r="Q408" s="2"/>
      <c r="R408" s="2"/>
      <c r="S408" s="2"/>
      <c r="V408" s="25"/>
      <c r="W408" s="25"/>
      <c r="Z408" s="39"/>
      <c r="AB408" s="39"/>
      <c r="AD408" s="39"/>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37"/>
      <c r="O409" s="2"/>
      <c r="P409" s="2"/>
      <c r="Q409" s="2"/>
      <c r="R409" s="2"/>
      <c r="S409" s="2"/>
      <c r="V409" s="25"/>
      <c r="W409" s="25"/>
      <c r="Z409" s="39"/>
      <c r="AB409" s="39"/>
      <c r="AD409" s="39"/>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37"/>
      <c r="O410" s="2"/>
      <c r="P410" s="2"/>
      <c r="Q410" s="2"/>
      <c r="R410" s="2"/>
      <c r="S410" s="2"/>
      <c r="V410" s="25"/>
      <c r="W410" s="25"/>
      <c r="Z410" s="39"/>
      <c r="AB410" s="39"/>
      <c r="AD410" s="39"/>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37"/>
      <c r="O411" s="2"/>
      <c r="P411" s="2"/>
      <c r="Q411" s="2"/>
      <c r="R411" s="2"/>
      <c r="S411" s="2"/>
      <c r="V411" s="25"/>
      <c r="W411" s="25"/>
      <c r="Z411" s="39"/>
      <c r="AB411" s="39"/>
      <c r="AD411" s="39"/>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37"/>
      <c r="O412" s="2"/>
      <c r="P412" s="2"/>
      <c r="Q412" s="2"/>
      <c r="R412" s="2"/>
      <c r="S412" s="2"/>
      <c r="V412" s="25"/>
      <c r="W412" s="25"/>
      <c r="Z412" s="39"/>
      <c r="AB412" s="39"/>
      <c r="AD412" s="39"/>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37"/>
      <c r="O413" s="2"/>
      <c r="P413" s="2"/>
      <c r="Q413" s="2"/>
      <c r="R413" s="2"/>
      <c r="S413" s="2"/>
      <c r="V413" s="25"/>
      <c r="W413" s="25"/>
      <c r="Z413" s="39"/>
      <c r="AB413" s="39"/>
      <c r="AD413" s="39"/>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37"/>
      <c r="O414" s="2"/>
      <c r="P414" s="2"/>
      <c r="Q414" s="2"/>
      <c r="R414" s="2"/>
      <c r="S414" s="2"/>
      <c r="V414" s="25"/>
      <c r="W414" s="25"/>
      <c r="Z414" s="39"/>
      <c r="AB414" s="39"/>
      <c r="AD414" s="39"/>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37"/>
      <c r="O415" s="2"/>
      <c r="P415" s="2"/>
      <c r="Q415" s="2"/>
      <c r="R415" s="2"/>
      <c r="S415" s="2"/>
      <c r="V415" s="25"/>
      <c r="W415" s="25"/>
      <c r="Z415" s="39"/>
      <c r="AB415" s="39"/>
      <c r="AD415" s="39"/>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37"/>
      <c r="O416" s="2"/>
      <c r="P416" s="2"/>
      <c r="Q416" s="2"/>
      <c r="R416" s="2"/>
      <c r="S416" s="2"/>
      <c r="V416" s="25"/>
      <c r="W416" s="25"/>
      <c r="Z416" s="39"/>
      <c r="AB416" s="39"/>
      <c r="AD416" s="39"/>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37"/>
      <c r="O417" s="2"/>
      <c r="P417" s="2"/>
      <c r="Q417" s="2"/>
      <c r="R417" s="2"/>
      <c r="S417" s="2"/>
      <c r="V417" s="25"/>
      <c r="W417" s="25"/>
      <c r="Z417" s="39"/>
      <c r="AB417" s="39"/>
      <c r="AD417" s="39"/>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37"/>
      <c r="O418" s="2"/>
      <c r="P418" s="2"/>
      <c r="Q418" s="2"/>
      <c r="R418" s="2"/>
      <c r="S418" s="2"/>
      <c r="V418" s="25"/>
      <c r="W418" s="25"/>
      <c r="Z418" s="39"/>
      <c r="AB418" s="39"/>
      <c r="AD418" s="39"/>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37"/>
      <c r="O419" s="2"/>
      <c r="P419" s="2"/>
      <c r="Q419" s="2"/>
      <c r="R419" s="2"/>
      <c r="S419" s="2"/>
      <c r="V419" s="25"/>
      <c r="W419" s="25"/>
      <c r="Z419" s="39"/>
      <c r="AB419" s="39"/>
      <c r="AD419" s="39"/>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37"/>
      <c r="O420" s="2"/>
      <c r="P420" s="2"/>
      <c r="Q420" s="2"/>
      <c r="R420" s="2"/>
      <c r="S420" s="2"/>
      <c r="V420" s="25"/>
      <c r="W420" s="25"/>
      <c r="Z420" s="39"/>
      <c r="AB420" s="39"/>
      <c r="AD420" s="39"/>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37"/>
      <c r="O421" s="2"/>
      <c r="P421" s="2"/>
      <c r="Q421" s="2"/>
      <c r="R421" s="2"/>
      <c r="S421" s="2"/>
      <c r="V421" s="25"/>
      <c r="W421" s="25"/>
      <c r="Z421" s="39"/>
      <c r="AB421" s="39"/>
      <c r="AD421" s="39"/>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37"/>
      <c r="O422" s="2"/>
      <c r="P422" s="2"/>
      <c r="Q422" s="2"/>
      <c r="R422" s="2"/>
      <c r="S422" s="2"/>
      <c r="V422" s="25"/>
      <c r="W422" s="25"/>
      <c r="Z422" s="39"/>
      <c r="AB422" s="39"/>
      <c r="AD422" s="39"/>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37"/>
      <c r="O423" s="2"/>
      <c r="P423" s="2"/>
      <c r="Q423" s="2"/>
      <c r="R423" s="2"/>
      <c r="S423" s="2"/>
      <c r="V423" s="25"/>
      <c r="W423" s="25"/>
      <c r="Z423" s="39"/>
      <c r="AB423" s="39"/>
      <c r="AD423" s="39"/>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37"/>
      <c r="O424" s="2"/>
      <c r="P424" s="2"/>
      <c r="Q424" s="2"/>
      <c r="R424" s="2"/>
      <c r="S424" s="2"/>
      <c r="V424" s="25"/>
      <c r="W424" s="25"/>
      <c r="Z424" s="39"/>
      <c r="AB424" s="39"/>
      <c r="AD424" s="39"/>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37"/>
      <c r="O425" s="2"/>
      <c r="P425" s="2"/>
      <c r="Q425" s="2"/>
      <c r="R425" s="2"/>
      <c r="S425" s="2"/>
      <c r="V425" s="25"/>
      <c r="W425" s="25"/>
      <c r="Z425" s="39"/>
      <c r="AB425" s="39"/>
      <c r="AD425" s="39"/>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37"/>
      <c r="O426" s="2"/>
      <c r="P426" s="2"/>
      <c r="Q426" s="2"/>
      <c r="R426" s="2"/>
      <c r="S426" s="2"/>
      <c r="V426" s="25"/>
      <c r="W426" s="25"/>
      <c r="Z426" s="39"/>
      <c r="AB426" s="39"/>
      <c r="AD426" s="39"/>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37"/>
      <c r="O427" s="2"/>
      <c r="P427" s="2"/>
      <c r="Q427" s="2"/>
      <c r="R427" s="2"/>
      <c r="S427" s="2"/>
      <c r="V427" s="25"/>
      <c r="W427" s="25"/>
      <c r="Z427" s="39"/>
      <c r="AB427" s="39"/>
      <c r="AD427" s="39"/>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37"/>
      <c r="O428" s="2"/>
      <c r="P428" s="2"/>
      <c r="Q428" s="2"/>
      <c r="R428" s="2"/>
      <c r="S428" s="2"/>
      <c r="V428" s="25"/>
      <c r="W428" s="25"/>
      <c r="Z428" s="39"/>
      <c r="AB428" s="39"/>
      <c r="AD428" s="39"/>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37"/>
      <c r="O429" s="2"/>
      <c r="P429" s="2"/>
      <c r="Q429" s="2"/>
      <c r="R429" s="2"/>
      <c r="S429" s="2"/>
      <c r="V429" s="25"/>
      <c r="W429" s="25"/>
      <c r="Z429" s="39"/>
      <c r="AB429" s="39"/>
      <c r="AD429" s="39"/>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37"/>
      <c r="O430" s="2"/>
      <c r="P430" s="2"/>
      <c r="Q430" s="2"/>
      <c r="R430" s="2"/>
      <c r="S430" s="2"/>
      <c r="V430" s="25"/>
      <c r="W430" s="25"/>
      <c r="Z430" s="39"/>
      <c r="AB430" s="39"/>
      <c r="AD430" s="39"/>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37"/>
      <c r="O431" s="2"/>
      <c r="P431" s="2"/>
      <c r="Q431" s="2"/>
      <c r="R431" s="2"/>
      <c r="S431" s="2"/>
      <c r="V431" s="25"/>
      <c r="W431" s="25"/>
      <c r="Z431" s="39"/>
      <c r="AB431" s="39"/>
      <c r="AD431" s="39"/>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37"/>
      <c r="O432" s="2"/>
      <c r="P432" s="2"/>
      <c r="Q432" s="2"/>
      <c r="R432" s="2"/>
      <c r="S432" s="2"/>
      <c r="V432" s="25"/>
      <c r="W432" s="25"/>
      <c r="Z432" s="39"/>
      <c r="AB432" s="39"/>
      <c r="AD432" s="39"/>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37"/>
      <c r="O433" s="2"/>
      <c r="P433" s="2"/>
      <c r="Q433" s="2"/>
      <c r="R433" s="2"/>
      <c r="S433" s="2"/>
      <c r="V433" s="25"/>
      <c r="W433" s="25"/>
      <c r="Z433" s="39"/>
      <c r="AB433" s="39"/>
      <c r="AD433" s="39"/>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37"/>
      <c r="O434" s="2"/>
      <c r="P434" s="2"/>
      <c r="Q434" s="2"/>
      <c r="R434" s="2"/>
      <c r="S434" s="2"/>
      <c r="V434" s="25"/>
      <c r="W434" s="25"/>
      <c r="Z434" s="39"/>
      <c r="AB434" s="39"/>
      <c r="AD434" s="39"/>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37"/>
      <c r="O435" s="2"/>
      <c r="P435" s="2"/>
      <c r="Q435" s="2"/>
      <c r="R435" s="2"/>
      <c r="S435" s="2"/>
      <c r="V435" s="25"/>
      <c r="W435" s="25"/>
      <c r="Z435" s="39"/>
      <c r="AB435" s="39"/>
      <c r="AD435" s="39"/>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37"/>
      <c r="O436" s="2"/>
      <c r="P436" s="2"/>
      <c r="Q436" s="2"/>
      <c r="R436" s="2"/>
      <c r="S436" s="2"/>
      <c r="V436" s="25"/>
      <c r="W436" s="25"/>
      <c r="Z436" s="39"/>
      <c r="AB436" s="39"/>
      <c r="AD436" s="39"/>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37"/>
      <c r="O437" s="2"/>
      <c r="P437" s="2"/>
      <c r="Q437" s="2"/>
      <c r="R437" s="2"/>
      <c r="S437" s="2"/>
      <c r="V437" s="25"/>
      <c r="W437" s="25"/>
      <c r="Z437" s="39"/>
      <c r="AB437" s="39"/>
      <c r="AD437" s="39"/>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37"/>
      <c r="O438" s="2"/>
      <c r="P438" s="2"/>
      <c r="Q438" s="2"/>
      <c r="R438" s="2"/>
      <c r="S438" s="2"/>
      <c r="V438" s="25"/>
      <c r="W438" s="25"/>
      <c r="Z438" s="39"/>
      <c r="AB438" s="39"/>
      <c r="AD438" s="39"/>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37"/>
      <c r="O439" s="2"/>
      <c r="P439" s="2"/>
      <c r="Q439" s="2"/>
      <c r="R439" s="2"/>
      <c r="S439" s="2"/>
      <c r="V439" s="25"/>
      <c r="W439" s="25"/>
      <c r="Z439" s="39"/>
      <c r="AB439" s="39"/>
      <c r="AD439" s="39"/>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37"/>
      <c r="O440" s="2"/>
      <c r="P440" s="2"/>
      <c r="Q440" s="2"/>
      <c r="R440" s="2"/>
      <c r="S440" s="2"/>
      <c r="V440" s="25"/>
      <c r="W440" s="25"/>
      <c r="Z440" s="39"/>
      <c r="AB440" s="39"/>
      <c r="AD440" s="39"/>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37"/>
      <c r="O441" s="2"/>
      <c r="P441" s="2"/>
      <c r="Q441" s="2"/>
      <c r="R441" s="2"/>
      <c r="S441" s="2"/>
      <c r="V441" s="25"/>
      <c r="W441" s="25"/>
      <c r="Z441" s="39"/>
      <c r="AB441" s="39"/>
      <c r="AD441" s="39"/>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37"/>
      <c r="O442" s="2"/>
      <c r="P442" s="2"/>
      <c r="Q442" s="2"/>
      <c r="R442" s="2"/>
      <c r="S442" s="2"/>
      <c r="V442" s="25"/>
      <c r="W442" s="25"/>
      <c r="Z442" s="39"/>
      <c r="AB442" s="39"/>
      <c r="AD442" s="39"/>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37"/>
      <c r="O443" s="2"/>
      <c r="P443" s="2"/>
      <c r="Q443" s="2"/>
      <c r="R443" s="2"/>
      <c r="S443" s="2"/>
      <c r="V443" s="25"/>
      <c r="W443" s="25"/>
      <c r="Z443" s="39"/>
      <c r="AB443" s="39"/>
      <c r="AD443" s="39"/>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37"/>
      <c r="O444" s="2"/>
      <c r="P444" s="2"/>
      <c r="Q444" s="2"/>
      <c r="R444" s="2"/>
      <c r="S444" s="2"/>
      <c r="V444" s="25"/>
      <c r="W444" s="25"/>
      <c r="Z444" s="39"/>
      <c r="AB444" s="39"/>
      <c r="AD444" s="39"/>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37"/>
      <c r="O445" s="2"/>
      <c r="P445" s="2"/>
      <c r="Q445" s="2"/>
      <c r="R445" s="2"/>
      <c r="S445" s="2"/>
      <c r="V445" s="25"/>
      <c r="W445" s="25"/>
      <c r="Z445" s="39"/>
      <c r="AB445" s="39"/>
      <c r="AD445" s="39"/>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37"/>
      <c r="O446" s="2"/>
      <c r="P446" s="2"/>
      <c r="Q446" s="2"/>
      <c r="R446" s="2"/>
      <c r="S446" s="2"/>
      <c r="V446" s="25"/>
      <c r="W446" s="25"/>
      <c r="Z446" s="39"/>
      <c r="AB446" s="39"/>
      <c r="AD446" s="39"/>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37"/>
      <c r="O447" s="2"/>
      <c r="P447" s="2"/>
      <c r="Q447" s="2"/>
      <c r="R447" s="2"/>
      <c r="S447" s="2"/>
      <c r="V447" s="25"/>
      <c r="W447" s="25"/>
      <c r="Z447" s="39"/>
      <c r="AB447" s="39"/>
      <c r="AD447" s="39"/>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37"/>
      <c r="O448" s="2"/>
      <c r="P448" s="2"/>
      <c r="Q448" s="2"/>
      <c r="R448" s="2"/>
      <c r="S448" s="2"/>
      <c r="V448" s="25"/>
      <c r="W448" s="25"/>
      <c r="Z448" s="39"/>
      <c r="AB448" s="39"/>
      <c r="AD448" s="39"/>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37"/>
      <c r="O449" s="2"/>
      <c r="P449" s="2"/>
      <c r="Q449" s="2"/>
      <c r="R449" s="2"/>
      <c r="S449" s="2"/>
      <c r="V449" s="25"/>
      <c r="W449" s="25"/>
      <c r="Z449" s="39"/>
      <c r="AB449" s="39"/>
      <c r="AD449" s="39"/>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37"/>
      <c r="O450" s="2"/>
      <c r="P450" s="2"/>
      <c r="Q450" s="2"/>
      <c r="R450" s="2"/>
      <c r="S450" s="2"/>
      <c r="V450" s="25"/>
      <c r="W450" s="25"/>
      <c r="Z450" s="39"/>
      <c r="AB450" s="39"/>
      <c r="AD450" s="39"/>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37"/>
      <c r="O451" s="2"/>
      <c r="P451" s="2"/>
      <c r="Q451" s="2"/>
      <c r="R451" s="2"/>
      <c r="S451" s="2"/>
      <c r="V451" s="25"/>
      <c r="W451" s="25"/>
      <c r="Z451" s="39"/>
      <c r="AB451" s="39"/>
      <c r="AD451" s="39"/>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37"/>
      <c r="O452" s="2"/>
      <c r="P452" s="2"/>
      <c r="Q452" s="2"/>
      <c r="R452" s="2"/>
      <c r="S452" s="2"/>
      <c r="V452" s="25"/>
      <c r="W452" s="25"/>
      <c r="Z452" s="39"/>
      <c r="AB452" s="39"/>
      <c r="AD452" s="39"/>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37"/>
      <c r="O453" s="2"/>
      <c r="P453" s="2"/>
      <c r="Q453" s="2"/>
      <c r="R453" s="2"/>
      <c r="S453" s="2"/>
      <c r="V453" s="25"/>
      <c r="W453" s="25"/>
      <c r="Z453" s="39"/>
      <c r="AB453" s="39"/>
      <c r="AD453" s="39"/>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37"/>
      <c r="O454" s="2"/>
      <c r="P454" s="2"/>
      <c r="Q454" s="2"/>
      <c r="R454" s="2"/>
      <c r="S454" s="2"/>
      <c r="V454" s="25"/>
      <c r="W454" s="25"/>
      <c r="Z454" s="39"/>
      <c r="AB454" s="39"/>
      <c r="AD454" s="39"/>
      <c r="AF454" s="12"/>
      <c r="AG454" s="2"/>
      <c r="AH454" s="2"/>
      <c r="AI454" s="2"/>
      <c r="AJ454" s="2"/>
      <c r="AK454" s="2"/>
      <c r="AL454" s="2"/>
      <c r="AM454" s="2"/>
      <c r="AN454" s="2"/>
      <c r="AO454" s="2"/>
      <c r="AP454" s="2"/>
      <c r="AQ454" s="2"/>
      <c r="AR454" s="2"/>
    </row>
  </sheetData>
  <mergeCells count="40">
    <mergeCell ref="AF44:AF46"/>
    <mergeCell ref="X3:Y3"/>
    <mergeCell ref="AF26:AF27"/>
    <mergeCell ref="AF18:AF21"/>
    <mergeCell ref="Z3:AA3"/>
    <mergeCell ref="AF3:AF4"/>
    <mergeCell ref="AF8:AF11"/>
    <mergeCell ref="AF13:AF16"/>
    <mergeCell ref="T3:U3"/>
    <mergeCell ref="V3:W3"/>
    <mergeCell ref="B77:F77"/>
    <mergeCell ref="B78:G78"/>
    <mergeCell ref="AF57:AF60"/>
    <mergeCell ref="A76:C76"/>
    <mergeCell ref="A75:K75"/>
    <mergeCell ref="A74:P74"/>
    <mergeCell ref="AF62:AF65"/>
    <mergeCell ref="AF22:AF25"/>
    <mergeCell ref="P3:Q3"/>
    <mergeCell ref="R3:S3"/>
    <mergeCell ref="AF52:AF55"/>
    <mergeCell ref="AF32:AF35"/>
    <mergeCell ref="AF36:AF42"/>
    <mergeCell ref="AF47:AF50"/>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s>
  <printOptions horizontalCentered="1"/>
  <pageMargins left="0.19685039370078741" right="0.19685039370078741" top="0.19685039370078741" bottom="0.19685039370078741" header="0.31496062992125984" footer="0.19685039370078741"/>
  <pageSetup paperSize="9" scale="47" fitToWidth="2" fitToHeight="0" pageOrder="overThenDown" orientation="landscape" r:id="rId1"/>
  <rowBreaks count="3" manualBreakCount="3">
    <brk id="18" max="32" man="1"/>
    <brk id="40" max="32" man="1"/>
    <brk id="61" max="32" man="1"/>
  </rowBreaks>
  <colBreaks count="1" manualBreakCount="1">
    <brk id="19" max="77" man="1"/>
  </colBreaks>
  <ignoredErrors>
    <ignoredError sqref="B70 B46 D66 F47:G47 B66 D69:D70 F70:G70 C44:C45 D46:E46 F44 D30 F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2018-12-05T09:40:59Z</cp:lastPrinted>
  <dcterms:created xsi:type="dcterms:W3CDTF">1996-10-08T23:32:33Z</dcterms:created>
  <dcterms:modified xsi:type="dcterms:W3CDTF">2018-12-18T03:39:32Z</dcterms:modified>
</cp:coreProperties>
</file>