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905" windowWidth="19320" windowHeight="10800" tabRatio="597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8 " sheetId="15" r:id="rId4"/>
  </sheets>
  <definedNames>
    <definedName name="_xlnm.Print_Titles" localSheetId="3">'сетевой 2018 '!$A:$A,'сетевой 2018 '!$4:$5</definedName>
    <definedName name="_xlnm.Print_Area" localSheetId="3">'сетевой 2018 '!$A:$AF</definedName>
  </definedNames>
  <calcPr calcId="145621"/>
</workbook>
</file>

<file path=xl/calcChain.xml><?xml version="1.0" encoding="utf-8"?>
<calcChain xmlns="http://schemas.openxmlformats.org/spreadsheetml/2006/main">
  <c r="G23" i="15" l="1"/>
  <c r="G21" i="15"/>
  <c r="G18" i="15"/>
  <c r="E27" i="15" l="1"/>
  <c r="E26" i="15"/>
  <c r="E46" i="15"/>
  <c r="E44" i="15"/>
  <c r="E34" i="15"/>
  <c r="E32" i="15"/>
  <c r="E31" i="15"/>
  <c r="E20" i="15"/>
  <c r="E18" i="15"/>
  <c r="E16" i="15"/>
  <c r="E15" i="15"/>
  <c r="E68" i="15" l="1"/>
  <c r="E62" i="15"/>
  <c r="E60" i="15"/>
  <c r="E59" i="15"/>
  <c r="O81" i="15"/>
  <c r="D81" i="15"/>
  <c r="D62" i="15"/>
  <c r="D60" i="15"/>
  <c r="D46" i="15"/>
  <c r="D32" i="15"/>
  <c r="D31" i="15"/>
  <c r="D27" i="15"/>
  <c r="D26" i="15"/>
  <c r="D18" i="15"/>
  <c r="C44" i="15"/>
  <c r="C16" i="15"/>
  <c r="C15" i="15"/>
  <c r="AB27" i="15" l="1"/>
  <c r="J32" i="15"/>
  <c r="C32" i="15" s="1"/>
  <c r="L32" i="15"/>
  <c r="N32" i="15"/>
  <c r="P32" i="15"/>
  <c r="R32" i="15"/>
  <c r="Z27" i="15"/>
  <c r="X27" i="15"/>
  <c r="P27" i="15"/>
  <c r="L27" i="15"/>
  <c r="J27" i="15"/>
  <c r="N27" i="15"/>
  <c r="V16" i="15"/>
  <c r="R16" i="15"/>
  <c r="C27" i="15" l="1"/>
  <c r="AD81" i="15"/>
  <c r="AB81" i="15"/>
  <c r="Z81" i="15"/>
  <c r="X81" i="15"/>
  <c r="V81" i="15"/>
  <c r="T81" i="15"/>
  <c r="P81" i="15"/>
  <c r="N81" i="15"/>
  <c r="L81" i="15"/>
  <c r="D37" i="15"/>
  <c r="D20" i="15" l="1"/>
  <c r="E58" i="15" l="1"/>
  <c r="E14" i="15"/>
  <c r="J81" i="15" l="1"/>
  <c r="AB60" i="15"/>
  <c r="Z60" i="15"/>
  <c r="X60" i="15"/>
  <c r="V60" i="15"/>
  <c r="T60" i="15"/>
  <c r="R60" i="15"/>
  <c r="P60" i="15"/>
  <c r="N60" i="15"/>
  <c r="C60" i="15" s="1"/>
  <c r="G60" i="15" s="1"/>
  <c r="Z32" i="15"/>
  <c r="X32" i="15"/>
  <c r="V32" i="15"/>
  <c r="T32" i="15"/>
  <c r="G27" i="15"/>
  <c r="T16" i="15"/>
  <c r="G32" i="15" l="1"/>
  <c r="I81" i="15" l="1"/>
  <c r="E81" i="15" s="1"/>
  <c r="R81" i="15" l="1"/>
  <c r="H81" i="15"/>
  <c r="Z62" i="15"/>
  <c r="X62" i="15"/>
  <c r="V62" i="15"/>
  <c r="V59" i="15"/>
  <c r="T62" i="15"/>
  <c r="T59" i="15"/>
  <c r="R62" i="15"/>
  <c r="R59" i="15"/>
  <c r="P62" i="15"/>
  <c r="P59" i="15"/>
  <c r="N62" i="15"/>
  <c r="L62" i="15"/>
  <c r="C62" i="15" l="1"/>
  <c r="G62" i="15" s="1"/>
  <c r="G81" i="15"/>
  <c r="C81" i="15"/>
  <c r="N59" i="15"/>
  <c r="C59" i="15" s="1"/>
  <c r="C65" i="15" l="1"/>
  <c r="AD68" i="15"/>
  <c r="AB68" i="15"/>
  <c r="Z68" i="15"/>
  <c r="X68" i="15"/>
  <c r="V68" i="15"/>
  <c r="T68" i="15"/>
  <c r="R68" i="15"/>
  <c r="P68" i="15"/>
  <c r="N68" i="15"/>
  <c r="L68" i="15"/>
  <c r="J68" i="15"/>
  <c r="V44" i="15"/>
  <c r="T44" i="15"/>
  <c r="R44" i="15"/>
  <c r="V46" i="15"/>
  <c r="T46" i="15"/>
  <c r="R46" i="15"/>
  <c r="N46" i="15"/>
  <c r="C46" i="15" s="1"/>
  <c r="Z31" i="15"/>
  <c r="X31" i="15"/>
  <c r="V34" i="15"/>
  <c r="V31" i="15"/>
  <c r="T31" i="15"/>
  <c r="R31" i="15"/>
  <c r="P34" i="15"/>
  <c r="P31" i="15"/>
  <c r="N31" i="15"/>
  <c r="L31" i="15"/>
  <c r="J34" i="15"/>
  <c r="C34" i="15" s="1"/>
  <c r="G34" i="15" s="1"/>
  <c r="C68" i="15" l="1"/>
  <c r="J31" i="15"/>
  <c r="AB26" i="15"/>
  <c r="Z26" i="15"/>
  <c r="X26" i="15"/>
  <c r="L26" i="15"/>
  <c r="J26" i="15"/>
  <c r="L20" i="15"/>
  <c r="C20" i="15" s="1"/>
  <c r="N18" i="15"/>
  <c r="C18" i="15" s="1"/>
  <c r="V15" i="15"/>
  <c r="T15" i="15"/>
  <c r="R15" i="15"/>
  <c r="D77" i="15"/>
  <c r="K77" i="15"/>
  <c r="M77" i="15"/>
  <c r="O77" i="15"/>
  <c r="Q77" i="15"/>
  <c r="S77" i="15"/>
  <c r="U77" i="15"/>
  <c r="W77" i="15"/>
  <c r="Y77" i="15"/>
  <c r="AA77" i="15"/>
  <c r="AC77" i="15"/>
  <c r="AE77" i="15"/>
  <c r="D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W76" i="15" s="1"/>
  <c r="X78" i="15"/>
  <c r="Y78" i="15"/>
  <c r="Z78" i="15"/>
  <c r="AA78" i="15"/>
  <c r="AB78" i="15"/>
  <c r="AC78" i="15"/>
  <c r="AD78" i="15"/>
  <c r="AE78" i="15"/>
  <c r="E94" i="15"/>
  <c r="E93" i="15" s="1"/>
  <c r="C94" i="15"/>
  <c r="B94" i="15"/>
  <c r="B93" i="15" s="1"/>
  <c r="D93" i="15"/>
  <c r="C93" i="15"/>
  <c r="C90" i="15"/>
  <c r="C89" i="15" s="1"/>
  <c r="B90" i="15"/>
  <c r="D89" i="15"/>
  <c r="B89" i="15"/>
  <c r="E87" i="15"/>
  <c r="E86" i="15" s="1"/>
  <c r="C87" i="15"/>
  <c r="C86" i="15" s="1"/>
  <c r="B87" i="15"/>
  <c r="B86" i="15" s="1"/>
  <c r="D86" i="15"/>
  <c r="N83" i="15"/>
  <c r="C84" i="15"/>
  <c r="C83" i="15" s="1"/>
  <c r="B84" i="15"/>
  <c r="B83" i="15" s="1"/>
  <c r="D83" i="15"/>
  <c r="D80" i="15"/>
  <c r="E74" i="15"/>
  <c r="C74" i="15"/>
  <c r="C73" i="15" s="1"/>
  <c r="D65" i="15"/>
  <c r="D64" i="15"/>
  <c r="D70" i="15" s="1"/>
  <c r="E64" i="15"/>
  <c r="E70" i="15" s="1"/>
  <c r="C64" i="15"/>
  <c r="C70" i="15" s="1"/>
  <c r="H23" i="15"/>
  <c r="I22" i="15"/>
  <c r="H22" i="15"/>
  <c r="D48" i="15"/>
  <c r="AC76" i="15" l="1"/>
  <c r="S76" i="15"/>
  <c r="K76" i="15"/>
  <c r="C31" i="15"/>
  <c r="G31" i="15" s="1"/>
  <c r="U76" i="15"/>
  <c r="Y76" i="15"/>
  <c r="Q76" i="15"/>
  <c r="D68" i="15"/>
  <c r="G68" i="15"/>
  <c r="AG68" i="15"/>
  <c r="M76" i="15"/>
  <c r="D76" i="15"/>
  <c r="AA76" i="15"/>
  <c r="AE76" i="15"/>
  <c r="O76" i="15"/>
  <c r="E48" i="15"/>
  <c r="E65" i="15"/>
  <c r="C48" i="15"/>
  <c r="H21" i="15"/>
  <c r="B78" i="15"/>
  <c r="B15" i="15"/>
  <c r="B22" i="15" s="1"/>
  <c r="C63" i="15"/>
  <c r="C71" i="15"/>
  <c r="C78" i="15"/>
  <c r="E71" i="15" l="1"/>
  <c r="E69" i="15" s="1"/>
  <c r="G65" i="15"/>
  <c r="G71" i="15"/>
  <c r="E63" i="15"/>
  <c r="G63" i="15" s="1"/>
  <c r="O23" i="15"/>
  <c r="E90" i="15" l="1"/>
  <c r="E89" i="15" s="1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F89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F86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M83" i="15"/>
  <c r="L83" i="15"/>
  <c r="K83" i="15"/>
  <c r="J83" i="15"/>
  <c r="I83" i="15"/>
  <c r="AE83" i="15"/>
  <c r="AD83" i="15"/>
  <c r="AC83" i="15"/>
  <c r="AD77" i="15"/>
  <c r="AD76" i="15" s="1"/>
  <c r="AB77" i="15"/>
  <c r="AB76" i="15" s="1"/>
  <c r="T77" i="15"/>
  <c r="T76" i="15" s="1"/>
  <c r="N77" i="15"/>
  <c r="N76" i="15" s="1"/>
  <c r="AE80" i="15"/>
  <c r="AC80" i="15"/>
  <c r="AA80" i="15"/>
  <c r="Y80" i="15"/>
  <c r="W80" i="15"/>
  <c r="U80" i="15"/>
  <c r="S80" i="15"/>
  <c r="Q80" i="15"/>
  <c r="O80" i="15"/>
  <c r="M80" i="15"/>
  <c r="K80" i="15"/>
  <c r="E73" i="15"/>
  <c r="D74" i="15"/>
  <c r="D73" i="15" s="1"/>
  <c r="B74" i="15"/>
  <c r="B73" i="15" s="1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F73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B68" i="15"/>
  <c r="AE65" i="15"/>
  <c r="AE71" i="15" s="1"/>
  <c r="AD65" i="15"/>
  <c r="AD71" i="15" s="1"/>
  <c r="AC65" i="15"/>
  <c r="AC71" i="15" s="1"/>
  <c r="AB65" i="15"/>
  <c r="AB71" i="15" s="1"/>
  <c r="AA65" i="15"/>
  <c r="AA71" i="15" s="1"/>
  <c r="Z65" i="15"/>
  <c r="Z71" i="15" s="1"/>
  <c r="Y65" i="15"/>
  <c r="Y71" i="15" s="1"/>
  <c r="W65" i="15"/>
  <c r="W71" i="15" s="1"/>
  <c r="V65" i="15"/>
  <c r="V71" i="15" s="1"/>
  <c r="U65" i="15"/>
  <c r="U71" i="15" s="1"/>
  <c r="T65" i="15"/>
  <c r="T71" i="15" s="1"/>
  <c r="S65" i="15"/>
  <c r="S71" i="15" s="1"/>
  <c r="R65" i="15"/>
  <c r="R71" i="15" s="1"/>
  <c r="Q65" i="15"/>
  <c r="Q71" i="15" s="1"/>
  <c r="P65" i="15"/>
  <c r="P71" i="15" s="1"/>
  <c r="O65" i="15"/>
  <c r="O71" i="15" s="1"/>
  <c r="N65" i="15"/>
  <c r="N71" i="15" s="1"/>
  <c r="M65" i="15"/>
  <c r="M71" i="15" s="1"/>
  <c r="L65" i="15"/>
  <c r="L71" i="15" s="1"/>
  <c r="K65" i="15"/>
  <c r="K71" i="15" s="1"/>
  <c r="J65" i="15"/>
  <c r="J71" i="15" s="1"/>
  <c r="I65" i="15"/>
  <c r="I71" i="15" s="1"/>
  <c r="H65" i="15"/>
  <c r="H71" i="15" s="1"/>
  <c r="AE64" i="15"/>
  <c r="AE70" i="15" s="1"/>
  <c r="AD64" i="15"/>
  <c r="AC64" i="15"/>
  <c r="AC70" i="15" s="1"/>
  <c r="AB64" i="15"/>
  <c r="AB70" i="15" s="1"/>
  <c r="AA64" i="15"/>
  <c r="AA70" i="15" s="1"/>
  <c r="Y64" i="15"/>
  <c r="Y70" i="15" s="1"/>
  <c r="W64" i="15"/>
  <c r="W70" i="15" s="1"/>
  <c r="U64" i="15"/>
  <c r="U70" i="15" s="1"/>
  <c r="S64" i="15"/>
  <c r="S70" i="15" s="1"/>
  <c r="Q64" i="15"/>
  <c r="Q70" i="15" s="1"/>
  <c r="O64" i="15"/>
  <c r="O70" i="15" s="1"/>
  <c r="N64" i="15"/>
  <c r="N70" i="15" s="1"/>
  <c r="M64" i="15"/>
  <c r="M70" i="15" s="1"/>
  <c r="L64" i="15"/>
  <c r="L70" i="15" s="1"/>
  <c r="K64" i="15"/>
  <c r="K70" i="15" s="1"/>
  <c r="J64" i="15"/>
  <c r="J70" i="15" s="1"/>
  <c r="I64" i="15"/>
  <c r="I70" i="15" s="1"/>
  <c r="H64" i="15"/>
  <c r="B62" i="15"/>
  <c r="X58" i="15"/>
  <c r="X64" i="15"/>
  <c r="X70" i="15" s="1"/>
  <c r="T64" i="15"/>
  <c r="T70" i="15" s="1"/>
  <c r="R64" i="15"/>
  <c r="R70" i="15" s="1"/>
  <c r="P64" i="15"/>
  <c r="P70" i="15" s="1"/>
  <c r="AE58" i="15"/>
  <c r="AD58" i="15"/>
  <c r="AC58" i="15"/>
  <c r="AB58" i="15"/>
  <c r="AA58" i="15"/>
  <c r="Z58" i="15"/>
  <c r="Y58" i="15"/>
  <c r="W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D58" i="15"/>
  <c r="E51" i="15"/>
  <c r="E50" i="15" s="1"/>
  <c r="D51" i="15"/>
  <c r="D50" i="15" s="1"/>
  <c r="C51" i="15"/>
  <c r="C50" i="15" s="1"/>
  <c r="B51" i="15"/>
  <c r="B50" i="15" s="1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AE48" i="15"/>
  <c r="AE47" i="15" s="1"/>
  <c r="AD48" i="15"/>
  <c r="AD47" i="15" s="1"/>
  <c r="AC48" i="15"/>
  <c r="AC47" i="15" s="1"/>
  <c r="AB48" i="15"/>
  <c r="AB47" i="15" s="1"/>
  <c r="AA48" i="15"/>
  <c r="AA47" i="15" s="1"/>
  <c r="Z48" i="15"/>
  <c r="Z47" i="15" s="1"/>
  <c r="Y48" i="15"/>
  <c r="X48" i="15"/>
  <c r="W48" i="15"/>
  <c r="W47" i="15" s="1"/>
  <c r="V48" i="15"/>
  <c r="V47" i="15" s="1"/>
  <c r="U48" i="15"/>
  <c r="U47" i="15" s="1"/>
  <c r="T48" i="15"/>
  <c r="T47" i="15" s="1"/>
  <c r="S48" i="15"/>
  <c r="S47" i="15" s="1"/>
  <c r="R48" i="15"/>
  <c r="R47" i="15" s="1"/>
  <c r="Q48" i="15"/>
  <c r="Q47" i="15" s="1"/>
  <c r="P48" i="15"/>
  <c r="P47" i="15" s="1"/>
  <c r="O48" i="15"/>
  <c r="O47" i="15" s="1"/>
  <c r="N48" i="15"/>
  <c r="N47" i="15" s="1"/>
  <c r="M48" i="15"/>
  <c r="M47" i="15" s="1"/>
  <c r="L48" i="15"/>
  <c r="L47" i="15" s="1"/>
  <c r="K48" i="15"/>
  <c r="K47" i="15" s="1"/>
  <c r="J48" i="15"/>
  <c r="J47" i="15" s="1"/>
  <c r="I48" i="15"/>
  <c r="I47" i="15" s="1"/>
  <c r="H48" i="15"/>
  <c r="H47" i="15" s="1"/>
  <c r="D47" i="15"/>
  <c r="C47" i="15"/>
  <c r="Y47" i="15"/>
  <c r="X47" i="15"/>
  <c r="B46" i="15"/>
  <c r="B44" i="15"/>
  <c r="E42" i="15"/>
  <c r="C42" i="15"/>
  <c r="B42" i="15"/>
  <c r="E40" i="15"/>
  <c r="C40" i="15"/>
  <c r="B40" i="15"/>
  <c r="AE37" i="15"/>
  <c r="AD37" i="15"/>
  <c r="AC37" i="15"/>
  <c r="AB37" i="15"/>
  <c r="AA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B34" i="15"/>
  <c r="C37" i="15"/>
  <c r="D30" i="15"/>
  <c r="B31" i="15"/>
  <c r="B36" i="15" s="1"/>
  <c r="AE30" i="15"/>
  <c r="AD30" i="15"/>
  <c r="AC30" i="15"/>
  <c r="AB30" i="15"/>
  <c r="AA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P26" i="15"/>
  <c r="N26" i="15"/>
  <c r="C26" i="15" s="1"/>
  <c r="G26" i="15" s="1"/>
  <c r="M25" i="15"/>
  <c r="K25" i="15"/>
  <c r="J25" i="15"/>
  <c r="AE25" i="15"/>
  <c r="AD25" i="15"/>
  <c r="AC25" i="15"/>
  <c r="AA25" i="15"/>
  <c r="Y25" i="15"/>
  <c r="W25" i="15"/>
  <c r="V25" i="15"/>
  <c r="U25" i="15"/>
  <c r="T25" i="15"/>
  <c r="S25" i="15"/>
  <c r="R25" i="15"/>
  <c r="Q25" i="15"/>
  <c r="O25" i="15"/>
  <c r="I25" i="15"/>
  <c r="H25" i="15"/>
  <c r="D25" i="15"/>
  <c r="AE23" i="15"/>
  <c r="AD23" i="15"/>
  <c r="AC23" i="15"/>
  <c r="AB23" i="15"/>
  <c r="AA23" i="15"/>
  <c r="Z23" i="15"/>
  <c r="Y23" i="15"/>
  <c r="X23" i="15"/>
  <c r="W23" i="15"/>
  <c r="U23" i="15"/>
  <c r="S23" i="15"/>
  <c r="Q23" i="15"/>
  <c r="P23" i="15"/>
  <c r="N23" i="15"/>
  <c r="M23" i="15"/>
  <c r="L23" i="15"/>
  <c r="K23" i="15"/>
  <c r="J23" i="15"/>
  <c r="I23" i="15"/>
  <c r="I21" i="15" s="1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C22" i="15"/>
  <c r="B20" i="15"/>
  <c r="B18" i="15"/>
  <c r="V23" i="15"/>
  <c r="T23" i="15"/>
  <c r="R14" i="15"/>
  <c r="D23" i="15"/>
  <c r="D22" i="15"/>
  <c r="AE14" i="15"/>
  <c r="AD14" i="15"/>
  <c r="AC14" i="15"/>
  <c r="AB14" i="15"/>
  <c r="AA14" i="15"/>
  <c r="Z14" i="15"/>
  <c r="Y14" i="15"/>
  <c r="X14" i="15"/>
  <c r="W14" i="15"/>
  <c r="U14" i="15"/>
  <c r="S14" i="15"/>
  <c r="Q14" i="15"/>
  <c r="P14" i="15"/>
  <c r="O14" i="15"/>
  <c r="N14" i="15"/>
  <c r="M14" i="15"/>
  <c r="L14" i="15"/>
  <c r="K14" i="15"/>
  <c r="J14" i="15"/>
  <c r="I14" i="15"/>
  <c r="H14" i="15"/>
  <c r="AA35" i="15" l="1"/>
  <c r="K69" i="15"/>
  <c r="D54" i="15"/>
  <c r="M21" i="15"/>
  <c r="T69" i="15"/>
  <c r="X21" i="15"/>
  <c r="U69" i="15"/>
  <c r="B27" i="15"/>
  <c r="F27" i="15" s="1"/>
  <c r="B48" i="15"/>
  <c r="B47" i="15" s="1"/>
  <c r="L21" i="15"/>
  <c r="Y21" i="15"/>
  <c r="J80" i="15"/>
  <c r="J77" i="15"/>
  <c r="J76" i="15" s="1"/>
  <c r="R80" i="15"/>
  <c r="R77" i="15"/>
  <c r="R76" i="15" s="1"/>
  <c r="Z80" i="15"/>
  <c r="Z77" i="15"/>
  <c r="Z76" i="15" s="1"/>
  <c r="L80" i="15"/>
  <c r="L77" i="15"/>
  <c r="L76" i="15" s="1"/>
  <c r="H77" i="15"/>
  <c r="H76" i="15" s="1"/>
  <c r="V80" i="15"/>
  <c r="V77" i="15"/>
  <c r="V76" i="15" s="1"/>
  <c r="I77" i="15"/>
  <c r="I76" i="15" s="1"/>
  <c r="P80" i="15"/>
  <c r="P77" i="15"/>
  <c r="P76" i="15" s="1"/>
  <c r="X80" i="15"/>
  <c r="X77" i="15"/>
  <c r="X76" i="15" s="1"/>
  <c r="U54" i="15"/>
  <c r="U11" i="15" s="1"/>
  <c r="U97" i="15" s="1"/>
  <c r="V54" i="15"/>
  <c r="V11" i="15" s="1"/>
  <c r="V97" i="15" s="1"/>
  <c r="K35" i="15"/>
  <c r="S35" i="15"/>
  <c r="U63" i="15"/>
  <c r="T63" i="15"/>
  <c r="T80" i="15"/>
  <c r="N69" i="15"/>
  <c r="P21" i="15"/>
  <c r="H54" i="15"/>
  <c r="H11" i="15" s="1"/>
  <c r="H97" i="15" s="1"/>
  <c r="Q54" i="15"/>
  <c r="Q11" i="15" s="1"/>
  <c r="Q97" i="15" s="1"/>
  <c r="T54" i="15"/>
  <c r="T11" i="15" s="1"/>
  <c r="T97" i="15" s="1"/>
  <c r="U21" i="15"/>
  <c r="I54" i="15"/>
  <c r="M54" i="15"/>
  <c r="M11" i="15" s="1"/>
  <c r="M97" i="15" s="1"/>
  <c r="L54" i="15"/>
  <c r="X54" i="15"/>
  <c r="AA63" i="15"/>
  <c r="AB80" i="15"/>
  <c r="AB54" i="15"/>
  <c r="AB11" i="15" s="1"/>
  <c r="AB97" i="15" s="1"/>
  <c r="O63" i="15"/>
  <c r="H63" i="15"/>
  <c r="D71" i="15"/>
  <c r="D69" i="15" s="1"/>
  <c r="N80" i="15"/>
  <c r="AE63" i="15"/>
  <c r="T14" i="15"/>
  <c r="X25" i="15"/>
  <c r="Z25" i="15"/>
  <c r="Z30" i="15"/>
  <c r="F46" i="15"/>
  <c r="I63" i="15"/>
  <c r="M63" i="15"/>
  <c r="AD80" i="15"/>
  <c r="K63" i="15"/>
  <c r="E84" i="15"/>
  <c r="E23" i="15"/>
  <c r="F18" i="15"/>
  <c r="AE69" i="15"/>
  <c r="C14" i="15"/>
  <c r="E25" i="15"/>
  <c r="P53" i="15"/>
  <c r="P10" i="15" s="1"/>
  <c r="B32" i="15"/>
  <c r="J54" i="15"/>
  <c r="J11" i="15" s="1"/>
  <c r="J97" i="15" s="1"/>
  <c r="N35" i="15"/>
  <c r="R35" i="15"/>
  <c r="V35" i="15"/>
  <c r="Z37" i="15"/>
  <c r="Z54" i="15" s="1"/>
  <c r="Z11" i="15" s="1"/>
  <c r="Z97" i="15" s="1"/>
  <c r="AD54" i="15"/>
  <c r="AD11" i="15" s="1"/>
  <c r="AD97" i="15" s="1"/>
  <c r="G40" i="15"/>
  <c r="P63" i="15"/>
  <c r="W63" i="15"/>
  <c r="P69" i="15"/>
  <c r="H70" i="15"/>
  <c r="H69" i="15" s="1"/>
  <c r="V14" i="15"/>
  <c r="L35" i="15"/>
  <c r="P35" i="15"/>
  <c r="T35" i="15"/>
  <c r="X35" i="15"/>
  <c r="AB35" i="15"/>
  <c r="O54" i="15"/>
  <c r="O11" i="15" s="1"/>
  <c r="O97" i="15" s="1"/>
  <c r="S54" i="15"/>
  <c r="S11" i="15" s="1"/>
  <c r="S97" i="15" s="1"/>
  <c r="W54" i="15"/>
  <c r="W11" i="15" s="1"/>
  <c r="W97" i="15" s="1"/>
  <c r="AE54" i="15"/>
  <c r="AE11" i="15" s="1"/>
  <c r="AE97" i="15" s="1"/>
  <c r="F40" i="15"/>
  <c r="L63" i="15"/>
  <c r="Q63" i="15"/>
  <c r="Y63" i="15"/>
  <c r="Z64" i="15"/>
  <c r="I69" i="15"/>
  <c r="M69" i="15"/>
  <c r="Q69" i="15"/>
  <c r="H80" i="15"/>
  <c r="B81" i="15"/>
  <c r="F81" i="15" s="1"/>
  <c r="F20" i="15"/>
  <c r="I35" i="15"/>
  <c r="M35" i="15"/>
  <c r="Q35" i="15"/>
  <c r="U35" i="15"/>
  <c r="AC35" i="15"/>
  <c r="B59" i="15"/>
  <c r="F59" i="15" s="1"/>
  <c r="S63" i="15"/>
  <c r="J69" i="15"/>
  <c r="I80" i="15"/>
  <c r="H83" i="15"/>
  <c r="B26" i="15"/>
  <c r="N25" i="15"/>
  <c r="AB25" i="15"/>
  <c r="X65" i="15"/>
  <c r="X71" i="15" s="1"/>
  <c r="AB69" i="15"/>
  <c r="E47" i="15"/>
  <c r="AG46" i="15" s="1"/>
  <c r="AC54" i="15"/>
  <c r="AC11" i="15" s="1"/>
  <c r="AC97" i="15" s="1"/>
  <c r="E36" i="15"/>
  <c r="AC21" i="15"/>
  <c r="F62" i="15"/>
  <c r="AC63" i="15"/>
  <c r="D63" i="15"/>
  <c r="Y54" i="15"/>
  <c r="Y11" i="15" s="1"/>
  <c r="Y97" i="15" s="1"/>
  <c r="E37" i="15"/>
  <c r="G37" i="15" s="1"/>
  <c r="Y35" i="15"/>
  <c r="F68" i="15"/>
  <c r="E30" i="15"/>
  <c r="F31" i="15"/>
  <c r="AA54" i="15"/>
  <c r="AA11" i="15" s="1"/>
  <c r="AA97" i="15" s="1"/>
  <c r="D21" i="15"/>
  <c r="L53" i="15"/>
  <c r="L10" i="15" s="1"/>
  <c r="AB53" i="15"/>
  <c r="AB10" i="15" s="1"/>
  <c r="N54" i="15"/>
  <c r="N11" i="15" s="1"/>
  <c r="N97" i="15" s="1"/>
  <c r="D14" i="15"/>
  <c r="F15" i="15"/>
  <c r="Q21" i="15"/>
  <c r="L25" i="15"/>
  <c r="P25" i="15"/>
  <c r="C36" i="15"/>
  <c r="C35" i="15" s="1"/>
  <c r="C30" i="15"/>
  <c r="F34" i="15"/>
  <c r="O35" i="15"/>
  <c r="W35" i="15"/>
  <c r="AE35" i="15"/>
  <c r="M53" i="15"/>
  <c r="M10" i="15" s="1"/>
  <c r="U53" i="15"/>
  <c r="U10" i="15" s="1"/>
  <c r="AC53" i="15"/>
  <c r="AC10" i="15" s="1"/>
  <c r="R69" i="15"/>
  <c r="R63" i="15"/>
  <c r="K53" i="15"/>
  <c r="K10" i="15" s="1"/>
  <c r="K21" i="15"/>
  <c r="S53" i="15"/>
  <c r="S10" i="15" s="1"/>
  <c r="S21" i="15"/>
  <c r="W53" i="15"/>
  <c r="W10" i="15" s="1"/>
  <c r="W21" i="15"/>
  <c r="AD35" i="15"/>
  <c r="H35" i="15"/>
  <c r="B16" i="15"/>
  <c r="B23" i="15" s="1"/>
  <c r="R23" i="15"/>
  <c r="R54" i="15" s="1"/>
  <c r="R11" i="15" s="1"/>
  <c r="R97" i="15" s="1"/>
  <c r="T21" i="15"/>
  <c r="AB21" i="15"/>
  <c r="J53" i="15"/>
  <c r="J10" i="15" s="1"/>
  <c r="J21" i="15"/>
  <c r="N53" i="15"/>
  <c r="N10" i="15" s="1"/>
  <c r="N21" i="15"/>
  <c r="R53" i="15"/>
  <c r="R10" i="15" s="1"/>
  <c r="V53" i="15"/>
  <c r="V21" i="15"/>
  <c r="Z53" i="15"/>
  <c r="Z21" i="15"/>
  <c r="AD53" i="15"/>
  <c r="AD21" i="15"/>
  <c r="P54" i="15"/>
  <c r="P11" i="15" s="1"/>
  <c r="P97" i="15" s="1"/>
  <c r="J35" i="15"/>
  <c r="D36" i="15"/>
  <c r="D35" i="15" s="1"/>
  <c r="F44" i="15"/>
  <c r="H53" i="15"/>
  <c r="X53" i="15"/>
  <c r="X10" i="15" s="1"/>
  <c r="G42" i="15"/>
  <c r="F42" i="15"/>
  <c r="I53" i="15"/>
  <c r="Q53" i="15"/>
  <c r="Q10" i="15" s="1"/>
  <c r="Y53" i="15"/>
  <c r="Y10" i="15" s="1"/>
  <c r="K54" i="15"/>
  <c r="K11" i="15" s="1"/>
  <c r="K97" i="15" s="1"/>
  <c r="O53" i="15"/>
  <c r="O10" i="15" s="1"/>
  <c r="O21" i="15"/>
  <c r="AA53" i="15"/>
  <c r="AA10" i="15" s="1"/>
  <c r="AA21" i="15"/>
  <c r="AE53" i="15"/>
  <c r="AE10" i="15" s="1"/>
  <c r="AE21" i="15"/>
  <c r="E22" i="15"/>
  <c r="T53" i="15"/>
  <c r="T10" i="15" s="1"/>
  <c r="V58" i="15"/>
  <c r="V64" i="15"/>
  <c r="V70" i="15" s="1"/>
  <c r="W69" i="15"/>
  <c r="J63" i="15"/>
  <c r="N63" i="15"/>
  <c r="AB63" i="15"/>
  <c r="AA69" i="15"/>
  <c r="B60" i="15"/>
  <c r="O69" i="15"/>
  <c r="AD70" i="15"/>
  <c r="AD69" i="15" s="1"/>
  <c r="AD63" i="15"/>
  <c r="Y69" i="15"/>
  <c r="AC69" i="15"/>
  <c r="S69" i="15"/>
  <c r="H10" i="15" l="1"/>
  <c r="R21" i="15"/>
  <c r="C53" i="15"/>
  <c r="Z63" i="15"/>
  <c r="Z70" i="15"/>
  <c r="Z69" i="15" s="1"/>
  <c r="B53" i="15"/>
  <c r="F26" i="15"/>
  <c r="E54" i="15"/>
  <c r="D53" i="15"/>
  <c r="G36" i="15"/>
  <c r="E53" i="15"/>
  <c r="E10" i="15" s="1"/>
  <c r="G30" i="15"/>
  <c r="Q96" i="15"/>
  <c r="Q95" i="15" s="1"/>
  <c r="Q9" i="15"/>
  <c r="X96" i="15"/>
  <c r="AC96" i="15"/>
  <c r="AC95" i="15" s="1"/>
  <c r="AC9" i="15"/>
  <c r="AB9" i="15"/>
  <c r="AB96" i="15"/>
  <c r="AB95" i="15" s="1"/>
  <c r="B80" i="15"/>
  <c r="B77" i="15"/>
  <c r="P9" i="15"/>
  <c r="P8" i="15" s="1"/>
  <c r="P7" i="15" s="1"/>
  <c r="P96" i="15"/>
  <c r="P95" i="15" s="1"/>
  <c r="I11" i="15"/>
  <c r="I97" i="15" s="1"/>
  <c r="C80" i="15"/>
  <c r="C77" i="15"/>
  <c r="AE9" i="15"/>
  <c r="AE96" i="15"/>
  <c r="AE95" i="15" s="1"/>
  <c r="H9" i="15"/>
  <c r="H96" i="15"/>
  <c r="H95" i="15" s="1"/>
  <c r="R9" i="15"/>
  <c r="R96" i="15"/>
  <c r="R95" i="15" s="1"/>
  <c r="J9" i="15"/>
  <c r="J96" i="15"/>
  <c r="J95" i="15" s="1"/>
  <c r="B21" i="15"/>
  <c r="W9" i="15"/>
  <c r="W96" i="15"/>
  <c r="W95" i="15" s="1"/>
  <c r="K9" i="15"/>
  <c r="K96" i="15"/>
  <c r="K95" i="15" s="1"/>
  <c r="U96" i="15"/>
  <c r="U95" i="15" s="1"/>
  <c r="U9" i="15"/>
  <c r="L96" i="15"/>
  <c r="X11" i="15"/>
  <c r="X97" i="15" s="1"/>
  <c r="M96" i="15"/>
  <c r="M95" i="15" s="1"/>
  <c r="M9" i="15"/>
  <c r="B30" i="15"/>
  <c r="F30" i="15" s="1"/>
  <c r="B37" i="15"/>
  <c r="B35" i="15" s="1"/>
  <c r="E83" i="15"/>
  <c r="E78" i="15"/>
  <c r="L11" i="15"/>
  <c r="L97" i="15" s="1"/>
  <c r="T9" i="15"/>
  <c r="T96" i="15"/>
  <c r="T95" i="15" s="1"/>
  <c r="O9" i="15"/>
  <c r="O96" i="15"/>
  <c r="O95" i="15" s="1"/>
  <c r="I10" i="15"/>
  <c r="AA9" i="15"/>
  <c r="AA96" i="15"/>
  <c r="AA95" i="15" s="1"/>
  <c r="Y96" i="15"/>
  <c r="Y95" i="15" s="1"/>
  <c r="Y9" i="15"/>
  <c r="AD10" i="15"/>
  <c r="N9" i="15"/>
  <c r="N96" i="15"/>
  <c r="N95" i="15" s="1"/>
  <c r="S9" i="15"/>
  <c r="S96" i="15"/>
  <c r="S95" i="15" s="1"/>
  <c r="E80" i="15"/>
  <c r="E77" i="15"/>
  <c r="E76" i="15" s="1"/>
  <c r="D11" i="15"/>
  <c r="D97" i="15" s="1"/>
  <c r="C23" i="15"/>
  <c r="C21" i="15" s="1"/>
  <c r="C69" i="15"/>
  <c r="G69" i="15" s="1"/>
  <c r="B25" i="15"/>
  <c r="F25" i="15" s="1"/>
  <c r="Z35" i="15"/>
  <c r="C58" i="15"/>
  <c r="G58" i="15" s="1"/>
  <c r="F32" i="15"/>
  <c r="X63" i="15"/>
  <c r="L69" i="15"/>
  <c r="F48" i="15"/>
  <c r="E35" i="15"/>
  <c r="AG32" i="15" s="1"/>
  <c r="AE52" i="15"/>
  <c r="Q52" i="15"/>
  <c r="B65" i="15"/>
  <c r="B58" i="15"/>
  <c r="F58" i="15" s="1"/>
  <c r="V69" i="15"/>
  <c r="V63" i="15"/>
  <c r="F60" i="15"/>
  <c r="X52" i="15"/>
  <c r="Z52" i="15"/>
  <c r="J52" i="15"/>
  <c r="F16" i="15"/>
  <c r="B14" i="15"/>
  <c r="F14" i="15" s="1"/>
  <c r="AC52" i="15"/>
  <c r="AB52" i="15"/>
  <c r="B64" i="15"/>
  <c r="B70" i="15" s="1"/>
  <c r="B10" i="15" s="1"/>
  <c r="E21" i="15"/>
  <c r="F22" i="15"/>
  <c r="AA52" i="15"/>
  <c r="H52" i="15"/>
  <c r="F36" i="15"/>
  <c r="W52" i="15"/>
  <c r="K52" i="15"/>
  <c r="U52" i="15"/>
  <c r="L52" i="15"/>
  <c r="P52" i="15"/>
  <c r="X69" i="15"/>
  <c r="Y52" i="15"/>
  <c r="F47" i="15"/>
  <c r="AD52" i="15"/>
  <c r="V52" i="15"/>
  <c r="N52" i="15"/>
  <c r="M52" i="15"/>
  <c r="O52" i="15"/>
  <c r="S52" i="15"/>
  <c r="C25" i="15"/>
  <c r="T52" i="15"/>
  <c r="I52" i="15"/>
  <c r="R52" i="15"/>
  <c r="E11" i="15" l="1"/>
  <c r="E97" i="15" s="1"/>
  <c r="G53" i="15"/>
  <c r="F53" i="15"/>
  <c r="F10" i="15"/>
  <c r="G35" i="15"/>
  <c r="G77" i="15"/>
  <c r="G80" i="15"/>
  <c r="AG25" i="15"/>
  <c r="G25" i="15"/>
  <c r="AG79" i="15"/>
  <c r="C76" i="15"/>
  <c r="G76" i="15" s="1"/>
  <c r="B76" i="15"/>
  <c r="F76" i="15" s="1"/>
  <c r="F77" i="15"/>
  <c r="F80" i="15"/>
  <c r="L95" i="15"/>
  <c r="B54" i="15"/>
  <c r="B52" i="15" s="1"/>
  <c r="L9" i="15"/>
  <c r="L8" i="15" s="1"/>
  <c r="L7" i="15" s="1"/>
  <c r="B96" i="15"/>
  <c r="AG14" i="15"/>
  <c r="C54" i="15"/>
  <c r="G54" i="15" s="1"/>
  <c r="I96" i="15"/>
  <c r="I95" i="15" s="1"/>
  <c r="I9" i="15"/>
  <c r="I8" i="15" s="1"/>
  <c r="I7" i="15" s="1"/>
  <c r="D52" i="15"/>
  <c r="D10" i="15"/>
  <c r="Z10" i="15"/>
  <c r="X95" i="15"/>
  <c r="V10" i="15"/>
  <c r="C10" i="15"/>
  <c r="G10" i="15" s="1"/>
  <c r="X9" i="15"/>
  <c r="X8" i="15" s="1"/>
  <c r="X7" i="15" s="1"/>
  <c r="AD9" i="15"/>
  <c r="AD8" i="15" s="1"/>
  <c r="AD7" i="15" s="1"/>
  <c r="AD96" i="15"/>
  <c r="AD95" i="15" s="1"/>
  <c r="B71" i="15"/>
  <c r="B69" i="15" s="1"/>
  <c r="B63" i="15"/>
  <c r="F63" i="15" s="1"/>
  <c r="E96" i="15"/>
  <c r="F37" i="15"/>
  <c r="F35" i="15"/>
  <c r="AG63" i="15"/>
  <c r="S8" i="15"/>
  <c r="S7" i="15" s="1"/>
  <c r="N8" i="15"/>
  <c r="N7" i="15" s="1"/>
  <c r="Y8" i="15"/>
  <c r="Y7" i="15" s="1"/>
  <c r="AB8" i="15"/>
  <c r="AB7" i="15" s="1"/>
  <c r="J8" i="15"/>
  <c r="J7" i="15" s="1"/>
  <c r="O8" i="15"/>
  <c r="O7" i="15" s="1"/>
  <c r="U8" i="15"/>
  <c r="U7" i="15" s="1"/>
  <c r="AA8" i="15"/>
  <c r="AA7" i="15" s="1"/>
  <c r="AC8" i="15"/>
  <c r="AC7" i="15" s="1"/>
  <c r="F21" i="15"/>
  <c r="F23" i="15"/>
  <c r="Q8" i="15"/>
  <c r="Q7" i="15" s="1"/>
  <c r="R8" i="15"/>
  <c r="R7" i="15" s="1"/>
  <c r="W8" i="15"/>
  <c r="W7" i="15" s="1"/>
  <c r="H8" i="15"/>
  <c r="H7" i="15" s="1"/>
  <c r="E52" i="15"/>
  <c r="F70" i="15"/>
  <c r="F64" i="15"/>
  <c r="F65" i="15"/>
  <c r="T8" i="15"/>
  <c r="T7" i="15" s="1"/>
  <c r="M8" i="15"/>
  <c r="M7" i="15" s="1"/>
  <c r="AE8" i="15"/>
  <c r="AE7" i="15" s="1"/>
  <c r="K8" i="15"/>
  <c r="K7" i="15" s="1"/>
  <c r="E9" i="15" l="1"/>
  <c r="F52" i="15"/>
  <c r="F54" i="15"/>
  <c r="C11" i="15"/>
  <c r="C9" i="15" s="1"/>
  <c r="F96" i="15"/>
  <c r="E95" i="15"/>
  <c r="B11" i="15"/>
  <c r="C96" i="15"/>
  <c r="V9" i="15"/>
  <c r="V8" i="15" s="1"/>
  <c r="V7" i="15" s="1"/>
  <c r="V96" i="15"/>
  <c r="V95" i="15" s="1"/>
  <c r="D9" i="15"/>
  <c r="D8" i="15" s="1"/>
  <c r="D7" i="15" s="1"/>
  <c r="D96" i="15"/>
  <c r="D95" i="15" s="1"/>
  <c r="Z9" i="15"/>
  <c r="Z8" i="15" s="1"/>
  <c r="Z7" i="15" s="1"/>
  <c r="Z96" i="15"/>
  <c r="Z95" i="15" s="1"/>
  <c r="C52" i="15"/>
  <c r="G52" i="15" s="1"/>
  <c r="F69" i="15"/>
  <c r="F71" i="15"/>
  <c r="C97" i="15" l="1"/>
  <c r="G97" i="15" s="1"/>
  <c r="G11" i="15"/>
  <c r="C8" i="15"/>
  <c r="G9" i="15"/>
  <c r="G96" i="15"/>
  <c r="B97" i="15"/>
  <c r="F11" i="15"/>
  <c r="B9" i="15"/>
  <c r="E8" i="15"/>
  <c r="C95" i="15" l="1"/>
  <c r="G95" i="15" s="1"/>
  <c r="C7" i="15"/>
  <c r="G8" i="15"/>
  <c r="B8" i="15"/>
  <c r="B7" i="15" s="1"/>
  <c r="F9" i="15"/>
  <c r="B95" i="15"/>
  <c r="F95" i="15" s="1"/>
  <c r="F97" i="15"/>
  <c r="E7" i="15"/>
  <c r="F7" i="15" l="1"/>
  <c r="F8" i="15"/>
  <c r="G7" i="15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P27" i="3"/>
  <c r="P64" i="3" s="1"/>
  <c r="O27" i="3"/>
  <c r="O64" i="3" s="1"/>
  <c r="I27" i="3"/>
  <c r="I64" i="3" s="1"/>
  <c r="H27" i="3"/>
  <c r="H64" i="3" s="1"/>
  <c r="G27" i="3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F18" i="3"/>
  <c r="R17" i="3"/>
  <c r="M17" i="3"/>
  <c r="F17" i="3"/>
  <c r="N16" i="3"/>
  <c r="R16" i="3" s="1"/>
  <c r="F16" i="3"/>
  <c r="P15" i="3"/>
  <c r="O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 s="1"/>
  <c r="I19" i="2"/>
  <c r="H19" i="2"/>
  <c r="F18" i="2"/>
  <c r="F17" i="2"/>
  <c r="G16" i="2"/>
  <c r="F16" i="2" s="1"/>
  <c r="F15" i="2" s="1"/>
  <c r="I15" i="2"/>
  <c r="H15" i="2"/>
  <c r="R65" i="3" l="1"/>
  <c r="Q30" i="3"/>
  <c r="G19" i="2"/>
  <c r="F19" i="2" s="1"/>
  <c r="P26" i="3"/>
  <c r="P63" i="3" s="1"/>
  <c r="N15" i="3"/>
  <c r="R15" i="3" s="1"/>
  <c r="Q18" i="3"/>
  <c r="G15" i="2"/>
  <c r="F47" i="2"/>
  <c r="F53" i="2" s="1"/>
  <c r="M16" i="3"/>
  <c r="Q16" i="3" s="1"/>
  <c r="H33" i="3"/>
  <c r="H57" i="3" s="1"/>
  <c r="P33" i="3"/>
  <c r="G27" i="2"/>
  <c r="F27" i="2" s="1"/>
  <c r="F64" i="2" s="1"/>
  <c r="Q24" i="3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G67" i="3"/>
  <c r="R67" i="3" s="1"/>
  <c r="R39" i="3"/>
  <c r="Q20" i="3"/>
  <c r="P34" i="3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62" i="2"/>
  <c r="F61" i="2"/>
  <c r="G34" i="2"/>
  <c r="G54" i="2"/>
  <c r="G55" i="2"/>
  <c r="G65" i="2"/>
  <c r="H34" i="2"/>
  <c r="H53" i="2"/>
  <c r="H54" i="2"/>
  <c r="H55" i="2"/>
  <c r="I34" i="2"/>
  <c r="I53" i="2"/>
  <c r="I54" i="2"/>
  <c r="I55" i="2"/>
  <c r="I32" i="2" l="1"/>
  <c r="I56" i="2" s="1"/>
  <c r="P58" i="3"/>
  <c r="Q15" i="3"/>
  <c r="F60" i="2"/>
  <c r="G26" i="2"/>
  <c r="F26" i="2" s="1"/>
  <c r="F63" i="2" s="1"/>
  <c r="I57" i="2"/>
  <c r="H57" i="2"/>
  <c r="G64" i="2"/>
  <c r="I32" i="3"/>
  <c r="I56" i="3" s="1"/>
  <c r="Q31" i="3"/>
  <c r="G33" i="2"/>
  <c r="F33" i="2" s="1"/>
  <c r="F57" i="2" s="1"/>
  <c r="I58" i="2"/>
  <c r="H58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N64" i="3"/>
  <c r="I58" i="3"/>
  <c r="G57" i="3"/>
  <c r="N33" i="3"/>
  <c r="R64" i="3"/>
  <c r="Q61" i="3"/>
  <c r="G56" i="3"/>
  <c r="F39" i="3"/>
  <c r="Q38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H32" i="3"/>
  <c r="H56" i="3" s="1"/>
  <c r="M34" i="3"/>
  <c r="M58" i="3" s="1"/>
  <c r="N58" i="3"/>
  <c r="F53" i="3"/>
  <c r="F60" i="3"/>
  <c r="Q47" i="3"/>
  <c r="R60" i="3"/>
  <c r="H32" i="2"/>
  <c r="H56" i="2" s="1"/>
  <c r="G58" i="2"/>
  <c r="F34" i="2"/>
  <c r="F58" i="2" s="1"/>
  <c r="Q60" i="3" l="1"/>
  <c r="G63" i="2"/>
  <c r="Q64" i="3"/>
  <c r="Q26" i="3"/>
  <c r="G32" i="2"/>
  <c r="G56" i="2" s="1"/>
  <c r="Q54" i="3"/>
  <c r="G57" i="2"/>
  <c r="Q53" i="3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sharedStrings.xml><?xml version="1.0" encoding="utf-8"?>
<sst xmlns="http://schemas.openxmlformats.org/spreadsheetml/2006/main" count="511" uniqueCount="158">
  <si>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</si>
  <si>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</si>
  <si>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</si>
  <si>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</si>
  <si>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</si>
  <si>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</si>
  <si>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</si>
  <si>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</si>
  <si>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</si>
  <si>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</si>
  <si>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</si>
  <si>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</si>
  <si>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</si>
  <si>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</si>
  <si>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</si>
  <si>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</si>
  <si>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</si>
  <si>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</si>
  <si>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</si>
  <si>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</si>
  <si>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</si>
  <si>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</si>
  <si>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</si>
  <si>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</si>
  <si>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</si>
  <si>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</si>
  <si>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</si>
  <si>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</si>
  <si>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</si>
  <si>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</si>
  <si>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</si>
  <si>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</si>
  <si>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</si>
  <si>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</si>
  <si>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</si>
  <si>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</si>
  <si>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</si>
  <si>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</si>
  <si>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</si>
  <si>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</si>
  <si>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</si>
  <si>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</si>
  <si>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</si>
  <si>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</si>
  <si>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</si>
  <si>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</si>
  <si>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</si>
  <si>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</si>
  <si>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</si>
  <si>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</si>
  <si>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</si>
  <si>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</si>
  <si>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</si>
  <si>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</si>
  <si>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</si>
  <si>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</si>
  <si>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</si>
  <si>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</si>
  <si>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</si>
  <si>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</si>
  <si>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</si>
  <si>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</si>
  <si>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</si>
  <si>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</si>
  <si>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</si>
  <si>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</si>
  <si>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</si>
  <si>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</si>
  <si>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</si>
  <si>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</si>
  <si>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</si>
  <si>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</si>
  <si>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</si>
  <si>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</si>
  <si>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</si>
  <si>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</si>
  <si>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</si>
  <si>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</si>
  <si>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</si>
  <si>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</si>
  <si>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</si>
  <si>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</si>
  <si>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</si>
  <si>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</si>
  <si>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</si>
  <si>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</si>
  <si>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</si>
  <si>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</si>
  <si>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</si>
  <si>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</si>
  <si>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</si>
  <si>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</si>
  <si>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</si>
  <si>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</si>
  <si>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</si>
  <si>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</si>
  <si>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</si>
  <si>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</si>
  <si>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</si>
  <si>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</si>
  <si>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</si>
  <si>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</si>
  <si>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</si>
  <si>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</si>
  <si>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</si>
  <si>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</si>
  <si>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</si>
  <si>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</si>
  <si>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</si>
  <si>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</si>
  <si>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</si>
  <si>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</si>
  <si>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</si>
  <si>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</si>
  <si>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</si>
  <si>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</si>
  <si>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</si>
  <si>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</si>
  <si>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</si>
  <si>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</si>
  <si>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</si>
  <si>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</si>
  <si>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</si>
  <si>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</si>
  <si>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КСАТ</t>
  </si>
  <si>
    <t>УЖКХ</t>
  </si>
  <si>
    <t>ИТОГО КСАТ:</t>
  </si>
  <si>
    <t>план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</si>
  <si>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</si>
  <si>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</si>
  <si>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1.1.4. "Привлечение прочих специалистов для организации работ трудовых бригад несовершеннолетних граждан"</t>
  </si>
  <si>
    <t>Начальник управления экономики Администрации города Когалыма</t>
  </si>
  <si>
    <t>Е.Г.Загорская</t>
  </si>
  <si>
    <t>План на 2018 год</t>
  </si>
  <si>
    <t>1.1.7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</si>
  <si>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 "Осуществление отдельных государственных полномочий в сфере трудовых отношений и  государственного управления охраной труда в городе Когалыме (6)" 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</si>
  <si>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(7)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</si>
  <si>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</si>
  <si>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</si>
  <si>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Подпрограмма 3. «Содействие трудоустройству граждан с инвалидностью и их адаптация на рынке труда»</t>
  </si>
  <si>
    <t xml:space="preserve">3.1. Содействие трудоустройству незанятых инвалидов, в том числе инвалидов молодого возраста, на оборудованные (оснащенные) рабочие места </t>
  </si>
  <si>
    <t>Всего по мероприятию:</t>
  </si>
  <si>
    <t>Муниципальные учреждения г. Когалыма не заявили в ЦЗН свою потребность для участия в данном мероприятии Программы.</t>
  </si>
  <si>
    <t>Заседание Межведомственной комиссии планируется провести в мае и ноябре 2018 года.</t>
  </si>
  <si>
    <t>Принято и проверено 150 отчетов по ОТ от работодателей г.Когалыма за 2017 год.</t>
  </si>
  <si>
    <t>План на 01.05.2018</t>
  </si>
  <si>
    <t>Профинансировано на 01.05.2018</t>
  </si>
  <si>
    <t>Кассовый расход на  01.05.2018</t>
  </si>
  <si>
    <t>на 01.05.2018 года</t>
  </si>
  <si>
    <t xml:space="preserve">Остаток средств по выплате заработной платы и налогам 20,65т.р. из них:
16,80т.р.-денежные средства из окружного бюджета за апрель месяц не поступили, в связи с внесением изменений в договор с ЦЗН  от 19.01.2018г. № 10 "О совместной деятельности по организации временного трудоустройства граждан" (п.3., части 3.2 "Финансирование обязательств"). Окружные денежные средства поступят после сдачи табелей и  актов сверки в следующем месяце, идущем за отчетным.
3,85 т.р.- остаток средств из местного бюджета (заработная плата).              
</t>
  </si>
  <si>
    <t xml:space="preserve">1) Остаток средств по выплате заработной платы и налогам 492,6 т.р., в том числе:
 - 389,59т.р. - остаток средств по выплате заработной платы. Вместо планируемых 8 несовершеннолетних граждан было трудоустроено 5 человека (2 из которых отработали не полный месяц). Причина:  отсутствие в КЦЗ  необходимого количества зарегистрированных безработных граждан данной возрастной категории;
- 103,01т.р. - остаток средств по выплате отчислений на заработную плату (налогам).                                                  2.)  Экономия в размере 11,85т.р.   образовалась в связи с тем, что у принятых работников была действующая мед.комиссия.                                                                                       
Остаток средств из местного бюджета составил 209,84 т.р.                                                                          
Денежные средства из окружного бюджета за март месяц в размере 294,61 т.р. не поступили. См.п.1.1.2. </t>
  </si>
  <si>
    <t xml:space="preserve">Не использовано 45,78т.р.- непреобретены товары (жилеты сигнальные, бейсболки, плащи-дождевики). Электронный аукцион на приобретение товаров не состоялся в срок, в связи с внесением изменений в план-график.  Проведение закупок конкурентным способом планируются в мае месяце. Средства будут освоены после проведения эл.аукционов и по факту получения товара.
</t>
  </si>
  <si>
    <t>По факту обращения несовершеннолетних граждан в МБУ "МКЦ"Феникс"оказано 692 консультации.</t>
  </si>
  <si>
    <t xml:space="preserve">1.) Экономия средств 61,75т.р., в том числе:
-53,05т.р.- экономия образовалась  в связи с тем, что электронный аукцион на приобретение трудовых книжек состоялся на меньшую сумму, чем планировалось;
-8,70т.р.- экономия образовалась  в связи с тем, что электронный аукцион на приобретение аптечек первой помощи состоялся на меньшую сумму, чем планировалось.
2.) В связи с внесением изменений в план-график проведения электронных ацкционов не использовано 488,68 т.р., в том числе:
-52,69т.р.-  на приобретение канц.товаров 
-435,99т.р.- на приобретение жилетов сигнальных, бейсболок, плащей-дождевиков.              .  Проведение закупок конкурентным способом планируются в мае месяце. Средства будут освоены после проведения эл.аукционов и по факту получения товара.
3) В связи с поиском поставщиков для приобретенеия журналов регистрации  не использовано 6,80т.р . Средства будут освоены после заключения договора и по факту получения товара.
</t>
  </si>
  <si>
    <t xml:space="preserve"> В марте 2018 года между  МБУ "КСАТ"  и ЦЗН заключен договор "О совместной деятельности по организации временного трудоустройства граждан" для трудоустройства 51 безработного гражданина в должности рабочий комплексной уборки. За отчетный период заключено 5 срочных трудовых договора. Неисполнение субсидии составляет 178,09 тыс. руб. по статье заработная плата и налоги.  Из них: 138,67 тыс.рублей из окружного бюджета - в связи с измененным порядком финансирования в договоре о совместной деятельности по временному трудоустройству граждан, подписанного между МБУ "КСАТ" и Центром занятости населения. Окружные  средства поступят после сдачи табелей и  актов сверки в следующем месяце, идущем за отчетным.  39,42 тыс.рублей из бюджета г.Когалыма оплата производится по фактически отработанному времени, согласно табеля учета рабочего времени.</t>
  </si>
  <si>
    <t>По результатам проведенного конкурсного отбора МКУ "УЖКХ г.Когалыма"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(в т.ч. 55 кухонных рабочих через КГ МУТП "Сияние Севера" и 65 машинисток через ООО "ЕРИЦ"). Неполное освоение денежных средств в сумме 314,34 тыс. рублей связано с поздним подписанием договоров КУ "Когалымский центр занятости населения" с организациями получающими субсидии от МКУ "УЖКХ г.Когалыма" (которые заключают договора с Центром занятости с целью направления работников для трудоустройства на временные общественные работы с возмещением части затрат из окружного бюджетас целью направления работников для трудоустройства на временные общественные работы с возмещением части затрат из окружного бюджета. Тексты договоров согласовывались с Департаментом труда и занятости ХМАО-Югры, в связи с возникшими разногласиями в части возмещения затрат.) С начала года трудоустроено 63 человека, в т.ч. 38 кухонных рабочих и 25 машинисток.</t>
  </si>
  <si>
    <t>По состоянию на 01.05.2018 года остаток от профинансированных округом средств составил 78,80 тыс. рублей,  в связи с тем, что кассовые расходы на комунальные услуги, услуги связи производились по фактически выставленым поставщиками счетам. Специалистами отдела по труду и занятости: принято участие в расследовании 5 несчастных случаях связанных с производством и в 7 несчатных случаях не связанных с производством; рассмотрено 16 устных и 1 письменное обращение, поступившие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</si>
  <si>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Отчет о ходе реализации муниципальной программы "Содействие занятости населения города Когалыма"по состоянию на 01.05.2018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</si>
</sst>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0_ ;[Red]\-#,##0.000\ "/>
  </numFmts>
  <fonts count="33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7" fontId="2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2" fontId="19" fillId="4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165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4" fillId="0" borderId="8" xfId="0" applyFont="1" applyFill="1" applyBorder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4" fontId="28" fillId="3" borderId="1" xfId="0" applyNumberFormat="1" applyFont="1" applyFill="1" applyBorder="1" applyAlignment="1" applyProtection="1">
      <alignment vertical="center" wrapText="1"/>
    </xf>
    <xf numFmtId="0" fontId="28" fillId="8" borderId="1" xfId="0" applyFont="1" applyFill="1" applyBorder="1" applyAlignment="1">
      <alignment horizontal="justify" vertical="top" wrapText="1"/>
    </xf>
    <xf numFmtId="4" fontId="28" fillId="8" borderId="1" xfId="0" applyNumberFormat="1" applyFont="1" applyFill="1" applyBorder="1" applyAlignment="1">
      <alignment horizontal="right" vertical="center" wrapText="1"/>
    </xf>
    <xf numFmtId="43" fontId="5" fillId="8" borderId="1" xfId="1" applyFont="1" applyFill="1" applyBorder="1" applyAlignment="1">
      <alignment horizontal="right" vertical="center" wrapText="1"/>
    </xf>
    <xf numFmtId="43" fontId="5" fillId="8" borderId="1" xfId="1" applyFont="1" applyFill="1" applyBorder="1" applyAlignment="1" applyProtection="1">
      <alignment horizontal="right" vertical="center" wrapText="1"/>
    </xf>
    <xf numFmtId="0" fontId="28" fillId="4" borderId="1" xfId="0" applyFont="1" applyFill="1" applyBorder="1" applyAlignment="1">
      <alignment horizontal="justify" wrapText="1"/>
    </xf>
    <xf numFmtId="43" fontId="28" fillId="4" borderId="1" xfId="1" applyFont="1" applyFill="1" applyBorder="1" applyAlignment="1">
      <alignment horizontal="right" vertical="center" wrapText="1"/>
    </xf>
    <xf numFmtId="9" fontId="28" fillId="4" borderId="1" xfId="2" applyFont="1" applyFill="1" applyBorder="1" applyAlignment="1">
      <alignment horizontal="right" vertical="center" wrapText="1"/>
    </xf>
    <xf numFmtId="43" fontId="28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8" fillId="0" borderId="1" xfId="1" applyFont="1" applyFill="1" applyBorder="1" applyAlignment="1" applyProtection="1">
      <alignment horizontal="right" vertical="center" wrapText="1"/>
    </xf>
    <xf numFmtId="9" fontId="28" fillId="0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8" borderId="1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43" fontId="19" fillId="4" borderId="4" xfId="1" applyFont="1" applyFill="1" applyBorder="1" applyAlignment="1" applyProtection="1">
      <alignment horizontal="right" vertical="center" wrapText="1"/>
    </xf>
    <xf numFmtId="43" fontId="19" fillId="4" borderId="4" xfId="1" applyFont="1" applyFill="1" applyBorder="1" applyAlignment="1">
      <alignment horizontal="right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9" fontId="5" fillId="4" borderId="1" xfId="2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28" fillId="0" borderId="1" xfId="2" applyFont="1" applyFill="1" applyBorder="1" applyAlignment="1">
      <alignment horizontal="right" vertical="center" wrapText="1"/>
    </xf>
    <xf numFmtId="43" fontId="28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justify" vertical="top" wrapText="1"/>
    </xf>
    <xf numFmtId="4" fontId="28" fillId="9" borderId="1" xfId="0" applyNumberFormat="1" applyFont="1" applyFill="1" applyBorder="1" applyAlignment="1">
      <alignment horizontal="right" vertical="center" wrapText="1"/>
    </xf>
    <xf numFmtId="9" fontId="28" fillId="9" borderId="1" xfId="2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>
      <alignment horizontal="right" vertical="center" wrapText="1"/>
    </xf>
    <xf numFmtId="9" fontId="5" fillId="5" borderId="5" xfId="2" applyFont="1" applyFill="1" applyBorder="1" applyAlignment="1" applyProtection="1">
      <alignment horizontal="right" vertical="center" wrapText="1"/>
    </xf>
    <xf numFmtId="43" fontId="5" fillId="5" borderId="5" xfId="1" applyFont="1" applyFill="1" applyBorder="1" applyAlignment="1" applyProtection="1">
      <alignment horizontal="right" vertical="center" wrapText="1"/>
    </xf>
    <xf numFmtId="43" fontId="19" fillId="0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9" fontId="28" fillId="8" borderId="1" xfId="2" applyFont="1" applyFill="1" applyBorder="1" applyAlignment="1">
      <alignment horizontal="right" vertical="center" wrapText="1"/>
    </xf>
    <xf numFmtId="43" fontId="28" fillId="8" borderId="1" xfId="1" applyFont="1" applyFill="1" applyBorder="1" applyAlignment="1">
      <alignment horizontal="right" wrapText="1"/>
    </xf>
    <xf numFmtId="43" fontId="28" fillId="3" borderId="1" xfId="1" applyFont="1" applyFill="1" applyBorder="1" applyAlignment="1" applyProtection="1">
      <alignment horizontal="right" wrapText="1"/>
    </xf>
    <xf numFmtId="0" fontId="13" fillId="0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center" wrapText="1"/>
    </xf>
    <xf numFmtId="43" fontId="21" fillId="0" borderId="0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30" fillId="8" borderId="1" xfId="0" applyFont="1" applyFill="1" applyBorder="1" applyAlignment="1">
      <alignment horizontal="justify" vertical="top" wrapText="1"/>
    </xf>
    <xf numFmtId="43" fontId="28" fillId="8" borderId="1" xfId="1" applyFont="1" applyFill="1" applyBorder="1" applyAlignment="1" applyProtection="1">
      <alignment horizontal="right" vertical="center" wrapText="1"/>
    </xf>
    <xf numFmtId="9" fontId="28" fillId="8" borderId="1" xfId="2" applyFont="1" applyFill="1" applyBorder="1" applyAlignment="1" applyProtection="1">
      <alignment horizontal="right" vertical="center" wrapText="1"/>
    </xf>
    <xf numFmtId="43" fontId="19" fillId="8" borderId="4" xfId="1" applyFont="1" applyFill="1" applyBorder="1" applyAlignment="1" applyProtection="1">
      <alignment horizontal="right" vertical="center" wrapText="1"/>
    </xf>
    <xf numFmtId="0" fontId="30" fillId="10" borderId="1" xfId="0" applyFont="1" applyFill="1" applyBorder="1" applyAlignment="1">
      <alignment horizontal="justify" vertical="top" wrapText="1"/>
    </xf>
    <xf numFmtId="2" fontId="5" fillId="10" borderId="1" xfId="0" applyNumberFormat="1" applyFont="1" applyFill="1" applyBorder="1" applyAlignment="1">
      <alignment horizontal="right" vertical="center" wrapText="1"/>
    </xf>
    <xf numFmtId="2" fontId="5" fillId="10" borderId="1" xfId="0" applyNumberFormat="1" applyFont="1" applyFill="1" applyBorder="1" applyAlignment="1" applyProtection="1">
      <alignment horizontal="right" vertical="center" wrapText="1"/>
    </xf>
    <xf numFmtId="2" fontId="28" fillId="10" borderId="1" xfId="0" applyNumberFormat="1" applyFont="1" applyFill="1" applyBorder="1" applyAlignment="1" applyProtection="1">
      <alignment horizontal="right" vertical="center" wrapText="1"/>
    </xf>
    <xf numFmtId="2" fontId="28" fillId="10" borderId="7" xfId="0" applyNumberFormat="1" applyFont="1" applyFill="1" applyBorder="1" applyAlignment="1" applyProtection="1">
      <alignment horizontal="right" vertical="center" wrapText="1"/>
    </xf>
    <xf numFmtId="2" fontId="19" fillId="10" borderId="4" xfId="0" applyNumberFormat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 applyProtection="1">
      <alignment horizontal="right" vertical="center" wrapText="1"/>
    </xf>
    <xf numFmtId="43" fontId="28" fillId="10" borderId="1" xfId="1" applyFont="1" applyFill="1" applyBorder="1" applyAlignment="1" applyProtection="1">
      <alignment horizontal="right" vertical="center" wrapText="1"/>
    </xf>
    <xf numFmtId="9" fontId="28" fillId="10" borderId="1" xfId="2" applyFont="1" applyFill="1" applyBorder="1" applyAlignment="1" applyProtection="1">
      <alignment horizontal="right" vertical="center" wrapText="1"/>
    </xf>
    <xf numFmtId="43" fontId="19" fillId="10" borderId="4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top" wrapText="1"/>
    </xf>
    <xf numFmtId="0" fontId="30" fillId="10" borderId="7" xfId="0" applyFont="1" applyFill="1" applyBorder="1" applyAlignment="1">
      <alignment horizontal="justify" vertical="top" wrapText="1"/>
    </xf>
    <xf numFmtId="43" fontId="5" fillId="10" borderId="7" xfId="1" applyFont="1" applyFill="1" applyBorder="1" applyAlignment="1">
      <alignment horizontal="right" vertical="center" wrapText="1"/>
    </xf>
    <xf numFmtId="43" fontId="28" fillId="10" borderId="7" xfId="1" applyFont="1" applyFill="1" applyBorder="1" applyAlignment="1" applyProtection="1">
      <alignment horizontal="right" vertical="center" wrapText="1"/>
    </xf>
    <xf numFmtId="9" fontId="28" fillId="10" borderId="7" xfId="2" applyFont="1" applyFill="1" applyBorder="1" applyAlignment="1" applyProtection="1">
      <alignment horizontal="right" vertical="center" wrapText="1"/>
    </xf>
    <xf numFmtId="43" fontId="19" fillId="10" borderId="9" xfId="1" applyFont="1" applyFill="1" applyBorder="1" applyAlignment="1" applyProtection="1">
      <alignment horizontal="right" vertical="center" wrapText="1"/>
    </xf>
    <xf numFmtId="0" fontId="28" fillId="7" borderId="10" xfId="0" applyFont="1" applyFill="1" applyBorder="1" applyAlignment="1">
      <alignment horizontal="justify" wrapText="1"/>
    </xf>
    <xf numFmtId="43" fontId="28" fillId="7" borderId="11" xfId="1" applyFont="1" applyFill="1" applyBorder="1" applyAlignment="1">
      <alignment horizontal="right" vertical="center" wrapText="1"/>
    </xf>
    <xf numFmtId="9" fontId="28" fillId="7" borderId="11" xfId="2" applyFont="1" applyFill="1" applyBorder="1" applyAlignment="1">
      <alignment horizontal="right" vertical="center" wrapText="1"/>
    </xf>
    <xf numFmtId="43" fontId="28" fillId="7" borderId="12" xfId="1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horizontal="justify" wrapText="1"/>
    </xf>
    <xf numFmtId="43" fontId="5" fillId="6" borderId="14" xfId="1" applyFont="1" applyFill="1" applyBorder="1" applyAlignment="1" applyProtection="1">
      <alignment horizontal="right" vertical="center" wrapText="1"/>
    </xf>
    <xf numFmtId="0" fontId="5" fillId="5" borderId="15" xfId="0" applyFont="1" applyFill="1" applyBorder="1" applyAlignment="1">
      <alignment horizontal="justify" wrapText="1"/>
    </xf>
    <xf numFmtId="43" fontId="5" fillId="5" borderId="16" xfId="1" applyFont="1" applyFill="1" applyBorder="1" applyAlignment="1">
      <alignment horizontal="right" vertical="center" wrapText="1"/>
    </xf>
    <xf numFmtId="9" fontId="5" fillId="5" borderId="16" xfId="2" applyFont="1" applyFill="1" applyBorder="1" applyAlignment="1" applyProtection="1">
      <alignment horizontal="right" vertical="center" wrapText="1"/>
    </xf>
    <xf numFmtId="43" fontId="5" fillId="5" borderId="16" xfId="1" applyFont="1" applyFill="1" applyBorder="1" applyAlignment="1" applyProtection="1">
      <alignment horizontal="right" vertical="center" wrapText="1"/>
    </xf>
    <xf numFmtId="43" fontId="5" fillId="5" borderId="17" xfId="1" applyFont="1" applyFill="1" applyBorder="1" applyAlignment="1" applyProtection="1">
      <alignment horizontal="right" vertical="center" wrapText="1"/>
    </xf>
    <xf numFmtId="49" fontId="22" fillId="0" borderId="1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2" fillId="0" borderId="0" xfId="0" applyNumberFormat="1" applyFont="1" applyFill="1" applyBorder="1" applyAlignment="1">
      <alignment horizontal="left" wrapText="1"/>
    </xf>
    <xf numFmtId="165" fontId="26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CC"/>
      <color rgb="FF00FF00"/>
      <color rgb="FFCCFFCC"/>
      <color rgb="FF99FF66"/>
      <color rgb="FF66FF66"/>
      <color rgb="FFDED9D8"/>
      <color rgb="FFB7ABA9"/>
      <color rgb="FF99FF99"/>
      <color rgb="FFACA9F1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166" t="s">
        <v>60</v>
      </c>
      <c r="C6" s="166"/>
      <c r="D6" s="166"/>
      <c r="E6" s="166"/>
      <c r="F6" s="166"/>
      <c r="G6" s="166"/>
      <c r="H6" s="166"/>
      <c r="I6" s="166"/>
      <c r="J6" s="166"/>
    </row>
    <row r="7" spans="2:13" s="4" customFormat="1" x14ac:dyDescent="0.2"/>
    <row r="8" spans="2:13" s="4" customFormat="1" x14ac:dyDescent="0.2">
      <c r="B8" s="167" t="s">
        <v>29</v>
      </c>
      <c r="C8" s="167" t="s">
        <v>0</v>
      </c>
      <c r="D8" s="167" t="s">
        <v>72</v>
      </c>
      <c r="E8" s="167" t="s">
        <v>1</v>
      </c>
      <c r="F8" s="167" t="s">
        <v>30</v>
      </c>
      <c r="G8" s="167"/>
      <c r="H8" s="167"/>
      <c r="I8" s="167"/>
      <c r="J8" s="167" t="s">
        <v>2</v>
      </c>
    </row>
    <row r="9" spans="2:13" s="4" customFormat="1" x14ac:dyDescent="0.2">
      <c r="B9" s="167"/>
      <c r="C9" s="167"/>
      <c r="D9" s="167"/>
      <c r="E9" s="167"/>
      <c r="F9" s="167" t="s">
        <v>3</v>
      </c>
      <c r="G9" s="167" t="s">
        <v>4</v>
      </c>
      <c r="H9" s="167"/>
      <c r="I9" s="167"/>
      <c r="J9" s="167"/>
    </row>
    <row r="10" spans="2:13" s="4" customFormat="1" x14ac:dyDescent="0.2">
      <c r="B10" s="167"/>
      <c r="C10" s="167"/>
      <c r="D10" s="167"/>
      <c r="E10" s="167"/>
      <c r="F10" s="167"/>
      <c r="G10" s="14" t="s">
        <v>5</v>
      </c>
      <c r="H10" s="14" t="s">
        <v>6</v>
      </c>
      <c r="I10" s="14" t="s">
        <v>7</v>
      </c>
      <c r="J10" s="167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174" t="s">
        <v>63</v>
      </c>
      <c r="C12" s="174"/>
      <c r="D12" s="174"/>
      <c r="E12" s="174"/>
      <c r="F12" s="174"/>
      <c r="G12" s="174"/>
      <c r="H12" s="174"/>
      <c r="I12" s="174"/>
      <c r="J12" s="174"/>
    </row>
    <row r="13" spans="2:13" s="4" customFormat="1" x14ac:dyDescent="0.2">
      <c r="B13" s="174" t="s">
        <v>58</v>
      </c>
      <c r="C13" s="174"/>
      <c r="D13" s="174"/>
      <c r="E13" s="174"/>
      <c r="F13" s="174"/>
      <c r="G13" s="174"/>
      <c r="H13" s="174"/>
      <c r="I13" s="174"/>
      <c r="J13" s="174"/>
    </row>
    <row r="14" spans="2:13" s="4" customFormat="1" x14ac:dyDescent="0.2">
      <c r="B14" s="175" t="s">
        <v>8</v>
      </c>
      <c r="C14" s="176"/>
      <c r="D14" s="176"/>
      <c r="E14" s="176"/>
      <c r="F14" s="176"/>
      <c r="G14" s="176"/>
      <c r="H14" s="176"/>
      <c r="I14" s="176"/>
      <c r="J14" s="177"/>
    </row>
    <row r="15" spans="2:13" s="4" customFormat="1" x14ac:dyDescent="0.2">
      <c r="B15" s="178" t="s">
        <v>31</v>
      </c>
      <c r="C15" s="171" t="s">
        <v>9</v>
      </c>
      <c r="D15" s="168" t="s">
        <v>43</v>
      </c>
      <c r="E15" s="168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179"/>
      <c r="C16" s="172"/>
      <c r="D16" s="169"/>
      <c r="E16" s="169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180"/>
      <c r="C17" s="173"/>
      <c r="D17" s="170"/>
      <c r="E17" s="170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178" t="s">
        <v>33</v>
      </c>
      <c r="C19" s="171" t="s">
        <v>12</v>
      </c>
      <c r="D19" s="168" t="s">
        <v>43</v>
      </c>
      <c r="E19" s="168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179"/>
      <c r="C20" s="172"/>
      <c r="D20" s="169"/>
      <c r="E20" s="169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180"/>
      <c r="C21" s="173"/>
      <c r="D21" s="170"/>
      <c r="E21" s="170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67" t="s">
        <v>16</v>
      </c>
      <c r="G25" s="167"/>
      <c r="H25" s="167"/>
      <c r="I25" s="167"/>
      <c r="J25" s="167"/>
      <c r="M25" s="8"/>
    </row>
    <row r="26" spans="2:13" s="4" customFormat="1" x14ac:dyDescent="0.2">
      <c r="B26" s="168"/>
      <c r="C26" s="171" t="s">
        <v>17</v>
      </c>
      <c r="D26" s="168" t="s">
        <v>43</v>
      </c>
      <c r="E26" s="168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169"/>
      <c r="C27" s="172"/>
      <c r="D27" s="169"/>
      <c r="E27" s="169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170"/>
      <c r="C28" s="173"/>
      <c r="D28" s="170"/>
      <c r="E28" s="170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174" t="s">
        <v>18</v>
      </c>
      <c r="C29" s="174"/>
      <c r="D29" s="174"/>
      <c r="E29" s="174"/>
      <c r="F29" s="174"/>
      <c r="G29" s="174"/>
      <c r="H29" s="174"/>
      <c r="I29" s="174"/>
      <c r="J29" s="174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181"/>
      <c r="C32" s="171" t="s">
        <v>21</v>
      </c>
      <c r="D32" s="184"/>
      <c r="E32" s="168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182"/>
      <c r="C33" s="172"/>
      <c r="D33" s="185"/>
      <c r="E33" s="169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183"/>
      <c r="C34" s="173"/>
      <c r="D34" s="186"/>
      <c r="E34" s="170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175" t="s">
        <v>59</v>
      </c>
      <c r="C35" s="176"/>
      <c r="D35" s="176"/>
      <c r="E35" s="176"/>
      <c r="F35" s="176"/>
      <c r="G35" s="176"/>
      <c r="H35" s="176"/>
      <c r="I35" s="176"/>
      <c r="J35" s="177"/>
      <c r="M35" s="8"/>
    </row>
    <row r="36" spans="2:13" x14ac:dyDescent="0.2">
      <c r="B36" s="175" t="s">
        <v>56</v>
      </c>
      <c r="C36" s="176"/>
      <c r="D36" s="176"/>
      <c r="E36" s="176"/>
      <c r="F36" s="176"/>
      <c r="G36" s="176"/>
      <c r="H36" s="176"/>
      <c r="I36" s="176"/>
      <c r="J36" s="177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175" t="s">
        <v>64</v>
      </c>
      <c r="C40" s="176"/>
      <c r="D40" s="176"/>
      <c r="E40" s="176"/>
      <c r="F40" s="176"/>
      <c r="G40" s="176"/>
      <c r="H40" s="176"/>
      <c r="I40" s="176"/>
      <c r="J40" s="177"/>
      <c r="M40" s="8"/>
    </row>
    <row r="41" spans="2:13" x14ac:dyDescent="0.2">
      <c r="B41" s="175" t="s">
        <v>44</v>
      </c>
      <c r="C41" s="176"/>
      <c r="D41" s="176"/>
      <c r="E41" s="176"/>
      <c r="F41" s="176"/>
      <c r="G41" s="176"/>
      <c r="H41" s="176"/>
      <c r="I41" s="176"/>
      <c r="J41" s="177"/>
      <c r="M41" s="8"/>
    </row>
    <row r="42" spans="2:13" x14ac:dyDescent="0.2">
      <c r="B42" s="174" t="s">
        <v>45</v>
      </c>
      <c r="C42" s="174"/>
      <c r="D42" s="174"/>
      <c r="E42" s="174"/>
      <c r="F42" s="174"/>
      <c r="G42" s="174"/>
      <c r="H42" s="174"/>
      <c r="I42" s="174"/>
      <c r="J42" s="174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67" t="s">
        <v>16</v>
      </c>
      <c r="G43" s="167"/>
      <c r="H43" s="167"/>
      <c r="I43" s="167"/>
      <c r="J43" s="167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167"/>
      <c r="C47" s="171" t="s">
        <v>48</v>
      </c>
      <c r="D47" s="167" t="s">
        <v>22</v>
      </c>
      <c r="E47" s="167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167"/>
      <c r="C48" s="172"/>
      <c r="D48" s="167"/>
      <c r="E48" s="167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167"/>
      <c r="C49" s="173"/>
      <c r="D49" s="167"/>
      <c r="E49" s="167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174" t="s">
        <v>49</v>
      </c>
      <c r="C50" s="174"/>
      <c r="D50" s="174"/>
      <c r="E50" s="174"/>
      <c r="F50" s="174"/>
      <c r="G50" s="174"/>
      <c r="H50" s="174"/>
      <c r="I50" s="174"/>
      <c r="J50" s="174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67" t="s">
        <v>16</v>
      </c>
      <c r="G51" s="167"/>
      <c r="H51" s="167"/>
      <c r="I51" s="167"/>
      <c r="J51" s="167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67" t="s">
        <v>16</v>
      </c>
      <c r="G52" s="167"/>
      <c r="H52" s="167"/>
      <c r="I52" s="167"/>
      <c r="J52" s="167"/>
      <c r="M52" s="8"/>
    </row>
    <row r="53" spans="2:22" ht="15.75" customHeight="1" x14ac:dyDescent="0.2">
      <c r="B53" s="187"/>
      <c r="C53" s="174" t="s">
        <v>52</v>
      </c>
      <c r="D53" s="167" t="s">
        <v>22</v>
      </c>
      <c r="E53" s="167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187"/>
      <c r="C54" s="174"/>
      <c r="D54" s="167"/>
      <c r="E54" s="167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187"/>
      <c r="C55" s="174"/>
      <c r="D55" s="167"/>
      <c r="E55" s="167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188"/>
      <c r="C56" s="174" t="s">
        <v>55</v>
      </c>
      <c r="D56" s="187"/>
      <c r="E56" s="167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188"/>
      <c r="C57" s="174"/>
      <c r="D57" s="187"/>
      <c r="E57" s="167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188"/>
      <c r="C58" s="174"/>
      <c r="D58" s="187"/>
      <c r="E58" s="167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187"/>
      <c r="C60" s="174" t="s">
        <v>28</v>
      </c>
      <c r="D60" s="187"/>
      <c r="E60" s="167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187"/>
      <c r="C61" s="174"/>
      <c r="D61" s="187"/>
      <c r="E61" s="167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187"/>
      <c r="C62" s="174"/>
      <c r="D62" s="187"/>
      <c r="E62" s="167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184"/>
      <c r="C63" s="171" t="s">
        <v>61</v>
      </c>
      <c r="D63" s="184"/>
      <c r="E63" s="168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185"/>
      <c r="C64" s="172"/>
      <c r="D64" s="185"/>
      <c r="E64" s="169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186"/>
      <c r="C65" s="173"/>
      <c r="D65" s="186"/>
      <c r="E65" s="170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166" t="s">
        <v>60</v>
      </c>
      <c r="C6" s="166"/>
      <c r="D6" s="166"/>
      <c r="E6" s="166"/>
      <c r="F6" s="166"/>
      <c r="G6" s="166"/>
      <c r="H6" s="166"/>
      <c r="I6" s="166"/>
      <c r="J6" s="166"/>
    </row>
    <row r="7" spans="2:18" s="4" customFormat="1" x14ac:dyDescent="0.2"/>
    <row r="8" spans="2:18" s="4" customFormat="1" x14ac:dyDescent="0.2">
      <c r="B8" s="167" t="s">
        <v>29</v>
      </c>
      <c r="C8" s="167" t="s">
        <v>0</v>
      </c>
      <c r="D8" s="167" t="s">
        <v>72</v>
      </c>
      <c r="E8" s="167" t="s">
        <v>1</v>
      </c>
      <c r="F8" s="167" t="s">
        <v>30</v>
      </c>
      <c r="G8" s="167"/>
      <c r="H8" s="167"/>
      <c r="I8" s="167"/>
      <c r="J8" s="167" t="s">
        <v>2</v>
      </c>
    </row>
    <row r="9" spans="2:18" s="4" customFormat="1" x14ac:dyDescent="0.2">
      <c r="B9" s="167"/>
      <c r="C9" s="167"/>
      <c r="D9" s="167"/>
      <c r="E9" s="167"/>
      <c r="F9" s="167" t="s">
        <v>3</v>
      </c>
      <c r="G9" s="167" t="s">
        <v>4</v>
      </c>
      <c r="H9" s="167"/>
      <c r="I9" s="167"/>
      <c r="J9" s="167"/>
    </row>
    <row r="10" spans="2:18" s="4" customFormat="1" ht="15.75" customHeight="1" x14ac:dyDescent="0.2">
      <c r="B10" s="167"/>
      <c r="C10" s="167"/>
      <c r="D10" s="167"/>
      <c r="E10" s="167"/>
      <c r="F10" s="167"/>
      <c r="G10" s="14" t="s">
        <v>5</v>
      </c>
      <c r="H10" s="14" t="s">
        <v>6</v>
      </c>
      <c r="I10" s="14" t="s">
        <v>7</v>
      </c>
      <c r="J10" s="167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174" t="s">
        <v>63</v>
      </c>
      <c r="C12" s="174"/>
      <c r="D12" s="174"/>
      <c r="E12" s="174"/>
      <c r="F12" s="174"/>
      <c r="G12" s="174"/>
      <c r="H12" s="174"/>
      <c r="I12" s="174"/>
      <c r="J12" s="174"/>
    </row>
    <row r="13" spans="2:18" s="4" customFormat="1" ht="24.75" customHeight="1" x14ac:dyDescent="0.2">
      <c r="B13" s="174" t="s">
        <v>58</v>
      </c>
      <c r="C13" s="174"/>
      <c r="D13" s="174"/>
      <c r="E13" s="174"/>
      <c r="F13" s="174"/>
      <c r="G13" s="174"/>
      <c r="H13" s="174"/>
      <c r="I13" s="174"/>
      <c r="J13" s="174"/>
    </row>
    <row r="14" spans="2:18" s="4" customFormat="1" ht="25.5" customHeight="1" x14ac:dyDescent="0.2">
      <c r="B14" s="175" t="s">
        <v>8</v>
      </c>
      <c r="C14" s="176"/>
      <c r="D14" s="176"/>
      <c r="E14" s="176"/>
      <c r="F14" s="176"/>
      <c r="G14" s="176"/>
      <c r="H14" s="176"/>
      <c r="I14" s="176"/>
      <c r="J14" s="177"/>
    </row>
    <row r="15" spans="2:18" s="4" customFormat="1" ht="12.75" customHeight="1" x14ac:dyDescent="0.2">
      <c r="B15" s="178" t="s">
        <v>31</v>
      </c>
      <c r="C15" s="171" t="s">
        <v>9</v>
      </c>
      <c r="D15" s="168" t="s">
        <v>43</v>
      </c>
      <c r="E15" s="168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78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179"/>
      <c r="C16" s="172"/>
      <c r="D16" s="169"/>
      <c r="E16" s="169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79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180"/>
      <c r="C17" s="173"/>
      <c r="D17" s="170"/>
      <c r="E17" s="170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80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178" t="s">
        <v>33</v>
      </c>
      <c r="C19" s="171" t="s">
        <v>12</v>
      </c>
      <c r="D19" s="168" t="s">
        <v>43</v>
      </c>
      <c r="E19" s="168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78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179"/>
      <c r="C20" s="172"/>
      <c r="D20" s="169"/>
      <c r="E20" s="169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79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180"/>
      <c r="C21" s="173"/>
      <c r="D21" s="170"/>
      <c r="E21" s="170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80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67" t="s">
        <v>16</v>
      </c>
      <c r="G25" s="167"/>
      <c r="H25" s="167"/>
      <c r="I25" s="167"/>
      <c r="J25" s="167"/>
      <c r="L25" s="7" t="s">
        <v>37</v>
      </c>
      <c r="M25" s="167" t="s">
        <v>16</v>
      </c>
      <c r="N25" s="167"/>
      <c r="O25" s="167"/>
      <c r="P25" s="167"/>
      <c r="Q25" s="8"/>
      <c r="R25" s="8"/>
    </row>
    <row r="26" spans="2:18" s="4" customFormat="1" ht="18.75" customHeight="1" x14ac:dyDescent="0.2">
      <c r="B26" s="168"/>
      <c r="C26" s="171" t="s">
        <v>17</v>
      </c>
      <c r="D26" s="168" t="s">
        <v>43</v>
      </c>
      <c r="E26" s="168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68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169"/>
      <c r="C27" s="172"/>
      <c r="D27" s="169"/>
      <c r="E27" s="169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69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170"/>
      <c r="C28" s="173"/>
      <c r="D28" s="170"/>
      <c r="E28" s="170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70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174" t="s">
        <v>18</v>
      </c>
      <c r="C29" s="174"/>
      <c r="D29" s="174"/>
      <c r="E29" s="174"/>
      <c r="F29" s="174"/>
      <c r="G29" s="174"/>
      <c r="H29" s="174"/>
      <c r="I29" s="174"/>
      <c r="J29" s="174"/>
      <c r="L29" s="174" t="s">
        <v>18</v>
      </c>
      <c r="M29" s="174"/>
      <c r="N29" s="174"/>
      <c r="O29" s="174"/>
      <c r="P29" s="174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181"/>
      <c r="C32" s="171" t="s">
        <v>21</v>
      </c>
      <c r="D32" s="184"/>
      <c r="E32" s="168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81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182"/>
      <c r="C33" s="172"/>
      <c r="D33" s="185"/>
      <c r="E33" s="169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82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183"/>
      <c r="C34" s="173"/>
      <c r="D34" s="186"/>
      <c r="E34" s="170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83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175" t="s">
        <v>59</v>
      </c>
      <c r="C35" s="176"/>
      <c r="D35" s="176"/>
      <c r="E35" s="176"/>
      <c r="F35" s="176"/>
      <c r="G35" s="176"/>
      <c r="H35" s="176"/>
      <c r="I35" s="176"/>
      <c r="J35" s="177"/>
      <c r="L35" s="175" t="s">
        <v>59</v>
      </c>
      <c r="M35" s="176"/>
      <c r="N35" s="176"/>
      <c r="O35" s="176"/>
      <c r="P35" s="176"/>
      <c r="Q35" s="8"/>
      <c r="R35" s="8"/>
    </row>
    <row r="36" spans="2:18" ht="27" customHeight="1" x14ac:dyDescent="0.2">
      <c r="B36" s="175" t="s">
        <v>56</v>
      </c>
      <c r="C36" s="176"/>
      <c r="D36" s="176"/>
      <c r="E36" s="176"/>
      <c r="F36" s="176"/>
      <c r="G36" s="176"/>
      <c r="H36" s="176"/>
      <c r="I36" s="176"/>
      <c r="J36" s="177"/>
      <c r="L36" s="175" t="s">
        <v>56</v>
      </c>
      <c r="M36" s="176"/>
      <c r="N36" s="176"/>
      <c r="O36" s="176"/>
      <c r="P36" s="176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175" t="s">
        <v>64</v>
      </c>
      <c r="C40" s="176"/>
      <c r="D40" s="176"/>
      <c r="E40" s="176"/>
      <c r="F40" s="176"/>
      <c r="G40" s="176"/>
      <c r="H40" s="176"/>
      <c r="I40" s="176"/>
      <c r="J40" s="177"/>
      <c r="L40" s="175" t="s">
        <v>64</v>
      </c>
      <c r="M40" s="176"/>
      <c r="N40" s="176"/>
      <c r="O40" s="176"/>
      <c r="P40" s="176"/>
      <c r="Q40" s="8"/>
      <c r="R40" s="8"/>
    </row>
    <row r="41" spans="2:18" ht="26.25" customHeight="1" x14ac:dyDescent="0.2">
      <c r="B41" s="175" t="s">
        <v>44</v>
      </c>
      <c r="C41" s="176"/>
      <c r="D41" s="176"/>
      <c r="E41" s="176"/>
      <c r="F41" s="176"/>
      <c r="G41" s="176"/>
      <c r="H41" s="176"/>
      <c r="I41" s="176"/>
      <c r="J41" s="177"/>
      <c r="L41" s="175" t="s">
        <v>44</v>
      </c>
      <c r="M41" s="176"/>
      <c r="N41" s="176"/>
      <c r="O41" s="176"/>
      <c r="P41" s="176"/>
      <c r="Q41" s="8"/>
      <c r="R41" s="8"/>
    </row>
    <row r="42" spans="2:18" ht="27.75" customHeight="1" x14ac:dyDescent="0.2">
      <c r="B42" s="174" t="s">
        <v>45</v>
      </c>
      <c r="C42" s="174"/>
      <c r="D42" s="174"/>
      <c r="E42" s="174"/>
      <c r="F42" s="174"/>
      <c r="G42" s="174"/>
      <c r="H42" s="174"/>
      <c r="I42" s="174"/>
      <c r="J42" s="174"/>
      <c r="L42" s="174" t="s">
        <v>45</v>
      </c>
      <c r="M42" s="174"/>
      <c r="N42" s="174"/>
      <c r="O42" s="174"/>
      <c r="P42" s="174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67" t="s">
        <v>16</v>
      </c>
      <c r="G43" s="167"/>
      <c r="H43" s="167"/>
      <c r="I43" s="167"/>
      <c r="J43" s="167"/>
      <c r="L43" s="7" t="s">
        <v>40</v>
      </c>
      <c r="M43" s="167" t="s">
        <v>16</v>
      </c>
      <c r="N43" s="167"/>
      <c r="O43" s="167"/>
      <c r="P43" s="167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167"/>
      <c r="C47" s="171" t="s">
        <v>48</v>
      </c>
      <c r="D47" s="167" t="s">
        <v>22</v>
      </c>
      <c r="E47" s="167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67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167"/>
      <c r="C48" s="172"/>
      <c r="D48" s="167"/>
      <c r="E48" s="167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67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167"/>
      <c r="C49" s="173"/>
      <c r="D49" s="167"/>
      <c r="E49" s="167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67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174" t="s">
        <v>49</v>
      </c>
      <c r="C50" s="174"/>
      <c r="D50" s="174"/>
      <c r="E50" s="174"/>
      <c r="F50" s="174"/>
      <c r="G50" s="174"/>
      <c r="H50" s="174"/>
      <c r="I50" s="174"/>
      <c r="J50" s="174"/>
      <c r="L50" s="174" t="s">
        <v>49</v>
      </c>
      <c r="M50" s="174"/>
      <c r="N50" s="174"/>
      <c r="O50" s="174"/>
      <c r="P50" s="174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67" t="s">
        <v>16</v>
      </c>
      <c r="G51" s="167"/>
      <c r="H51" s="167"/>
      <c r="I51" s="167"/>
      <c r="J51" s="167"/>
      <c r="L51" s="7" t="s">
        <v>50</v>
      </c>
      <c r="M51" s="167" t="s">
        <v>16</v>
      </c>
      <c r="N51" s="167"/>
      <c r="O51" s="167"/>
      <c r="P51" s="167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67" t="s">
        <v>16</v>
      </c>
      <c r="G52" s="167"/>
      <c r="H52" s="167"/>
      <c r="I52" s="167"/>
      <c r="J52" s="167"/>
      <c r="L52" s="7" t="s">
        <v>51</v>
      </c>
      <c r="M52" s="167" t="s">
        <v>16</v>
      </c>
      <c r="N52" s="167"/>
      <c r="O52" s="167"/>
      <c r="P52" s="167"/>
      <c r="Q52" s="8"/>
      <c r="R52" s="8"/>
    </row>
    <row r="53" spans="2:18" ht="15.75" customHeight="1" x14ac:dyDescent="0.2">
      <c r="B53" s="187"/>
      <c r="C53" s="174" t="s">
        <v>52</v>
      </c>
      <c r="D53" s="167" t="s">
        <v>22</v>
      </c>
      <c r="E53" s="167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87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187"/>
      <c r="C54" s="174"/>
      <c r="D54" s="167"/>
      <c r="E54" s="167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87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187"/>
      <c r="C55" s="174"/>
      <c r="D55" s="167"/>
      <c r="E55" s="167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87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188"/>
      <c r="C56" s="174" t="s">
        <v>55</v>
      </c>
      <c r="D56" s="187"/>
      <c r="E56" s="167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88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188"/>
      <c r="C57" s="174"/>
      <c r="D57" s="187"/>
      <c r="E57" s="167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88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188"/>
      <c r="C58" s="174"/>
      <c r="D58" s="187"/>
      <c r="E58" s="167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88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187"/>
      <c r="C60" s="174" t="s">
        <v>28</v>
      </c>
      <c r="D60" s="187"/>
      <c r="E60" s="167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87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187"/>
      <c r="C61" s="174"/>
      <c r="D61" s="187"/>
      <c r="E61" s="167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87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187"/>
      <c r="C62" s="174"/>
      <c r="D62" s="187"/>
      <c r="E62" s="167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87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184"/>
      <c r="C63" s="171" t="s">
        <v>61</v>
      </c>
      <c r="D63" s="184"/>
      <c r="E63" s="168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84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185"/>
      <c r="C64" s="172"/>
      <c r="D64" s="185"/>
      <c r="E64" s="169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85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186"/>
      <c r="C65" s="173"/>
      <c r="D65" s="186"/>
      <c r="E65" s="170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86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9" workbookViewId="0">
      <selection activeCell="G20" sqref="G20"/>
    </sheetView>
  </sheetViews>
  <sheetFormatPr defaultRowHeight="12.75" x14ac:dyDescent="0.2"/>
  <cols>
    <col min="1" max="16384" width="9.140625" style="4"/>
  </cols>
  <sheetData>
    <row r="1" spans="1:9" ht="18.75" x14ac:dyDescent="0.3">
      <c r="A1" s="190"/>
      <c r="B1" s="190"/>
    </row>
    <row r="10" spans="1:9" ht="23.25" x14ac:dyDescent="0.35">
      <c r="A10" s="191" t="s">
        <v>80</v>
      </c>
      <c r="B10" s="191"/>
      <c r="C10" s="191"/>
      <c r="D10" s="191"/>
      <c r="E10" s="191"/>
      <c r="F10" s="191"/>
      <c r="G10" s="191"/>
      <c r="H10" s="191"/>
      <c r="I10" s="191"/>
    </row>
    <row r="11" spans="1:9" ht="23.25" x14ac:dyDescent="0.35">
      <c r="A11" s="191" t="s">
        <v>81</v>
      </c>
      <c r="B11" s="191"/>
      <c r="C11" s="191"/>
      <c r="D11" s="191"/>
      <c r="E11" s="191"/>
      <c r="F11" s="191"/>
      <c r="G11" s="191"/>
      <c r="H11" s="191"/>
      <c r="I11" s="191"/>
    </row>
    <row r="13" spans="1:9" ht="27" customHeight="1" x14ac:dyDescent="0.3">
      <c r="A13" s="189" t="s">
        <v>82</v>
      </c>
      <c r="B13" s="189"/>
      <c r="C13" s="189"/>
      <c r="D13" s="189"/>
      <c r="E13" s="189"/>
      <c r="F13" s="189"/>
      <c r="G13" s="189"/>
      <c r="H13" s="189"/>
      <c r="I13" s="189"/>
    </row>
    <row r="14" spans="1:9" ht="27" customHeight="1" x14ac:dyDescent="0.3">
      <c r="A14" s="189" t="s">
        <v>83</v>
      </c>
      <c r="B14" s="189"/>
      <c r="C14" s="189"/>
      <c r="D14" s="189"/>
      <c r="E14" s="189"/>
      <c r="F14" s="189"/>
      <c r="G14" s="189"/>
      <c r="H14" s="189"/>
      <c r="I14" s="189"/>
    </row>
    <row r="15" spans="1:9" ht="51.75" customHeight="1" x14ac:dyDescent="0.3">
      <c r="A15" s="192" t="s">
        <v>111</v>
      </c>
      <c r="B15" s="192"/>
      <c r="C15" s="192"/>
      <c r="D15" s="192"/>
      <c r="E15" s="192"/>
      <c r="F15" s="192"/>
      <c r="G15" s="192"/>
      <c r="H15" s="192"/>
      <c r="I15" s="192"/>
    </row>
    <row r="17" spans="1:9" ht="19.5" x14ac:dyDescent="0.3">
      <c r="A17" s="189" t="s">
        <v>148</v>
      </c>
      <c r="B17" s="189"/>
      <c r="C17" s="189"/>
      <c r="D17" s="189"/>
      <c r="E17" s="189"/>
      <c r="F17" s="189"/>
      <c r="G17" s="189"/>
      <c r="H17" s="189"/>
      <c r="I17" s="189"/>
    </row>
    <row r="46" spans="1:9" ht="16.5" x14ac:dyDescent="0.25">
      <c r="A46" s="166" t="s">
        <v>84</v>
      </c>
      <c r="B46" s="166"/>
      <c r="C46" s="166"/>
      <c r="D46" s="166"/>
      <c r="E46" s="166"/>
      <c r="F46" s="166"/>
      <c r="G46" s="166"/>
      <c r="H46" s="166"/>
      <c r="I46" s="166"/>
    </row>
    <row r="47" spans="1:9" ht="16.5" x14ac:dyDescent="0.25">
      <c r="A47" s="166"/>
      <c r="B47" s="166"/>
      <c r="C47" s="166"/>
      <c r="D47" s="166"/>
      <c r="E47" s="166"/>
      <c r="F47" s="166"/>
      <c r="G47" s="166"/>
      <c r="H47" s="166"/>
      <c r="I47" s="166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108"/>
  <sheetViews>
    <sheetView tabSelected="1" zoomScale="97" zoomScaleNormal="97" zoomScaleSheetLayoutView="70" workbookViewId="0">
      <pane xSplit="15" ySplit="5" topLeftCell="AF73" activePane="bottomRight" state="frozen"/>
      <selection pane="topRight" activeCell="P1" sqref="P1"/>
      <selection pane="bottomLeft" activeCell="A11" sqref="A11"/>
      <selection pane="bottomRight" activeCell="J19" sqref="J19"/>
    </sheetView>
  </sheetViews>
  <sheetFormatPr defaultRowHeight="18.75" x14ac:dyDescent="0.25"/>
  <cols>
    <col min="1" max="1" width="36.85546875" style="18" customWidth="1"/>
    <col min="2" max="2" width="14.42578125" style="18" customWidth="1"/>
    <col min="3" max="3" width="14.5703125" style="19" customWidth="1"/>
    <col min="4" max="4" width="14.42578125" style="19" customWidth="1"/>
    <col min="5" max="5" width="13.85546875" style="19" customWidth="1"/>
    <col min="6" max="6" width="11.7109375" style="19" customWidth="1"/>
    <col min="7" max="7" width="13.140625" style="19" customWidth="1"/>
    <col min="8" max="8" width="11.140625" style="20" customWidth="1"/>
    <col min="9" max="10" width="13.140625" style="20" customWidth="1"/>
    <col min="11" max="11" width="12.7109375" style="20" customWidth="1"/>
    <col min="12" max="12" width="14.140625" style="20" customWidth="1"/>
    <col min="13" max="13" width="13.28515625" style="20" customWidth="1"/>
    <col min="14" max="14" width="13.42578125" style="20" customWidth="1"/>
    <col min="15" max="15" width="12.7109375" style="20" customWidth="1"/>
    <col min="16" max="16" width="13.140625" style="20" customWidth="1"/>
    <col min="17" max="17" width="12.7109375" style="20" customWidth="1"/>
    <col min="18" max="18" width="14.85546875" style="20" customWidth="1"/>
    <col min="19" max="19" width="13" style="20" customWidth="1"/>
    <col min="20" max="21" width="13" style="19" customWidth="1"/>
    <col min="22" max="23" width="12.85546875" style="19" customWidth="1"/>
    <col min="24" max="24" width="13.28515625" style="19" customWidth="1"/>
    <col min="25" max="25" width="14" style="19" customWidth="1"/>
    <col min="26" max="26" width="13" style="19" customWidth="1"/>
    <col min="27" max="27" width="13.140625" style="19" customWidth="1"/>
    <col min="28" max="28" width="11.28515625" style="19" customWidth="1"/>
    <col min="29" max="29" width="13.42578125" style="19" customWidth="1"/>
    <col min="30" max="30" width="14" style="19" customWidth="1"/>
    <col min="31" max="31" width="13.7109375" style="19" customWidth="1"/>
    <col min="32" max="32" width="47.14062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71" ht="26.25" customHeight="1" x14ac:dyDescent="0.25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71" ht="26.25" customHeight="1" x14ac:dyDescent="0.25">
      <c r="A2" s="195" t="s">
        <v>157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99"/>
      <c r="AE2" s="100"/>
      <c r="AF2" s="24"/>
    </row>
    <row r="3" spans="1:71" s="26" customFormat="1" ht="35.25" customHeigh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  <c r="M3" s="25"/>
      <c r="N3" s="25"/>
      <c r="O3" s="25"/>
      <c r="P3" s="25"/>
      <c r="Q3" s="25"/>
      <c r="R3" s="25"/>
      <c r="S3" s="27" t="s">
        <v>85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65" t="s">
        <v>116</v>
      </c>
      <c r="AE3" s="25"/>
      <c r="AF3" s="27" t="s">
        <v>85</v>
      </c>
      <c r="AH3" s="21"/>
    </row>
    <row r="4" spans="1:71" s="28" customFormat="1" ht="18.75" customHeight="1" x14ac:dyDescent="0.25">
      <c r="A4" s="196" t="s">
        <v>112</v>
      </c>
      <c r="B4" s="197" t="s">
        <v>133</v>
      </c>
      <c r="C4" s="197" t="s">
        <v>145</v>
      </c>
      <c r="D4" s="197" t="s">
        <v>146</v>
      </c>
      <c r="E4" s="197" t="s">
        <v>147</v>
      </c>
      <c r="F4" s="197" t="s">
        <v>86</v>
      </c>
      <c r="G4" s="197"/>
      <c r="H4" s="197" t="s">
        <v>87</v>
      </c>
      <c r="I4" s="197"/>
      <c r="J4" s="193" t="s">
        <v>88</v>
      </c>
      <c r="K4" s="194"/>
      <c r="L4" s="193" t="s">
        <v>89</v>
      </c>
      <c r="M4" s="194"/>
      <c r="N4" s="193" t="s">
        <v>90</v>
      </c>
      <c r="O4" s="194"/>
      <c r="P4" s="193" t="s">
        <v>91</v>
      </c>
      <c r="Q4" s="194"/>
      <c r="R4" s="193" t="s">
        <v>92</v>
      </c>
      <c r="S4" s="194"/>
      <c r="T4" s="193" t="s">
        <v>93</v>
      </c>
      <c r="U4" s="194"/>
      <c r="V4" s="193" t="s">
        <v>94</v>
      </c>
      <c r="W4" s="194"/>
      <c r="X4" s="193" t="s">
        <v>95</v>
      </c>
      <c r="Y4" s="194"/>
      <c r="Z4" s="193" t="s">
        <v>96</v>
      </c>
      <c r="AA4" s="194"/>
      <c r="AB4" s="193" t="s">
        <v>97</v>
      </c>
      <c r="AC4" s="194"/>
      <c r="AD4" s="193" t="s">
        <v>98</v>
      </c>
      <c r="AE4" s="194"/>
      <c r="AF4" s="196" t="s">
        <v>99</v>
      </c>
      <c r="AH4" s="29"/>
    </row>
    <row r="5" spans="1:71" s="30" customFormat="1" ht="82.5" customHeight="1" x14ac:dyDescent="0.25">
      <c r="A5" s="196"/>
      <c r="B5" s="197"/>
      <c r="C5" s="197"/>
      <c r="D5" s="198"/>
      <c r="E5" s="197"/>
      <c r="F5" s="131" t="s">
        <v>100</v>
      </c>
      <c r="G5" s="131" t="s">
        <v>101</v>
      </c>
      <c r="H5" s="131" t="s">
        <v>127</v>
      </c>
      <c r="I5" s="131" t="s">
        <v>102</v>
      </c>
      <c r="J5" s="131" t="s">
        <v>127</v>
      </c>
      <c r="K5" s="131" t="s">
        <v>102</v>
      </c>
      <c r="L5" s="131" t="s">
        <v>127</v>
      </c>
      <c r="M5" s="131" t="s">
        <v>102</v>
      </c>
      <c r="N5" s="131" t="s">
        <v>127</v>
      </c>
      <c r="O5" s="131" t="s">
        <v>102</v>
      </c>
      <c r="P5" s="131" t="s">
        <v>127</v>
      </c>
      <c r="Q5" s="131" t="s">
        <v>102</v>
      </c>
      <c r="R5" s="131" t="s">
        <v>127</v>
      </c>
      <c r="S5" s="131" t="s">
        <v>102</v>
      </c>
      <c r="T5" s="131" t="s">
        <v>127</v>
      </c>
      <c r="U5" s="131" t="s">
        <v>102</v>
      </c>
      <c r="V5" s="131" t="s">
        <v>127</v>
      </c>
      <c r="W5" s="131" t="s">
        <v>102</v>
      </c>
      <c r="X5" s="131" t="s">
        <v>127</v>
      </c>
      <c r="Y5" s="131" t="s">
        <v>102</v>
      </c>
      <c r="Z5" s="131" t="s">
        <v>127</v>
      </c>
      <c r="AA5" s="131" t="s">
        <v>102</v>
      </c>
      <c r="AB5" s="131" t="s">
        <v>127</v>
      </c>
      <c r="AC5" s="131" t="s">
        <v>102</v>
      </c>
      <c r="AD5" s="131" t="s">
        <v>127</v>
      </c>
      <c r="AE5" s="131" t="s">
        <v>102</v>
      </c>
      <c r="AF5" s="196"/>
      <c r="AH5" s="29"/>
    </row>
    <row r="6" spans="1:71" s="31" customFormat="1" ht="17.25" customHeight="1" x14ac:dyDescent="0.2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1">
        <v>17</v>
      </c>
      <c r="R6" s="91">
        <v>18</v>
      </c>
      <c r="S6" s="91">
        <v>19</v>
      </c>
      <c r="T6" s="91">
        <v>20</v>
      </c>
      <c r="U6" s="91">
        <v>21</v>
      </c>
      <c r="V6" s="91">
        <v>22</v>
      </c>
      <c r="W6" s="91">
        <v>23</v>
      </c>
      <c r="X6" s="91">
        <v>24</v>
      </c>
      <c r="Y6" s="91">
        <v>25</v>
      </c>
      <c r="Z6" s="91">
        <v>26</v>
      </c>
      <c r="AA6" s="91">
        <v>27</v>
      </c>
      <c r="AB6" s="91">
        <v>28</v>
      </c>
      <c r="AC6" s="91">
        <v>29</v>
      </c>
      <c r="AD6" s="91">
        <v>30</v>
      </c>
      <c r="AE6" s="91">
        <v>31</v>
      </c>
      <c r="AF6" s="91">
        <v>32</v>
      </c>
      <c r="AH6" s="32"/>
    </row>
    <row r="7" spans="1:71" s="35" customFormat="1" ht="40.5" customHeight="1" x14ac:dyDescent="0.25">
      <c r="A7" s="95" t="s">
        <v>103</v>
      </c>
      <c r="B7" s="67">
        <f>B8</f>
        <v>22827.800100000004</v>
      </c>
      <c r="C7" s="88">
        <f t="shared" ref="C7:AE8" si="0">C8</f>
        <v>3617.6367599999999</v>
      </c>
      <c r="D7" s="67">
        <f t="shared" si="0"/>
        <v>3167.5561899999998</v>
      </c>
      <c r="E7" s="88">
        <f t="shared" si="0"/>
        <v>1997.0899999999997</v>
      </c>
      <c r="F7" s="123">
        <f>E7/B7</f>
        <v>8.7484995980843527E-2</v>
      </c>
      <c r="G7" s="123">
        <f>E7/C7</f>
        <v>0.55204270978272563</v>
      </c>
      <c r="H7" s="126">
        <f t="shared" si="0"/>
        <v>0</v>
      </c>
      <c r="I7" s="126">
        <f t="shared" si="0"/>
        <v>0</v>
      </c>
      <c r="J7" s="67">
        <f t="shared" si="0"/>
        <v>870.92899999999997</v>
      </c>
      <c r="K7" s="67">
        <f t="shared" si="0"/>
        <v>285.32</v>
      </c>
      <c r="L7" s="67">
        <f t="shared" si="0"/>
        <v>944.50900000000001</v>
      </c>
      <c r="M7" s="126">
        <f t="shared" si="0"/>
        <v>693.06000000000006</v>
      </c>
      <c r="N7" s="67">
        <f t="shared" si="0"/>
        <v>1802.1987599999998</v>
      </c>
      <c r="O7" s="126">
        <f t="shared" si="0"/>
        <v>1018.7099999999999</v>
      </c>
      <c r="P7" s="67">
        <f t="shared" si="0"/>
        <v>1228.9046000000001</v>
      </c>
      <c r="Q7" s="126">
        <f t="shared" si="0"/>
        <v>0</v>
      </c>
      <c r="R7" s="67">
        <f t="shared" si="0"/>
        <v>4974.5524999999998</v>
      </c>
      <c r="S7" s="126">
        <f t="shared" si="0"/>
        <v>0</v>
      </c>
      <c r="T7" s="67">
        <f t="shared" si="0"/>
        <v>4942.9565000000002</v>
      </c>
      <c r="U7" s="126">
        <f t="shared" si="0"/>
        <v>0</v>
      </c>
      <c r="V7" s="67">
        <f t="shared" si="0"/>
        <v>4486.3709999999992</v>
      </c>
      <c r="W7" s="126">
        <f t="shared" si="0"/>
        <v>0</v>
      </c>
      <c r="X7" s="67">
        <f t="shared" si="0"/>
        <v>909.26099999999997</v>
      </c>
      <c r="Y7" s="126">
        <f t="shared" si="0"/>
        <v>0</v>
      </c>
      <c r="Z7" s="67">
        <f t="shared" si="0"/>
        <v>1083.143</v>
      </c>
      <c r="AA7" s="126">
        <f t="shared" si="0"/>
        <v>0</v>
      </c>
      <c r="AB7" s="67">
        <f t="shared" si="0"/>
        <v>679.47474</v>
      </c>
      <c r="AC7" s="126">
        <f t="shared" si="0"/>
        <v>0</v>
      </c>
      <c r="AD7" s="67">
        <f t="shared" si="0"/>
        <v>905.5</v>
      </c>
      <c r="AE7" s="126">
        <f t="shared" si="0"/>
        <v>0</v>
      </c>
      <c r="AF7" s="126"/>
      <c r="AH7" s="36"/>
    </row>
    <row r="8" spans="1:71" s="61" customFormat="1" ht="89.25" customHeight="1" x14ac:dyDescent="0.25">
      <c r="A8" s="68" t="s">
        <v>117</v>
      </c>
      <c r="B8" s="69">
        <f>B9</f>
        <v>22827.800100000004</v>
      </c>
      <c r="C8" s="89">
        <f>C9</f>
        <v>3617.6367599999999</v>
      </c>
      <c r="D8" s="69">
        <f t="shared" si="0"/>
        <v>3167.5561899999998</v>
      </c>
      <c r="E8" s="89">
        <f t="shared" si="0"/>
        <v>1997.0899999999997</v>
      </c>
      <c r="F8" s="124">
        <f>E8/B8</f>
        <v>8.7484995980843527E-2</v>
      </c>
      <c r="G8" s="124">
        <f>E8/C8</f>
        <v>0.55204270978272563</v>
      </c>
      <c r="H8" s="125">
        <f t="shared" si="0"/>
        <v>0</v>
      </c>
      <c r="I8" s="125">
        <f>I9</f>
        <v>0</v>
      </c>
      <c r="J8" s="69">
        <f t="shared" si="0"/>
        <v>870.92899999999997</v>
      </c>
      <c r="K8" s="69">
        <f t="shared" si="0"/>
        <v>285.32</v>
      </c>
      <c r="L8" s="69">
        <f t="shared" si="0"/>
        <v>944.50900000000001</v>
      </c>
      <c r="M8" s="125">
        <f t="shared" si="0"/>
        <v>693.06000000000006</v>
      </c>
      <c r="N8" s="69">
        <f t="shared" si="0"/>
        <v>1802.1987599999998</v>
      </c>
      <c r="O8" s="125">
        <f t="shared" si="0"/>
        <v>1018.7099999999999</v>
      </c>
      <c r="P8" s="69">
        <f t="shared" si="0"/>
        <v>1228.9046000000001</v>
      </c>
      <c r="Q8" s="125">
        <f t="shared" si="0"/>
        <v>0</v>
      </c>
      <c r="R8" s="69">
        <f t="shared" si="0"/>
        <v>4974.5524999999998</v>
      </c>
      <c r="S8" s="125">
        <f t="shared" si="0"/>
        <v>0</v>
      </c>
      <c r="T8" s="69">
        <f t="shared" si="0"/>
        <v>4942.9565000000002</v>
      </c>
      <c r="U8" s="125">
        <f t="shared" si="0"/>
        <v>0</v>
      </c>
      <c r="V8" s="69">
        <f t="shared" si="0"/>
        <v>4486.3709999999992</v>
      </c>
      <c r="W8" s="125">
        <f t="shared" si="0"/>
        <v>0</v>
      </c>
      <c r="X8" s="69">
        <f t="shared" si="0"/>
        <v>909.26099999999997</v>
      </c>
      <c r="Y8" s="125">
        <f t="shared" si="0"/>
        <v>0</v>
      </c>
      <c r="Z8" s="69">
        <f t="shared" si="0"/>
        <v>1083.143</v>
      </c>
      <c r="AA8" s="125">
        <f t="shared" si="0"/>
        <v>0</v>
      </c>
      <c r="AB8" s="69">
        <f t="shared" si="0"/>
        <v>679.47474</v>
      </c>
      <c r="AC8" s="125">
        <f t="shared" si="0"/>
        <v>0</v>
      </c>
      <c r="AD8" s="69">
        <f t="shared" si="0"/>
        <v>905.5</v>
      </c>
      <c r="AE8" s="125">
        <f t="shared" si="0"/>
        <v>0</v>
      </c>
      <c r="AF8" s="125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s="35" customFormat="1" x14ac:dyDescent="0.25">
      <c r="A9" s="96" t="s">
        <v>25</v>
      </c>
      <c r="B9" s="97">
        <f>B10+B11</f>
        <v>22827.800100000004</v>
      </c>
      <c r="C9" s="97">
        <f t="shared" ref="C9:AD9" si="1">C10+C11</f>
        <v>3617.6367599999999</v>
      </c>
      <c r="D9" s="97">
        <f t="shared" si="1"/>
        <v>3167.5561899999998</v>
      </c>
      <c r="E9" s="97">
        <f t="shared" si="1"/>
        <v>1997.0899999999997</v>
      </c>
      <c r="F9" s="98">
        <f>E9/B9</f>
        <v>8.7484995980843527E-2</v>
      </c>
      <c r="G9" s="98">
        <f>E9/C9</f>
        <v>0.55204270978272563</v>
      </c>
      <c r="H9" s="97">
        <f t="shared" si="1"/>
        <v>0</v>
      </c>
      <c r="I9" s="97">
        <f t="shared" si="1"/>
        <v>0</v>
      </c>
      <c r="J9" s="97">
        <f t="shared" si="1"/>
        <v>870.92899999999997</v>
      </c>
      <c r="K9" s="97">
        <f t="shared" si="1"/>
        <v>285.32</v>
      </c>
      <c r="L9" s="97">
        <f t="shared" si="1"/>
        <v>944.50900000000001</v>
      </c>
      <c r="M9" s="97">
        <f t="shared" si="1"/>
        <v>693.06000000000006</v>
      </c>
      <c r="N9" s="97">
        <f t="shared" si="1"/>
        <v>1802.1987599999998</v>
      </c>
      <c r="O9" s="97">
        <f t="shared" si="1"/>
        <v>1018.7099999999999</v>
      </c>
      <c r="P9" s="97">
        <f t="shared" si="1"/>
        <v>1228.9046000000001</v>
      </c>
      <c r="Q9" s="97">
        <f t="shared" si="1"/>
        <v>0</v>
      </c>
      <c r="R9" s="97">
        <f t="shared" si="1"/>
        <v>4974.5524999999998</v>
      </c>
      <c r="S9" s="97">
        <f t="shared" si="1"/>
        <v>0</v>
      </c>
      <c r="T9" s="97">
        <f t="shared" si="1"/>
        <v>4942.9565000000002</v>
      </c>
      <c r="U9" s="97">
        <f t="shared" si="1"/>
        <v>0</v>
      </c>
      <c r="V9" s="97">
        <f t="shared" si="1"/>
        <v>4486.3709999999992</v>
      </c>
      <c r="W9" s="97">
        <f t="shared" si="1"/>
        <v>0</v>
      </c>
      <c r="X9" s="97">
        <f t="shared" si="1"/>
        <v>909.26099999999997</v>
      </c>
      <c r="Y9" s="97">
        <f t="shared" si="1"/>
        <v>0</v>
      </c>
      <c r="Z9" s="97">
        <f t="shared" si="1"/>
        <v>1083.143</v>
      </c>
      <c r="AA9" s="97">
        <f t="shared" si="1"/>
        <v>0</v>
      </c>
      <c r="AB9" s="97">
        <f t="shared" si="1"/>
        <v>679.47474</v>
      </c>
      <c r="AC9" s="97">
        <f t="shared" si="1"/>
        <v>0</v>
      </c>
      <c r="AD9" s="97">
        <f t="shared" si="1"/>
        <v>905.5</v>
      </c>
      <c r="AE9" s="97">
        <f>AE10+AE11</f>
        <v>0</v>
      </c>
      <c r="AF9" s="97"/>
      <c r="AH9" s="36"/>
    </row>
    <row r="10" spans="1:71" s="35" customFormat="1" x14ac:dyDescent="0.25">
      <c r="A10" s="76" t="s">
        <v>104</v>
      </c>
      <c r="B10" s="77">
        <f>B53+B70+B74</f>
        <v>3374.7</v>
      </c>
      <c r="C10" s="77">
        <f t="shared" ref="C10:AE10" si="2">C53+C70+C74</f>
        <v>566.68700000000001</v>
      </c>
      <c r="D10" s="77">
        <f t="shared" si="2"/>
        <v>116.60643</v>
      </c>
      <c r="E10" s="77">
        <f t="shared" si="2"/>
        <v>116.61000000000001</v>
      </c>
      <c r="F10" s="121">
        <f>E10/B10</f>
        <v>3.4554182594008359E-2</v>
      </c>
      <c r="G10" s="121">
        <f>E10/C10</f>
        <v>0.20577496925110336</v>
      </c>
      <c r="H10" s="77">
        <f t="shared" si="2"/>
        <v>0</v>
      </c>
      <c r="I10" s="77">
        <f t="shared" si="2"/>
        <v>0</v>
      </c>
      <c r="J10" s="77">
        <f t="shared" si="2"/>
        <v>77.635999999999996</v>
      </c>
      <c r="K10" s="77">
        <f t="shared" si="2"/>
        <v>0</v>
      </c>
      <c r="L10" s="77">
        <f t="shared" si="2"/>
        <v>142.672</v>
      </c>
      <c r="M10" s="77">
        <f t="shared" si="2"/>
        <v>39.96</v>
      </c>
      <c r="N10" s="77">
        <f t="shared" si="2"/>
        <v>346.37900000000002</v>
      </c>
      <c r="O10" s="77">
        <f t="shared" si="2"/>
        <v>76.650000000000006</v>
      </c>
      <c r="P10" s="77">
        <f t="shared" si="2"/>
        <v>219.10500000000002</v>
      </c>
      <c r="Q10" s="77">
        <f t="shared" si="2"/>
        <v>0</v>
      </c>
      <c r="R10" s="77">
        <f t="shared" si="2"/>
        <v>684.61199999999997</v>
      </c>
      <c r="S10" s="77">
        <f t="shared" si="2"/>
        <v>0</v>
      </c>
      <c r="T10" s="77">
        <f t="shared" si="2"/>
        <v>951.63300000000004</v>
      </c>
      <c r="U10" s="77">
        <f t="shared" si="2"/>
        <v>0</v>
      </c>
      <c r="V10" s="77">
        <f t="shared" si="2"/>
        <v>743.21199999999999</v>
      </c>
      <c r="W10" s="77">
        <f t="shared" si="2"/>
        <v>0</v>
      </c>
      <c r="X10" s="77">
        <f t="shared" si="2"/>
        <v>80.433000000000007</v>
      </c>
      <c r="Y10" s="77">
        <f t="shared" si="2"/>
        <v>0</v>
      </c>
      <c r="Z10" s="77">
        <f t="shared" si="2"/>
        <v>112.218</v>
      </c>
      <c r="AA10" s="77">
        <f t="shared" si="2"/>
        <v>0</v>
      </c>
      <c r="AB10" s="77">
        <f t="shared" si="2"/>
        <v>16.8</v>
      </c>
      <c r="AC10" s="77">
        <f t="shared" si="2"/>
        <v>0</v>
      </c>
      <c r="AD10" s="77">
        <f t="shared" si="2"/>
        <v>0</v>
      </c>
      <c r="AE10" s="77">
        <f t="shared" si="2"/>
        <v>0</v>
      </c>
      <c r="AF10" s="77"/>
      <c r="AH10" s="36"/>
    </row>
    <row r="11" spans="1:71" s="35" customFormat="1" x14ac:dyDescent="0.25">
      <c r="A11" s="80" t="s">
        <v>105</v>
      </c>
      <c r="B11" s="81">
        <f>B54+B71</f>
        <v>19453.100100000003</v>
      </c>
      <c r="C11" s="81">
        <f t="shared" ref="C11:AE11" si="3">C54+C71</f>
        <v>3050.94976</v>
      </c>
      <c r="D11" s="81">
        <f t="shared" si="3"/>
        <v>3050.94976</v>
      </c>
      <c r="E11" s="81">
        <f t="shared" si="3"/>
        <v>1880.4799999999998</v>
      </c>
      <c r="F11" s="122">
        <f>E11/B11</f>
        <v>9.6667368714151602E-2</v>
      </c>
      <c r="G11" s="122">
        <f>E11/C11</f>
        <v>0.61635888753540136</v>
      </c>
      <c r="H11" s="81">
        <f t="shared" si="3"/>
        <v>0</v>
      </c>
      <c r="I11" s="81">
        <f t="shared" si="3"/>
        <v>0</v>
      </c>
      <c r="J11" s="81">
        <f t="shared" si="3"/>
        <v>793.29300000000001</v>
      </c>
      <c r="K11" s="81">
        <f t="shared" si="3"/>
        <v>285.32</v>
      </c>
      <c r="L11" s="81">
        <f t="shared" si="3"/>
        <v>801.83699999999999</v>
      </c>
      <c r="M11" s="81">
        <f t="shared" si="3"/>
        <v>653.1</v>
      </c>
      <c r="N11" s="81">
        <f t="shared" si="3"/>
        <v>1455.8197599999999</v>
      </c>
      <c r="O11" s="81">
        <f t="shared" si="3"/>
        <v>942.06</v>
      </c>
      <c r="P11" s="81">
        <f t="shared" si="3"/>
        <v>1009.7996000000001</v>
      </c>
      <c r="Q11" s="81">
        <f t="shared" si="3"/>
        <v>0</v>
      </c>
      <c r="R11" s="81">
        <f t="shared" si="3"/>
        <v>4289.9404999999997</v>
      </c>
      <c r="S11" s="81">
        <f t="shared" si="3"/>
        <v>0</v>
      </c>
      <c r="T11" s="81">
        <f t="shared" si="3"/>
        <v>3991.3235000000004</v>
      </c>
      <c r="U11" s="81">
        <f t="shared" si="3"/>
        <v>0</v>
      </c>
      <c r="V11" s="81">
        <f t="shared" si="3"/>
        <v>3743.1589999999997</v>
      </c>
      <c r="W11" s="81">
        <f t="shared" si="3"/>
        <v>0</v>
      </c>
      <c r="X11" s="81">
        <f t="shared" si="3"/>
        <v>828.82799999999997</v>
      </c>
      <c r="Y11" s="81">
        <f t="shared" si="3"/>
        <v>0</v>
      </c>
      <c r="Z11" s="81">
        <f t="shared" si="3"/>
        <v>970.92500000000007</v>
      </c>
      <c r="AA11" s="81">
        <f t="shared" si="3"/>
        <v>0</v>
      </c>
      <c r="AB11" s="81">
        <f t="shared" si="3"/>
        <v>662.67474000000004</v>
      </c>
      <c r="AC11" s="81">
        <f t="shared" si="3"/>
        <v>0</v>
      </c>
      <c r="AD11" s="81">
        <f t="shared" si="3"/>
        <v>905.5</v>
      </c>
      <c r="AE11" s="81">
        <f t="shared" si="3"/>
        <v>0</v>
      </c>
      <c r="AF11" s="81"/>
      <c r="AH11" s="36"/>
    </row>
    <row r="12" spans="1:71" s="35" customFormat="1" ht="95.25" customHeight="1" x14ac:dyDescent="0.25">
      <c r="A12" s="137" t="s">
        <v>129</v>
      </c>
      <c r="B12" s="138"/>
      <c r="C12" s="139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1"/>
      <c r="AE12" s="142"/>
      <c r="AF12" s="206" t="s">
        <v>153</v>
      </c>
      <c r="AG12" s="129"/>
      <c r="AH12" s="36"/>
    </row>
    <row r="13" spans="1:71" s="35" customFormat="1" ht="33.75" customHeight="1" x14ac:dyDescent="0.25">
      <c r="A13" s="113" t="s">
        <v>120</v>
      </c>
      <c r="B13" s="114"/>
      <c r="C13" s="114"/>
      <c r="D13" s="114"/>
      <c r="E13" s="114"/>
      <c r="F13" s="115"/>
      <c r="G13" s="115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207"/>
      <c r="AH13" s="36"/>
    </row>
    <row r="14" spans="1:71" s="35" customFormat="1" ht="15.75" customHeight="1" x14ac:dyDescent="0.25">
      <c r="A14" s="101" t="s">
        <v>121</v>
      </c>
      <c r="B14" s="106">
        <f>B16+B15</f>
        <v>8782.103000000001</v>
      </c>
      <c r="C14" s="106">
        <f>C16+C15</f>
        <v>0</v>
      </c>
      <c r="D14" s="106">
        <f>D16+D15</f>
        <v>0</v>
      </c>
      <c r="E14" s="106">
        <f>E16+E15</f>
        <v>0</v>
      </c>
      <c r="F14" s="105">
        <f>E14/B14</f>
        <v>0</v>
      </c>
      <c r="G14" s="105">
        <v>0</v>
      </c>
      <c r="H14" s="85">
        <f>H16+H15</f>
        <v>0</v>
      </c>
      <c r="I14" s="85">
        <f>I16+I15</f>
        <v>0</v>
      </c>
      <c r="J14" s="85">
        <f t="shared" ref="J14:AE14" si="4">J16+J15</f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  <c r="N14" s="85">
        <f t="shared" si="4"/>
        <v>0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 t="shared" si="4"/>
        <v>3150.576</v>
      </c>
      <c r="S14" s="85">
        <f t="shared" si="4"/>
        <v>0</v>
      </c>
      <c r="T14" s="85">
        <f t="shared" si="4"/>
        <v>2927.1590000000001</v>
      </c>
      <c r="U14" s="85">
        <f t="shared" si="4"/>
        <v>0</v>
      </c>
      <c r="V14" s="85">
        <f t="shared" si="4"/>
        <v>2704.3679999999999</v>
      </c>
      <c r="W14" s="85">
        <f t="shared" si="4"/>
        <v>0</v>
      </c>
      <c r="X14" s="85">
        <f t="shared" si="4"/>
        <v>0</v>
      </c>
      <c r="Y14" s="85">
        <f t="shared" si="4"/>
        <v>0</v>
      </c>
      <c r="Z14" s="85">
        <f t="shared" si="4"/>
        <v>0</v>
      </c>
      <c r="AA14" s="85">
        <f t="shared" si="4"/>
        <v>0</v>
      </c>
      <c r="AB14" s="85">
        <f t="shared" si="4"/>
        <v>0</v>
      </c>
      <c r="AC14" s="85">
        <f t="shared" si="4"/>
        <v>0</v>
      </c>
      <c r="AD14" s="85">
        <f t="shared" si="4"/>
        <v>0</v>
      </c>
      <c r="AE14" s="85">
        <f t="shared" si="4"/>
        <v>0</v>
      </c>
      <c r="AF14" s="207"/>
      <c r="AG14" s="129">
        <f>C21-E21</f>
        <v>557.22699999999998</v>
      </c>
      <c r="AH14" s="36"/>
    </row>
    <row r="15" spans="1:71" s="35" customFormat="1" ht="21.75" customHeight="1" x14ac:dyDescent="0.25">
      <c r="A15" s="102" t="s">
        <v>104</v>
      </c>
      <c r="B15" s="87">
        <f>H15+J15+L15+N15+P15+R15+T15+V15+X15+Z15+AB15+AD15</f>
        <v>840</v>
      </c>
      <c r="C15" s="84">
        <f>H15+J15+L15+N15</f>
        <v>0</v>
      </c>
      <c r="D15" s="84"/>
      <c r="E15" s="84">
        <f>I15+K15+M15+O15</f>
        <v>0</v>
      </c>
      <c r="F15" s="107">
        <f>E15/B15</f>
        <v>0</v>
      </c>
      <c r="G15" s="107">
        <v>0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>
        <f>28000/100</f>
        <v>280</v>
      </c>
      <c r="S15" s="84">
        <v>0</v>
      </c>
      <c r="T15" s="84">
        <f>280000/1000</f>
        <v>280</v>
      </c>
      <c r="U15" s="84"/>
      <c r="V15" s="84">
        <f>280000/1000</f>
        <v>280</v>
      </c>
      <c r="W15" s="84"/>
      <c r="X15" s="84"/>
      <c r="Y15" s="84"/>
      <c r="Z15" s="84"/>
      <c r="AA15" s="84"/>
      <c r="AB15" s="84"/>
      <c r="AC15" s="84"/>
      <c r="AD15" s="84"/>
      <c r="AE15" s="84"/>
      <c r="AF15" s="207"/>
      <c r="AH15" s="36"/>
    </row>
    <row r="16" spans="1:71" s="35" customFormat="1" ht="22.5" customHeight="1" x14ac:dyDescent="0.25">
      <c r="A16" s="102" t="s">
        <v>105</v>
      </c>
      <c r="B16" s="87">
        <f>H16+J16+L16+N16+P16+R16+T16+V16+X16+Z16+AB16+AD16</f>
        <v>7942.103000000001</v>
      </c>
      <c r="C16" s="84">
        <f>H16+J16+L16+N16</f>
        <v>0</v>
      </c>
      <c r="D16" s="84"/>
      <c r="E16" s="84">
        <f>I16+K16+M16+O16</f>
        <v>0</v>
      </c>
      <c r="F16" s="107">
        <f>E16/B16</f>
        <v>0</v>
      </c>
      <c r="G16" s="107">
        <v>0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>
        <f>2870576/1000</f>
        <v>2870.576</v>
      </c>
      <c r="S16" s="84"/>
      <c r="T16" s="84">
        <f>2647159/1000</f>
        <v>2647.1590000000001</v>
      </c>
      <c r="U16" s="84"/>
      <c r="V16" s="84">
        <f>2424368/1000</f>
        <v>2424.3679999999999</v>
      </c>
      <c r="W16" s="84"/>
      <c r="X16" s="84"/>
      <c r="Y16" s="84"/>
      <c r="Z16" s="84"/>
      <c r="AA16" s="84"/>
      <c r="AB16" s="84"/>
      <c r="AC16" s="84"/>
      <c r="AD16" s="84"/>
      <c r="AE16" s="84"/>
      <c r="AF16" s="207"/>
      <c r="AH16" s="36"/>
    </row>
    <row r="17" spans="1:34" s="35" customFormat="1" ht="109.5" customHeight="1" x14ac:dyDescent="0.25">
      <c r="A17" s="113" t="s">
        <v>122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207"/>
      <c r="AH17" s="36"/>
    </row>
    <row r="18" spans="1:34" s="35" customFormat="1" ht="22.5" customHeight="1" x14ac:dyDescent="0.25">
      <c r="A18" s="102" t="s">
        <v>105</v>
      </c>
      <c r="B18" s="87">
        <f>H18+J18+L18+N18+P18+R18+T18+V18+X18+Z18+AB18+AD18</f>
        <v>580.00900000000001</v>
      </c>
      <c r="C18" s="84">
        <f>H18+J18+L18+N18</f>
        <v>580.00900000000001</v>
      </c>
      <c r="D18" s="128">
        <f>580009/1000</f>
        <v>580.00900000000001</v>
      </c>
      <c r="E18" s="84">
        <f>I18+K18+M18+O18</f>
        <v>75.47</v>
      </c>
      <c r="F18" s="107">
        <f>E18/B18</f>
        <v>0.13011867057235318</v>
      </c>
      <c r="G18" s="107">
        <f>E18/C18</f>
        <v>0.13011867057235318</v>
      </c>
      <c r="H18" s="109"/>
      <c r="I18" s="109"/>
      <c r="J18" s="109"/>
      <c r="K18" s="109"/>
      <c r="L18" s="109"/>
      <c r="M18" s="109"/>
      <c r="N18" s="111">
        <f>580009/1000</f>
        <v>580.00900000000001</v>
      </c>
      <c r="O18" s="109">
        <v>75.47</v>
      </c>
      <c r="P18" s="109"/>
      <c r="Q18" s="109"/>
      <c r="R18" s="109"/>
      <c r="S18" s="109"/>
      <c r="T18" s="109"/>
      <c r="U18" s="109"/>
      <c r="V18" s="109"/>
      <c r="W18" s="111"/>
      <c r="X18" s="109"/>
      <c r="Y18" s="109"/>
      <c r="Z18" s="109"/>
      <c r="AA18" s="109"/>
      <c r="AB18" s="109"/>
      <c r="AC18" s="109"/>
      <c r="AD18" s="109"/>
      <c r="AE18" s="109"/>
      <c r="AF18" s="207"/>
      <c r="AH18" s="36"/>
    </row>
    <row r="19" spans="1:34" s="35" customFormat="1" ht="39.75" customHeight="1" x14ac:dyDescent="0.25">
      <c r="A19" s="113" t="s">
        <v>123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207"/>
      <c r="AH19" s="36"/>
    </row>
    <row r="20" spans="1:34" s="35" customFormat="1" ht="22.5" customHeight="1" x14ac:dyDescent="0.25">
      <c r="A20" s="102" t="s">
        <v>105</v>
      </c>
      <c r="B20" s="87">
        <f>H20+J20+L20+N20+P20+R20+T20+V20+X20+Z20+AB20+AD20</f>
        <v>52.688000000000002</v>
      </c>
      <c r="C20" s="87">
        <f>H20+J20+L20+N20</f>
        <v>52.688000000000002</v>
      </c>
      <c r="D20" s="128">
        <f>52688/1000</f>
        <v>52.688000000000002</v>
      </c>
      <c r="E20" s="84">
        <f>I20+K20+M20+O20</f>
        <v>0</v>
      </c>
      <c r="F20" s="107">
        <f>E20/B20</f>
        <v>0</v>
      </c>
      <c r="G20" s="107">
        <v>0</v>
      </c>
      <c r="H20" s="109"/>
      <c r="I20" s="109"/>
      <c r="J20" s="109"/>
      <c r="K20" s="109"/>
      <c r="L20" s="111">
        <f>52688/1000</f>
        <v>52.688000000000002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11"/>
      <c r="X20" s="109"/>
      <c r="Y20" s="109"/>
      <c r="Z20" s="109"/>
      <c r="AA20" s="109"/>
      <c r="AB20" s="109"/>
      <c r="AC20" s="109"/>
      <c r="AD20" s="109"/>
      <c r="AE20" s="109"/>
      <c r="AF20" s="208"/>
      <c r="AH20" s="36"/>
    </row>
    <row r="21" spans="1:34" s="35" customFormat="1" x14ac:dyDescent="0.25">
      <c r="A21" s="72" t="s">
        <v>25</v>
      </c>
      <c r="B21" s="73">
        <f>B22+B23</f>
        <v>9414.8000000000011</v>
      </c>
      <c r="C21" s="73">
        <f>C22+C23</f>
        <v>632.697</v>
      </c>
      <c r="D21" s="73">
        <f>D22+D23</f>
        <v>632.697</v>
      </c>
      <c r="E21" s="73">
        <f>E22+E23</f>
        <v>75.47</v>
      </c>
      <c r="F21" s="74">
        <f>E21/B21</f>
        <v>8.016102307005989E-3</v>
      </c>
      <c r="G21" s="74">
        <f>E21/C21</f>
        <v>0.11928300592542718</v>
      </c>
      <c r="H21" s="75">
        <f>H22+H23</f>
        <v>0</v>
      </c>
      <c r="I21" s="75">
        <f>I22+I23</f>
        <v>0</v>
      </c>
      <c r="J21" s="75">
        <f t="shared" ref="J21:AE21" si="5">J22+J23</f>
        <v>0</v>
      </c>
      <c r="K21" s="75">
        <f t="shared" si="5"/>
        <v>0</v>
      </c>
      <c r="L21" s="75">
        <f t="shared" si="5"/>
        <v>52.688000000000002</v>
      </c>
      <c r="M21" s="75">
        <f t="shared" si="5"/>
        <v>0</v>
      </c>
      <c r="N21" s="75">
        <f t="shared" si="5"/>
        <v>580.00900000000001</v>
      </c>
      <c r="O21" s="75">
        <f t="shared" si="5"/>
        <v>75.47</v>
      </c>
      <c r="P21" s="75">
        <f t="shared" si="5"/>
        <v>0</v>
      </c>
      <c r="Q21" s="75">
        <f t="shared" si="5"/>
        <v>0</v>
      </c>
      <c r="R21" s="75">
        <f t="shared" si="5"/>
        <v>3150.576</v>
      </c>
      <c r="S21" s="75">
        <f t="shared" si="5"/>
        <v>0</v>
      </c>
      <c r="T21" s="75">
        <f t="shared" si="5"/>
        <v>2927.1590000000001</v>
      </c>
      <c r="U21" s="75">
        <f t="shared" si="5"/>
        <v>0</v>
      </c>
      <c r="V21" s="75">
        <f t="shared" si="5"/>
        <v>2704.3679999999999</v>
      </c>
      <c r="W21" s="75">
        <f t="shared" si="5"/>
        <v>0</v>
      </c>
      <c r="X21" s="75">
        <f t="shared" si="5"/>
        <v>0</v>
      </c>
      <c r="Y21" s="75">
        <f t="shared" si="5"/>
        <v>0</v>
      </c>
      <c r="Z21" s="75">
        <f t="shared" si="5"/>
        <v>0</v>
      </c>
      <c r="AA21" s="75">
        <f t="shared" si="5"/>
        <v>0</v>
      </c>
      <c r="AB21" s="75">
        <f t="shared" si="5"/>
        <v>0</v>
      </c>
      <c r="AC21" s="75">
        <f t="shared" si="5"/>
        <v>0</v>
      </c>
      <c r="AD21" s="75">
        <f t="shared" si="5"/>
        <v>0</v>
      </c>
      <c r="AE21" s="75">
        <f t="shared" si="5"/>
        <v>0</v>
      </c>
      <c r="AF21" s="75"/>
      <c r="AH21" s="36"/>
    </row>
    <row r="22" spans="1:34" s="35" customFormat="1" x14ac:dyDescent="0.25">
      <c r="A22" s="76" t="s">
        <v>104</v>
      </c>
      <c r="B22" s="77">
        <f>B15</f>
        <v>840</v>
      </c>
      <c r="C22" s="77">
        <f>C15</f>
        <v>0</v>
      </c>
      <c r="D22" s="77">
        <f>D15</f>
        <v>0</v>
      </c>
      <c r="E22" s="77">
        <f>E15</f>
        <v>0</v>
      </c>
      <c r="F22" s="79">
        <f>E22/B22</f>
        <v>0</v>
      </c>
      <c r="G22" s="79">
        <v>0</v>
      </c>
      <c r="H22" s="77">
        <f>H15</f>
        <v>0</v>
      </c>
      <c r="I22" s="77">
        <f>I15</f>
        <v>0</v>
      </c>
      <c r="J22" s="77">
        <f t="shared" ref="J22:AD22" si="6">J15</f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77">
        <f t="shared" si="6"/>
        <v>0</v>
      </c>
      <c r="O22" s="77">
        <f t="shared" si="6"/>
        <v>0</v>
      </c>
      <c r="P22" s="77">
        <f t="shared" si="6"/>
        <v>0</v>
      </c>
      <c r="Q22" s="77">
        <f t="shared" si="6"/>
        <v>0</v>
      </c>
      <c r="R22" s="77">
        <f t="shared" si="6"/>
        <v>280</v>
      </c>
      <c r="S22" s="77">
        <f t="shared" si="6"/>
        <v>0</v>
      </c>
      <c r="T22" s="77">
        <f t="shared" si="6"/>
        <v>280</v>
      </c>
      <c r="U22" s="77">
        <f t="shared" si="6"/>
        <v>0</v>
      </c>
      <c r="V22" s="77">
        <f t="shared" si="6"/>
        <v>280</v>
      </c>
      <c r="W22" s="77">
        <f t="shared" si="6"/>
        <v>0</v>
      </c>
      <c r="X22" s="77">
        <f t="shared" si="6"/>
        <v>0</v>
      </c>
      <c r="Y22" s="77">
        <f t="shared" si="6"/>
        <v>0</v>
      </c>
      <c r="Z22" s="77">
        <f t="shared" si="6"/>
        <v>0</v>
      </c>
      <c r="AA22" s="77">
        <f t="shared" si="6"/>
        <v>0</v>
      </c>
      <c r="AB22" s="77">
        <f t="shared" si="6"/>
        <v>0</v>
      </c>
      <c r="AC22" s="77">
        <f t="shared" si="6"/>
        <v>0</v>
      </c>
      <c r="AD22" s="77">
        <f t="shared" si="6"/>
        <v>0</v>
      </c>
      <c r="AE22" s="77">
        <f>AE15</f>
        <v>0</v>
      </c>
      <c r="AF22" s="77"/>
      <c r="AH22" s="36"/>
    </row>
    <row r="23" spans="1:34" s="35" customFormat="1" x14ac:dyDescent="0.25">
      <c r="A23" s="80" t="s">
        <v>105</v>
      </c>
      <c r="B23" s="81">
        <f>B16+B18+B20</f>
        <v>8574.8000000000011</v>
      </c>
      <c r="C23" s="81">
        <f>C16+C18+C20</f>
        <v>632.697</v>
      </c>
      <c r="D23" s="81">
        <f t="shared" ref="D23:E23" si="7">D16+D18+D20</f>
        <v>632.697</v>
      </c>
      <c r="E23" s="81">
        <f t="shared" si="7"/>
        <v>75.47</v>
      </c>
      <c r="F23" s="83">
        <f>E23/B23</f>
        <v>8.8013714605588451E-3</v>
      </c>
      <c r="G23" s="83">
        <f>E23/C23</f>
        <v>0.11928300592542718</v>
      </c>
      <c r="H23" s="81">
        <f>H16+H18+H20</f>
        <v>0</v>
      </c>
      <c r="I23" s="81">
        <f t="shared" ref="I23:AE23" si="8">I16+I18+I20</f>
        <v>0</v>
      </c>
      <c r="J23" s="81">
        <f t="shared" si="8"/>
        <v>0</v>
      </c>
      <c r="K23" s="81">
        <f t="shared" si="8"/>
        <v>0</v>
      </c>
      <c r="L23" s="81">
        <f t="shared" si="8"/>
        <v>52.688000000000002</v>
      </c>
      <c r="M23" s="81">
        <f t="shared" si="8"/>
        <v>0</v>
      </c>
      <c r="N23" s="81">
        <f t="shared" si="8"/>
        <v>580.00900000000001</v>
      </c>
      <c r="O23" s="81">
        <f t="shared" si="8"/>
        <v>75.47</v>
      </c>
      <c r="P23" s="81">
        <f t="shared" si="8"/>
        <v>0</v>
      </c>
      <c r="Q23" s="81">
        <f t="shared" si="8"/>
        <v>0</v>
      </c>
      <c r="R23" s="81">
        <f t="shared" si="8"/>
        <v>2870.576</v>
      </c>
      <c r="S23" s="81">
        <f t="shared" si="8"/>
        <v>0</v>
      </c>
      <c r="T23" s="81">
        <f t="shared" si="8"/>
        <v>2647.1590000000001</v>
      </c>
      <c r="U23" s="81">
        <f t="shared" si="8"/>
        <v>0</v>
      </c>
      <c r="V23" s="81">
        <f t="shared" si="8"/>
        <v>2424.3679999999999</v>
      </c>
      <c r="W23" s="81">
        <f t="shared" si="8"/>
        <v>0</v>
      </c>
      <c r="X23" s="81">
        <f t="shared" si="8"/>
        <v>0</v>
      </c>
      <c r="Y23" s="81">
        <f t="shared" si="8"/>
        <v>0</v>
      </c>
      <c r="Z23" s="81">
        <f t="shared" si="8"/>
        <v>0</v>
      </c>
      <c r="AA23" s="81">
        <f t="shared" si="8"/>
        <v>0</v>
      </c>
      <c r="AB23" s="81">
        <f t="shared" si="8"/>
        <v>0</v>
      </c>
      <c r="AC23" s="81">
        <f t="shared" si="8"/>
        <v>0</v>
      </c>
      <c r="AD23" s="81">
        <f t="shared" si="8"/>
        <v>0</v>
      </c>
      <c r="AE23" s="81">
        <f t="shared" si="8"/>
        <v>0</v>
      </c>
      <c r="AF23" s="81"/>
      <c r="AH23" s="36"/>
    </row>
    <row r="24" spans="1:34" s="35" customFormat="1" ht="198.75" customHeight="1" x14ac:dyDescent="0.25">
      <c r="A24" s="137" t="s">
        <v>113</v>
      </c>
      <c r="B24" s="143"/>
      <c r="C24" s="144"/>
      <c r="D24" s="144"/>
      <c r="E24" s="144"/>
      <c r="F24" s="145"/>
      <c r="G24" s="145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6"/>
      <c r="AF24" s="148" t="s">
        <v>149</v>
      </c>
      <c r="AH24" s="36"/>
    </row>
    <row r="25" spans="1:34" s="35" customFormat="1" ht="18.75" customHeight="1" x14ac:dyDescent="0.25">
      <c r="A25" s="72" t="s">
        <v>25</v>
      </c>
      <c r="B25" s="73">
        <f>B27+B26</f>
        <v>1189</v>
      </c>
      <c r="C25" s="73">
        <f>C27+C26</f>
        <v>497.73125999999996</v>
      </c>
      <c r="D25" s="73">
        <f>D27+D26</f>
        <v>480.93125000000003</v>
      </c>
      <c r="E25" s="73">
        <f>E27+E26</f>
        <v>477.07999999999993</v>
      </c>
      <c r="F25" s="74">
        <f>E25/B25</f>
        <v>0.40124474348191752</v>
      </c>
      <c r="G25" s="74">
        <f>E25/C25</f>
        <v>0.95850921639922704</v>
      </c>
      <c r="H25" s="73">
        <f>H27+H26</f>
        <v>0</v>
      </c>
      <c r="I25" s="73">
        <f t="shared" ref="I25:AE25" si="9">I27+I26</f>
        <v>0</v>
      </c>
      <c r="J25" s="73">
        <f t="shared" si="9"/>
        <v>147.71600000000001</v>
      </c>
      <c r="K25" s="73">
        <f t="shared" si="9"/>
        <v>129.91999999999999</v>
      </c>
      <c r="L25" s="73">
        <f t="shared" si="9"/>
        <v>160.98699999999999</v>
      </c>
      <c r="M25" s="73">
        <f t="shared" si="9"/>
        <v>163.38</v>
      </c>
      <c r="N25" s="73">
        <f t="shared" si="9"/>
        <v>189.02826000000002</v>
      </c>
      <c r="O25" s="73">
        <f t="shared" si="9"/>
        <v>183.78</v>
      </c>
      <c r="P25" s="73">
        <f t="shared" si="9"/>
        <v>176.76700000000002</v>
      </c>
      <c r="Q25" s="73">
        <f t="shared" si="9"/>
        <v>0</v>
      </c>
      <c r="R25" s="73">
        <f t="shared" si="9"/>
        <v>0</v>
      </c>
      <c r="S25" s="73">
        <f t="shared" si="9"/>
        <v>0</v>
      </c>
      <c r="T25" s="73">
        <f t="shared" si="9"/>
        <v>0</v>
      </c>
      <c r="U25" s="73">
        <f t="shared" si="9"/>
        <v>0</v>
      </c>
      <c r="V25" s="73">
        <f t="shared" si="9"/>
        <v>0</v>
      </c>
      <c r="W25" s="73">
        <f t="shared" si="9"/>
        <v>0</v>
      </c>
      <c r="X25" s="73">
        <f t="shared" si="9"/>
        <v>176.12800000000001</v>
      </c>
      <c r="Y25" s="73">
        <f t="shared" si="9"/>
        <v>0</v>
      </c>
      <c r="Z25" s="73">
        <f t="shared" si="9"/>
        <v>175.15800000000002</v>
      </c>
      <c r="AA25" s="73">
        <f t="shared" si="9"/>
        <v>0</v>
      </c>
      <c r="AB25" s="73">
        <f t="shared" si="9"/>
        <v>163.21574000000001</v>
      </c>
      <c r="AC25" s="73">
        <f t="shared" si="9"/>
        <v>0</v>
      </c>
      <c r="AD25" s="73">
        <f t="shared" si="9"/>
        <v>0</v>
      </c>
      <c r="AE25" s="73">
        <f t="shared" si="9"/>
        <v>0</v>
      </c>
      <c r="AF25" s="73"/>
      <c r="AG25" s="129">
        <f>C25-E25</f>
        <v>20.651260000000036</v>
      </c>
      <c r="AH25" s="36"/>
    </row>
    <row r="26" spans="1:34" s="35" customFormat="1" ht="18.75" customHeight="1" x14ac:dyDescent="0.25">
      <c r="A26" s="76" t="s">
        <v>104</v>
      </c>
      <c r="B26" s="77">
        <f>H26+J26+L26+N26+P26+R26+T26+V26+X26+Z26+AB26+AD26</f>
        <v>113.39999999999999</v>
      </c>
      <c r="C26" s="78">
        <f>H26+J26+L26+N26</f>
        <v>46.2</v>
      </c>
      <c r="D26" s="78">
        <f>29399.99/1000</f>
        <v>29.399990000000003</v>
      </c>
      <c r="E26" s="78">
        <f>I26+K26+M26+O26</f>
        <v>29.4</v>
      </c>
      <c r="F26" s="79">
        <f>E26/B26</f>
        <v>0.25925925925925924</v>
      </c>
      <c r="G26" s="79">
        <f>E26/C26</f>
        <v>0.63636363636363624</v>
      </c>
      <c r="H26" s="78">
        <v>0</v>
      </c>
      <c r="I26" s="78">
        <v>0</v>
      </c>
      <c r="J26" s="78">
        <f>14000/1000</f>
        <v>14</v>
      </c>
      <c r="K26" s="78"/>
      <c r="L26" s="78">
        <f>15400/1000</f>
        <v>15.4</v>
      </c>
      <c r="M26" s="78">
        <v>14</v>
      </c>
      <c r="N26" s="78">
        <f>16800/1000</f>
        <v>16.8</v>
      </c>
      <c r="O26" s="78">
        <v>15.4</v>
      </c>
      <c r="P26" s="78">
        <f>16800/1000</f>
        <v>16.8</v>
      </c>
      <c r="Q26" s="78"/>
      <c r="R26" s="78"/>
      <c r="S26" s="78"/>
      <c r="T26" s="78"/>
      <c r="U26" s="78"/>
      <c r="V26" s="78"/>
      <c r="W26" s="78"/>
      <c r="X26" s="78">
        <f>16800/1000</f>
        <v>16.8</v>
      </c>
      <c r="Y26" s="78"/>
      <c r="Z26" s="78">
        <f>16800/1000</f>
        <v>16.8</v>
      </c>
      <c r="AA26" s="78"/>
      <c r="AB26" s="78">
        <f>16800/1000</f>
        <v>16.8</v>
      </c>
      <c r="AC26" s="78"/>
      <c r="AD26" s="78"/>
      <c r="AE26" s="78"/>
      <c r="AF26" s="78"/>
      <c r="AG26" s="37"/>
      <c r="AH26" s="36"/>
    </row>
    <row r="27" spans="1:34" s="35" customFormat="1" ht="68.25" customHeight="1" x14ac:dyDescent="0.25">
      <c r="A27" s="80" t="s">
        <v>105</v>
      </c>
      <c r="B27" s="81">
        <f>H27+J27+L27+N27+P27+R27+T27+V27+X27+Z27+AB27+AD27</f>
        <v>1075.5999999999999</v>
      </c>
      <c r="C27" s="82">
        <f>H27+J27+L27+N27</f>
        <v>451.53125999999997</v>
      </c>
      <c r="D27" s="82">
        <f>451531.26/1000</f>
        <v>451.53126000000003</v>
      </c>
      <c r="E27" s="82">
        <f>I27+K27+M27+O27</f>
        <v>447.67999999999995</v>
      </c>
      <c r="F27" s="83">
        <f>E27/B27</f>
        <v>0.41621420602454445</v>
      </c>
      <c r="G27" s="83">
        <f>E27/C27</f>
        <v>0.99147066805518624</v>
      </c>
      <c r="H27" s="82">
        <v>0</v>
      </c>
      <c r="I27" s="82">
        <v>0</v>
      </c>
      <c r="J27" s="82">
        <f>133716/1000</f>
        <v>133.71600000000001</v>
      </c>
      <c r="K27" s="82">
        <v>129.91999999999999</v>
      </c>
      <c r="L27" s="82">
        <f>145587/1000</f>
        <v>145.58699999999999</v>
      </c>
      <c r="M27" s="82">
        <v>149.38</v>
      </c>
      <c r="N27" s="82">
        <f>172228.26/1000</f>
        <v>172.22826000000001</v>
      </c>
      <c r="O27" s="82">
        <v>168.38</v>
      </c>
      <c r="P27" s="82">
        <f>159967/1000</f>
        <v>159.96700000000001</v>
      </c>
      <c r="Q27" s="82"/>
      <c r="R27" s="82"/>
      <c r="S27" s="82"/>
      <c r="T27" s="82"/>
      <c r="U27" s="82"/>
      <c r="V27" s="82"/>
      <c r="W27" s="82"/>
      <c r="X27" s="82">
        <f>159328/1000</f>
        <v>159.328</v>
      </c>
      <c r="Y27" s="82"/>
      <c r="Z27" s="82">
        <f>158358/1000</f>
        <v>158.358</v>
      </c>
      <c r="AA27" s="82"/>
      <c r="AB27" s="82">
        <f>146415.74/1000</f>
        <v>146.41574</v>
      </c>
      <c r="AC27" s="82"/>
      <c r="AD27" s="82"/>
      <c r="AE27" s="82"/>
      <c r="AF27" s="82"/>
      <c r="AG27" s="37"/>
      <c r="AH27" s="36"/>
    </row>
    <row r="28" spans="1:34" s="35" customFormat="1" ht="98.25" customHeight="1" x14ac:dyDescent="0.25">
      <c r="A28" s="137" t="s">
        <v>114</v>
      </c>
      <c r="B28" s="147"/>
      <c r="C28" s="144"/>
      <c r="D28" s="144"/>
      <c r="E28" s="144"/>
      <c r="F28" s="145"/>
      <c r="G28" s="145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6"/>
      <c r="AF28" s="206" t="s">
        <v>150</v>
      </c>
      <c r="AG28" s="129"/>
      <c r="AH28" s="36"/>
    </row>
    <row r="29" spans="1:34" s="35" customFormat="1" ht="33.75" customHeight="1" x14ac:dyDescent="0.25">
      <c r="A29" s="113" t="s">
        <v>120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207"/>
      <c r="AH29" s="36"/>
    </row>
    <row r="30" spans="1:34" s="35" customFormat="1" ht="15.75" customHeight="1" x14ac:dyDescent="0.25">
      <c r="A30" s="101" t="s">
        <v>121</v>
      </c>
      <c r="B30" s="106">
        <f>B32+B31</f>
        <v>1835.1000000000001</v>
      </c>
      <c r="C30" s="106">
        <f>C32+C31</f>
        <v>733.99400000000003</v>
      </c>
      <c r="D30" s="106">
        <f>D32+D31</f>
        <v>439.38344000000001</v>
      </c>
      <c r="E30" s="106">
        <f>E32+E31</f>
        <v>241.39000000000001</v>
      </c>
      <c r="F30" s="105">
        <f>E30/B30</f>
        <v>0.13154051550324233</v>
      </c>
      <c r="G30" s="105">
        <f>E30/C30</f>
        <v>0.32887189813540713</v>
      </c>
      <c r="H30" s="85">
        <f>H32+H31</f>
        <v>0</v>
      </c>
      <c r="I30" s="85">
        <f>I32+I31</f>
        <v>0</v>
      </c>
      <c r="J30" s="85">
        <f t="shared" ref="J30:AE30" si="10">J32+J31</f>
        <v>232.21299999999999</v>
      </c>
      <c r="K30" s="85">
        <f t="shared" si="10"/>
        <v>14.34</v>
      </c>
      <c r="L30" s="85">
        <f t="shared" si="10"/>
        <v>202.69200000000001</v>
      </c>
      <c r="M30" s="85">
        <f t="shared" si="10"/>
        <v>59.980000000000004</v>
      </c>
      <c r="N30" s="85">
        <f t="shared" si="10"/>
        <v>299.089</v>
      </c>
      <c r="O30" s="85">
        <f t="shared" si="10"/>
        <v>167.07</v>
      </c>
      <c r="P30" s="85">
        <f t="shared" si="10"/>
        <v>217.452</v>
      </c>
      <c r="Q30" s="85">
        <f t="shared" si="10"/>
        <v>0</v>
      </c>
      <c r="R30" s="85">
        <f t="shared" si="10"/>
        <v>217.453</v>
      </c>
      <c r="S30" s="85">
        <f t="shared" si="10"/>
        <v>0</v>
      </c>
      <c r="T30" s="85">
        <f t="shared" si="10"/>
        <v>299.08799999999997</v>
      </c>
      <c r="U30" s="85">
        <f t="shared" si="10"/>
        <v>0</v>
      </c>
      <c r="V30" s="85">
        <f t="shared" si="10"/>
        <v>108.72499999999999</v>
      </c>
      <c r="W30" s="85">
        <f t="shared" si="10"/>
        <v>0</v>
      </c>
      <c r="X30" s="85">
        <f t="shared" si="10"/>
        <v>108.72800000000001</v>
      </c>
      <c r="Y30" s="85">
        <f t="shared" si="10"/>
        <v>0</v>
      </c>
      <c r="Z30" s="85">
        <f t="shared" si="10"/>
        <v>149.66</v>
      </c>
      <c r="AA30" s="85">
        <f t="shared" si="10"/>
        <v>0</v>
      </c>
      <c r="AB30" s="85">
        <f t="shared" si="10"/>
        <v>0</v>
      </c>
      <c r="AC30" s="85">
        <f t="shared" si="10"/>
        <v>0</v>
      </c>
      <c r="AD30" s="85">
        <f t="shared" si="10"/>
        <v>0</v>
      </c>
      <c r="AE30" s="85">
        <f t="shared" si="10"/>
        <v>0</v>
      </c>
      <c r="AF30" s="207"/>
      <c r="AH30" s="36"/>
    </row>
    <row r="31" spans="1:34" s="35" customFormat="1" ht="21.75" customHeight="1" x14ac:dyDescent="0.25">
      <c r="A31" s="102" t="s">
        <v>104</v>
      </c>
      <c r="B31" s="87">
        <f>H31+J31+L31+N31+P31+R31+T31+V31+X31+Z31+AB31+AD31</f>
        <v>954.50000000000011</v>
      </c>
      <c r="C31" s="84">
        <f>H31+J31+L31+N31</f>
        <v>381.81700000000001</v>
      </c>
      <c r="D31" s="84">
        <f>87206.44/1000</f>
        <v>87.206440000000001</v>
      </c>
      <c r="E31" s="84">
        <f>I31+K31+M31+O31</f>
        <v>87.210000000000008</v>
      </c>
      <c r="F31" s="107">
        <f>E31/B31</f>
        <v>9.1367207962283911E-2</v>
      </c>
      <c r="G31" s="107">
        <f>E31/C31</f>
        <v>0.22840784983382093</v>
      </c>
      <c r="H31" s="110"/>
      <c r="I31" s="109"/>
      <c r="J31" s="111">
        <f>63636/1000</f>
        <v>63.636000000000003</v>
      </c>
      <c r="K31" s="109"/>
      <c r="L31" s="111">
        <f>127272/1000</f>
        <v>127.27200000000001</v>
      </c>
      <c r="M31" s="109">
        <v>25.96</v>
      </c>
      <c r="N31" s="111">
        <f>190909/1000</f>
        <v>190.90899999999999</v>
      </c>
      <c r="O31" s="109">
        <v>61.25</v>
      </c>
      <c r="P31" s="111">
        <f>63636/1000</f>
        <v>63.636000000000003</v>
      </c>
      <c r="Q31" s="109"/>
      <c r="R31" s="111">
        <f>127272/1000</f>
        <v>127.27200000000001</v>
      </c>
      <c r="S31" s="109"/>
      <c r="T31" s="111">
        <f>190909/1000</f>
        <v>190.90899999999999</v>
      </c>
      <c r="U31" s="109"/>
      <c r="V31" s="111">
        <f>31815/1000</f>
        <v>31.815000000000001</v>
      </c>
      <c r="W31" s="109"/>
      <c r="X31" s="111">
        <f>63633/1000</f>
        <v>63.633000000000003</v>
      </c>
      <c r="Y31" s="109"/>
      <c r="Z31" s="111">
        <f>95418/1000</f>
        <v>95.418000000000006</v>
      </c>
      <c r="AA31" s="109"/>
      <c r="AB31" s="109"/>
      <c r="AC31" s="109"/>
      <c r="AD31" s="109"/>
      <c r="AE31" s="109"/>
      <c r="AF31" s="207"/>
      <c r="AH31" s="36"/>
    </row>
    <row r="32" spans="1:34" s="35" customFormat="1" ht="22.5" customHeight="1" x14ac:dyDescent="0.25">
      <c r="A32" s="102" t="s">
        <v>105</v>
      </c>
      <c r="B32" s="87">
        <f>H32+J32+L32+N32+P32+R32+T32+V32+X32+Z32+AB32+AD32</f>
        <v>880.6</v>
      </c>
      <c r="C32" s="84">
        <f>H32+J32+L32+N32</f>
        <v>352.17700000000002</v>
      </c>
      <c r="D32" s="84">
        <f>352177/1000</f>
        <v>352.17700000000002</v>
      </c>
      <c r="E32" s="84">
        <f>I32+K32+M32+O32</f>
        <v>154.18</v>
      </c>
      <c r="F32" s="107">
        <f>E32/B32</f>
        <v>0.17508516920281628</v>
      </c>
      <c r="G32" s="107">
        <f>E32/C32</f>
        <v>0.43779122429914502</v>
      </c>
      <c r="H32" s="109"/>
      <c r="I32" s="109"/>
      <c r="J32" s="111">
        <f>(129863+38714)/1000</f>
        <v>168.577</v>
      </c>
      <c r="K32" s="109">
        <v>14.34</v>
      </c>
      <c r="L32" s="111">
        <f>(36706+38714)/1000</f>
        <v>75.42</v>
      </c>
      <c r="M32" s="109">
        <v>34.020000000000003</v>
      </c>
      <c r="N32" s="111">
        <f>(54934+53246)/1000</f>
        <v>108.18</v>
      </c>
      <c r="O32" s="111">
        <v>105.82</v>
      </c>
      <c r="P32" s="111">
        <f>(115102+38714)/1000</f>
        <v>153.816</v>
      </c>
      <c r="Q32" s="109"/>
      <c r="R32" s="111">
        <f>(51467+38714)/1000</f>
        <v>90.180999999999997</v>
      </c>
      <c r="S32" s="109"/>
      <c r="T32" s="111">
        <f>(54933+53246)/1000</f>
        <v>108.179</v>
      </c>
      <c r="U32" s="111"/>
      <c r="V32" s="109">
        <f>(57550+19360)/1000</f>
        <v>76.91</v>
      </c>
      <c r="W32" s="111"/>
      <c r="X32" s="111">
        <f>(25732+19363)/1000</f>
        <v>45.094999999999999</v>
      </c>
      <c r="Y32" s="109"/>
      <c r="Z32" s="111">
        <f>(27613+26629)/1000</f>
        <v>54.241999999999997</v>
      </c>
      <c r="AA32" s="109"/>
      <c r="AB32" s="109"/>
      <c r="AC32" s="109"/>
      <c r="AD32" s="109"/>
      <c r="AE32" s="109"/>
      <c r="AF32" s="207"/>
      <c r="AG32" s="129">
        <f>C35-E35</f>
        <v>504.45400000000006</v>
      </c>
      <c r="AH32" s="36"/>
    </row>
    <row r="33" spans="1:34" s="35" customFormat="1" ht="101.25" customHeight="1" x14ac:dyDescent="0.25">
      <c r="A33" s="113" t="s">
        <v>122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207"/>
      <c r="AH33" s="36"/>
    </row>
    <row r="34" spans="1:34" s="35" customFormat="1" ht="22.5" customHeight="1" x14ac:dyDescent="0.25">
      <c r="A34" s="102" t="s">
        <v>105</v>
      </c>
      <c r="B34" s="87">
        <f>H34+J34+L34+N34+P34+R34+T34+V34+X34+Z34+AB34+AD34</f>
        <v>52.5</v>
      </c>
      <c r="C34" s="84">
        <f>H34+J34+L34+N34</f>
        <v>21</v>
      </c>
      <c r="D34" s="84">
        <v>21</v>
      </c>
      <c r="E34" s="84">
        <f>I34+K34+M34+O34</f>
        <v>9.15</v>
      </c>
      <c r="F34" s="107">
        <f>E34/B34</f>
        <v>0.17428571428571429</v>
      </c>
      <c r="G34" s="107">
        <f>E34/C34</f>
        <v>0.43571428571428572</v>
      </c>
      <c r="H34" s="109"/>
      <c r="I34" s="109"/>
      <c r="J34" s="110">
        <f>21000/1000</f>
        <v>21</v>
      </c>
      <c r="K34" s="109"/>
      <c r="L34" s="109"/>
      <c r="M34" s="109"/>
      <c r="N34" s="109"/>
      <c r="O34" s="109">
        <v>9.15</v>
      </c>
      <c r="P34" s="110">
        <f>21000/1000</f>
        <v>21</v>
      </c>
      <c r="Q34" s="109"/>
      <c r="R34" s="109"/>
      <c r="S34" s="109"/>
      <c r="T34" s="109"/>
      <c r="U34" s="109"/>
      <c r="V34" s="111">
        <f>10500/1000</f>
        <v>10.5</v>
      </c>
      <c r="W34" s="109"/>
      <c r="X34" s="109"/>
      <c r="Y34" s="109"/>
      <c r="Z34" s="109"/>
      <c r="AA34" s="109"/>
      <c r="AB34" s="109"/>
      <c r="AC34" s="109"/>
      <c r="AD34" s="109"/>
      <c r="AE34" s="109"/>
      <c r="AF34" s="208"/>
      <c r="AH34" s="36"/>
    </row>
    <row r="35" spans="1:34" s="35" customFormat="1" ht="20.25" x14ac:dyDescent="0.25">
      <c r="A35" s="72" t="s">
        <v>25</v>
      </c>
      <c r="B35" s="73">
        <f>B36+B37</f>
        <v>1887.6000000000001</v>
      </c>
      <c r="C35" s="73">
        <f>C36+C37</f>
        <v>754.99400000000003</v>
      </c>
      <c r="D35" s="73">
        <f>D36+D37</f>
        <v>460.38344000000001</v>
      </c>
      <c r="E35" s="73">
        <f>E36+E37</f>
        <v>250.54</v>
      </c>
      <c r="F35" s="74">
        <f>E35/B35</f>
        <v>0.13272939182030088</v>
      </c>
      <c r="G35" s="74">
        <f>E35/C35</f>
        <v>0.33184369677110015</v>
      </c>
      <c r="H35" s="75">
        <f>H36+H37</f>
        <v>0</v>
      </c>
      <c r="I35" s="75">
        <f t="shared" ref="I35:AE35" si="11">I36+I37</f>
        <v>0</v>
      </c>
      <c r="J35" s="75">
        <f t="shared" si="11"/>
        <v>253.21299999999999</v>
      </c>
      <c r="K35" s="75">
        <f t="shared" si="11"/>
        <v>14.34</v>
      </c>
      <c r="L35" s="75">
        <f t="shared" si="11"/>
        <v>202.69200000000001</v>
      </c>
      <c r="M35" s="75">
        <f t="shared" si="11"/>
        <v>59.980000000000004</v>
      </c>
      <c r="N35" s="75">
        <f t="shared" si="11"/>
        <v>299.089</v>
      </c>
      <c r="O35" s="75">
        <f t="shared" si="11"/>
        <v>176.22</v>
      </c>
      <c r="P35" s="75">
        <f t="shared" si="11"/>
        <v>238.452</v>
      </c>
      <c r="Q35" s="75">
        <f t="shared" si="11"/>
        <v>0</v>
      </c>
      <c r="R35" s="75">
        <f t="shared" si="11"/>
        <v>217.453</v>
      </c>
      <c r="S35" s="75">
        <f t="shared" si="11"/>
        <v>0</v>
      </c>
      <c r="T35" s="75">
        <f t="shared" si="11"/>
        <v>299.08799999999997</v>
      </c>
      <c r="U35" s="75">
        <f t="shared" si="11"/>
        <v>0</v>
      </c>
      <c r="V35" s="75">
        <f t="shared" si="11"/>
        <v>119.22499999999999</v>
      </c>
      <c r="W35" s="75">
        <f t="shared" si="11"/>
        <v>0</v>
      </c>
      <c r="X35" s="75">
        <f t="shared" si="11"/>
        <v>108.72800000000001</v>
      </c>
      <c r="Y35" s="75">
        <f t="shared" si="11"/>
        <v>0</v>
      </c>
      <c r="Z35" s="75">
        <f t="shared" si="11"/>
        <v>149.66</v>
      </c>
      <c r="AA35" s="75">
        <f t="shared" si="11"/>
        <v>0</v>
      </c>
      <c r="AB35" s="75">
        <f t="shared" si="11"/>
        <v>0</v>
      </c>
      <c r="AC35" s="75">
        <f t="shared" si="11"/>
        <v>0</v>
      </c>
      <c r="AD35" s="75">
        <f t="shared" si="11"/>
        <v>0</v>
      </c>
      <c r="AE35" s="75">
        <f t="shared" si="11"/>
        <v>0</v>
      </c>
      <c r="AF35" s="75"/>
      <c r="AG35" s="38"/>
      <c r="AH35" s="39"/>
    </row>
    <row r="36" spans="1:34" s="35" customFormat="1" ht="20.25" customHeight="1" x14ac:dyDescent="0.25">
      <c r="A36" s="76" t="s">
        <v>104</v>
      </c>
      <c r="B36" s="77">
        <f>B31</f>
        <v>954.50000000000011</v>
      </c>
      <c r="C36" s="78">
        <f>C31</f>
        <v>381.81700000000001</v>
      </c>
      <c r="D36" s="78">
        <f>D31</f>
        <v>87.206440000000001</v>
      </c>
      <c r="E36" s="78">
        <f>I36+K36+M36+O36+Q36+S36+U36+W36+Y36+AA36+AC36+AE36</f>
        <v>87.210000000000008</v>
      </c>
      <c r="F36" s="79">
        <f>E36/B36</f>
        <v>9.1367207962283911E-2</v>
      </c>
      <c r="G36" s="79">
        <f>E36/C36</f>
        <v>0.22840784983382093</v>
      </c>
      <c r="H36" s="78">
        <f>H31</f>
        <v>0</v>
      </c>
      <c r="I36" s="78">
        <f t="shared" ref="I36:AE36" si="12">I31</f>
        <v>0</v>
      </c>
      <c r="J36" s="78">
        <f t="shared" si="12"/>
        <v>63.636000000000003</v>
      </c>
      <c r="K36" s="78">
        <f t="shared" si="12"/>
        <v>0</v>
      </c>
      <c r="L36" s="78">
        <f t="shared" si="12"/>
        <v>127.27200000000001</v>
      </c>
      <c r="M36" s="78">
        <f t="shared" si="12"/>
        <v>25.96</v>
      </c>
      <c r="N36" s="78">
        <f t="shared" si="12"/>
        <v>190.90899999999999</v>
      </c>
      <c r="O36" s="78">
        <f t="shared" si="12"/>
        <v>61.25</v>
      </c>
      <c r="P36" s="78">
        <f t="shared" si="12"/>
        <v>63.636000000000003</v>
      </c>
      <c r="Q36" s="78">
        <f t="shared" si="12"/>
        <v>0</v>
      </c>
      <c r="R36" s="78">
        <f t="shared" si="12"/>
        <v>127.27200000000001</v>
      </c>
      <c r="S36" s="78">
        <f t="shared" si="12"/>
        <v>0</v>
      </c>
      <c r="T36" s="78">
        <f t="shared" si="12"/>
        <v>190.90899999999999</v>
      </c>
      <c r="U36" s="78">
        <f t="shared" si="12"/>
        <v>0</v>
      </c>
      <c r="V36" s="78">
        <f t="shared" si="12"/>
        <v>31.815000000000001</v>
      </c>
      <c r="W36" s="78">
        <f t="shared" si="12"/>
        <v>0</v>
      </c>
      <c r="X36" s="78">
        <f t="shared" si="12"/>
        <v>63.633000000000003</v>
      </c>
      <c r="Y36" s="78">
        <f t="shared" si="12"/>
        <v>0</v>
      </c>
      <c r="Z36" s="78">
        <f t="shared" si="12"/>
        <v>95.418000000000006</v>
      </c>
      <c r="AA36" s="78">
        <f t="shared" si="12"/>
        <v>0</v>
      </c>
      <c r="AB36" s="78">
        <f t="shared" si="12"/>
        <v>0</v>
      </c>
      <c r="AC36" s="78">
        <f t="shared" si="12"/>
        <v>0</v>
      </c>
      <c r="AD36" s="78">
        <f t="shared" si="12"/>
        <v>0</v>
      </c>
      <c r="AE36" s="78">
        <f t="shared" si="12"/>
        <v>0</v>
      </c>
      <c r="AF36" s="78"/>
      <c r="AG36" s="38"/>
      <c r="AH36" s="39"/>
    </row>
    <row r="37" spans="1:34" s="35" customFormat="1" ht="20.25" x14ac:dyDescent="0.25">
      <c r="A37" s="80" t="s">
        <v>105</v>
      </c>
      <c r="B37" s="81">
        <f>B32+B34</f>
        <v>933.1</v>
      </c>
      <c r="C37" s="81">
        <f>C32+C34</f>
        <v>373.17700000000002</v>
      </c>
      <c r="D37" s="82">
        <f>D32+D34</f>
        <v>373.17700000000002</v>
      </c>
      <c r="E37" s="82">
        <f>I37+K37+M37+O37+Q37+S37+U37+W37+Y37+AA37+AC37+AE37</f>
        <v>163.32999999999998</v>
      </c>
      <c r="F37" s="83">
        <f>E37/B37</f>
        <v>0.1750401886185832</v>
      </c>
      <c r="G37" s="83">
        <f>E37/C37</f>
        <v>0.43767434756161278</v>
      </c>
      <c r="H37" s="82">
        <f>H32+H34</f>
        <v>0</v>
      </c>
      <c r="I37" s="82">
        <f t="shared" ref="I37:AE37" si="13">I32+I34</f>
        <v>0</v>
      </c>
      <c r="J37" s="82">
        <f t="shared" si="13"/>
        <v>189.577</v>
      </c>
      <c r="K37" s="82">
        <f t="shared" si="13"/>
        <v>14.34</v>
      </c>
      <c r="L37" s="82">
        <f t="shared" si="13"/>
        <v>75.42</v>
      </c>
      <c r="M37" s="82">
        <f t="shared" si="13"/>
        <v>34.020000000000003</v>
      </c>
      <c r="N37" s="82">
        <f t="shared" si="13"/>
        <v>108.18</v>
      </c>
      <c r="O37" s="82">
        <f t="shared" si="13"/>
        <v>114.97</v>
      </c>
      <c r="P37" s="82">
        <f t="shared" si="13"/>
        <v>174.816</v>
      </c>
      <c r="Q37" s="82">
        <f t="shared" si="13"/>
        <v>0</v>
      </c>
      <c r="R37" s="82">
        <f t="shared" si="13"/>
        <v>90.180999999999997</v>
      </c>
      <c r="S37" s="82">
        <f t="shared" si="13"/>
        <v>0</v>
      </c>
      <c r="T37" s="82">
        <f t="shared" si="13"/>
        <v>108.179</v>
      </c>
      <c r="U37" s="82">
        <f t="shared" si="13"/>
        <v>0</v>
      </c>
      <c r="V37" s="82">
        <f t="shared" si="13"/>
        <v>87.41</v>
      </c>
      <c r="W37" s="82">
        <f t="shared" si="13"/>
        <v>0</v>
      </c>
      <c r="X37" s="82">
        <f t="shared" si="13"/>
        <v>45.094999999999999</v>
      </c>
      <c r="Y37" s="82">
        <f t="shared" si="13"/>
        <v>0</v>
      </c>
      <c r="Z37" s="82">
        <f t="shared" si="13"/>
        <v>54.241999999999997</v>
      </c>
      <c r="AA37" s="82">
        <f t="shared" si="13"/>
        <v>0</v>
      </c>
      <c r="AB37" s="82">
        <f t="shared" si="13"/>
        <v>0</v>
      </c>
      <c r="AC37" s="82">
        <f t="shared" si="13"/>
        <v>0</v>
      </c>
      <c r="AD37" s="82">
        <f t="shared" si="13"/>
        <v>0</v>
      </c>
      <c r="AE37" s="82">
        <f t="shared" si="13"/>
        <v>0</v>
      </c>
      <c r="AF37" s="82"/>
      <c r="AG37" s="38"/>
      <c r="AH37" s="39"/>
    </row>
    <row r="38" spans="1:34" s="35" customFormat="1" ht="91.5" customHeight="1" x14ac:dyDescent="0.25">
      <c r="A38" s="137" t="s">
        <v>130</v>
      </c>
      <c r="B38" s="147"/>
      <c r="C38" s="144"/>
      <c r="D38" s="144"/>
      <c r="E38" s="144"/>
      <c r="F38" s="145"/>
      <c r="G38" s="145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6"/>
      <c r="AF38" s="206" t="s">
        <v>151</v>
      </c>
      <c r="AG38" s="129"/>
      <c r="AH38" s="36"/>
    </row>
    <row r="39" spans="1:34" s="35" customFormat="1" ht="33.75" hidden="1" customHeight="1" x14ac:dyDescent="0.25">
      <c r="A39" s="113" t="s">
        <v>120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207"/>
      <c r="AH39" s="36"/>
    </row>
    <row r="40" spans="1:34" s="35" customFormat="1" ht="22.5" hidden="1" customHeight="1" x14ac:dyDescent="0.25">
      <c r="A40" s="102" t="s">
        <v>105</v>
      </c>
      <c r="B40" s="87">
        <f>H40+J40+L40+N40+P40+R40+T40+V40+X40+Z40+AB40+AD40</f>
        <v>0</v>
      </c>
      <c r="C40" s="84">
        <f>H40+J40+L40</f>
        <v>0</v>
      </c>
      <c r="D40" s="84"/>
      <c r="E40" s="84">
        <f>I40+K40+M40+O40+Q40+S40+U40+W40+Y40+AA40+AC40+AE40</f>
        <v>0</v>
      </c>
      <c r="F40" s="107" t="e">
        <f>E40/B40</f>
        <v>#DIV/0!</v>
      </c>
      <c r="G40" s="107" t="e">
        <f>E40/C40</f>
        <v>#DIV/0!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207"/>
      <c r="AH40" s="36"/>
    </row>
    <row r="41" spans="1:34" s="35" customFormat="1" ht="89.25" hidden="1" customHeight="1" x14ac:dyDescent="0.25">
      <c r="A41" s="113" t="s">
        <v>122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207"/>
      <c r="AH41" s="36"/>
    </row>
    <row r="42" spans="1:34" s="35" customFormat="1" ht="22.5" hidden="1" customHeight="1" x14ac:dyDescent="0.25">
      <c r="A42" s="102" t="s">
        <v>105</v>
      </c>
      <c r="B42" s="87">
        <f>H42+J42+L42+N42+P42+R42+T42+V42+X42+Z42+AB42+AD42</f>
        <v>0</v>
      </c>
      <c r="C42" s="84">
        <f>H42+J42+L42</f>
        <v>0</v>
      </c>
      <c r="D42" s="84"/>
      <c r="E42" s="84">
        <f>I42+K42+M42+O42+Q42+S42+U42+W42+Y42+AA42+AC42+AE42</f>
        <v>0</v>
      </c>
      <c r="F42" s="107" t="e">
        <f>E42/B42</f>
        <v>#DIV/0!</v>
      </c>
      <c r="G42" s="107" t="e">
        <f>E42/C42</f>
        <v>#DIV/0!</v>
      </c>
      <c r="H42" s="109"/>
      <c r="I42" s="109"/>
      <c r="J42" s="110"/>
      <c r="K42" s="109"/>
      <c r="L42" s="109"/>
      <c r="M42" s="109"/>
      <c r="N42" s="109"/>
      <c r="O42" s="109"/>
      <c r="P42" s="110"/>
      <c r="Q42" s="109"/>
      <c r="R42" s="109"/>
      <c r="S42" s="109"/>
      <c r="T42" s="109"/>
      <c r="U42" s="109"/>
      <c r="V42" s="111"/>
      <c r="W42" s="109"/>
      <c r="X42" s="109"/>
      <c r="Y42" s="109"/>
      <c r="Z42" s="109"/>
      <c r="AA42" s="109"/>
      <c r="AB42" s="109"/>
      <c r="AC42" s="109"/>
      <c r="AD42" s="109"/>
      <c r="AE42" s="109"/>
      <c r="AF42" s="207"/>
      <c r="AH42" s="36"/>
    </row>
    <row r="43" spans="1:34" s="35" customFormat="1" ht="33.75" customHeight="1" x14ac:dyDescent="0.25">
      <c r="A43" s="113" t="s">
        <v>120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207"/>
      <c r="AH43" s="36"/>
    </row>
    <row r="44" spans="1:34" s="35" customFormat="1" ht="22.5" customHeight="1" x14ac:dyDescent="0.25">
      <c r="A44" s="102" t="s">
        <v>105</v>
      </c>
      <c r="B44" s="87">
        <f>H44+J44+L44+N44+P44+R44+T44+V44+X44+Z44+AB44+AD44</f>
        <v>1526.5562500000001</v>
      </c>
      <c r="C44" s="84">
        <f>H44+J44+L44+N44</f>
        <v>0</v>
      </c>
      <c r="D44" s="84"/>
      <c r="E44" s="84">
        <f>I44+K44+M44+O44</f>
        <v>0</v>
      </c>
      <c r="F44" s="107">
        <f>E44/B44</f>
        <v>0</v>
      </c>
      <c r="G44" s="107">
        <v>0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1">
        <f>508824.75/1000</f>
        <v>508.82474999999999</v>
      </c>
      <c r="S44" s="109"/>
      <c r="T44" s="111">
        <f>508824.75/1000</f>
        <v>508.82474999999999</v>
      </c>
      <c r="U44" s="109"/>
      <c r="V44" s="111">
        <f>508906.75/1000</f>
        <v>508.90674999999999</v>
      </c>
      <c r="W44" s="109"/>
      <c r="X44" s="109"/>
      <c r="Y44" s="109"/>
      <c r="Z44" s="109"/>
      <c r="AA44" s="109"/>
      <c r="AB44" s="109"/>
      <c r="AC44" s="109"/>
      <c r="AD44" s="109"/>
      <c r="AE44" s="109"/>
      <c r="AF44" s="207"/>
      <c r="AH44" s="36"/>
    </row>
    <row r="45" spans="1:34" s="35" customFormat="1" ht="102.75" customHeight="1" x14ac:dyDescent="0.25">
      <c r="A45" s="113" t="s">
        <v>122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207"/>
      <c r="AH45" s="36"/>
    </row>
    <row r="46" spans="1:34" s="35" customFormat="1" ht="22.5" customHeight="1" x14ac:dyDescent="0.25">
      <c r="A46" s="102" t="s">
        <v>105</v>
      </c>
      <c r="B46" s="87">
        <f>H46+J46+L46+N46+P46+R46+T46+V46+X46+Z46+AB46+AD46</f>
        <v>272.34375</v>
      </c>
      <c r="C46" s="84">
        <f>H46+J46+L46+N46</f>
        <v>45.78</v>
      </c>
      <c r="D46" s="84">
        <f>45780/1000</f>
        <v>45.78</v>
      </c>
      <c r="E46" s="84">
        <f>I46+K46+M46+O46</f>
        <v>0</v>
      </c>
      <c r="F46" s="107">
        <f>E46/B46</f>
        <v>0</v>
      </c>
      <c r="G46" s="107">
        <v>0</v>
      </c>
      <c r="H46" s="109"/>
      <c r="I46" s="109"/>
      <c r="J46" s="110"/>
      <c r="K46" s="109"/>
      <c r="L46" s="109"/>
      <c r="M46" s="109"/>
      <c r="N46" s="109">
        <f>45780/1000</f>
        <v>45.78</v>
      </c>
      <c r="O46" s="109"/>
      <c r="P46" s="110"/>
      <c r="Q46" s="109"/>
      <c r="R46" s="111">
        <f>75521.25/1000</f>
        <v>75.521249999999995</v>
      </c>
      <c r="S46" s="109"/>
      <c r="T46" s="111">
        <f>75521.25/1000</f>
        <v>75.521249999999995</v>
      </c>
      <c r="U46" s="109"/>
      <c r="V46" s="111">
        <f>75521.25/1000</f>
        <v>75.521249999999995</v>
      </c>
      <c r="W46" s="109"/>
      <c r="X46" s="109"/>
      <c r="Y46" s="109"/>
      <c r="Z46" s="109"/>
      <c r="AA46" s="109"/>
      <c r="AB46" s="109"/>
      <c r="AC46" s="109"/>
      <c r="AD46" s="109"/>
      <c r="AE46" s="109"/>
      <c r="AF46" s="208"/>
      <c r="AG46" s="129">
        <f>C47-E47</f>
        <v>45.78</v>
      </c>
      <c r="AH46" s="36"/>
    </row>
    <row r="47" spans="1:34" s="35" customFormat="1" ht="20.25" x14ac:dyDescent="0.25">
      <c r="A47" s="72" t="s">
        <v>25</v>
      </c>
      <c r="B47" s="73">
        <f>B48</f>
        <v>1798.9</v>
      </c>
      <c r="C47" s="73">
        <f t="shared" ref="C47:AE47" si="14">C48</f>
        <v>45.78</v>
      </c>
      <c r="D47" s="73">
        <f t="shared" si="14"/>
        <v>45.78</v>
      </c>
      <c r="E47" s="73">
        <f>E48</f>
        <v>0</v>
      </c>
      <c r="F47" s="74">
        <f>E47/B47</f>
        <v>0</v>
      </c>
      <c r="G47" s="74">
        <v>0</v>
      </c>
      <c r="H47" s="73">
        <f>H48</f>
        <v>0</v>
      </c>
      <c r="I47" s="73">
        <f>I48</f>
        <v>0</v>
      </c>
      <c r="J47" s="73">
        <f>J48</f>
        <v>0</v>
      </c>
      <c r="K47" s="73">
        <f t="shared" si="14"/>
        <v>0</v>
      </c>
      <c r="L47" s="73">
        <f t="shared" si="14"/>
        <v>0</v>
      </c>
      <c r="M47" s="73">
        <f t="shared" si="14"/>
        <v>0</v>
      </c>
      <c r="N47" s="73">
        <f t="shared" si="14"/>
        <v>45.78</v>
      </c>
      <c r="O47" s="73">
        <f t="shared" si="14"/>
        <v>0</v>
      </c>
      <c r="P47" s="73">
        <f>P48</f>
        <v>0</v>
      </c>
      <c r="Q47" s="73">
        <f t="shared" si="14"/>
        <v>0</v>
      </c>
      <c r="R47" s="73">
        <f t="shared" si="14"/>
        <v>584.346</v>
      </c>
      <c r="S47" s="73">
        <f t="shared" si="14"/>
        <v>0</v>
      </c>
      <c r="T47" s="73">
        <f t="shared" si="14"/>
        <v>584.346</v>
      </c>
      <c r="U47" s="73">
        <f t="shared" si="14"/>
        <v>0</v>
      </c>
      <c r="V47" s="73">
        <f t="shared" si="14"/>
        <v>584.428</v>
      </c>
      <c r="W47" s="73">
        <f t="shared" si="14"/>
        <v>0</v>
      </c>
      <c r="X47" s="73">
        <f t="shared" si="14"/>
        <v>0</v>
      </c>
      <c r="Y47" s="73">
        <f t="shared" si="14"/>
        <v>0</v>
      </c>
      <c r="Z47" s="73">
        <f t="shared" si="14"/>
        <v>0</v>
      </c>
      <c r="AA47" s="73">
        <f t="shared" si="14"/>
        <v>0</v>
      </c>
      <c r="AB47" s="73">
        <f t="shared" si="14"/>
        <v>0</v>
      </c>
      <c r="AC47" s="73">
        <f t="shared" si="14"/>
        <v>0</v>
      </c>
      <c r="AD47" s="73">
        <f t="shared" si="14"/>
        <v>0</v>
      </c>
      <c r="AE47" s="73">
        <f t="shared" si="14"/>
        <v>0</v>
      </c>
      <c r="AF47" s="40"/>
      <c r="AG47" s="38"/>
      <c r="AH47" s="36"/>
    </row>
    <row r="48" spans="1:34" s="35" customFormat="1" ht="19.5" customHeight="1" x14ac:dyDescent="0.25">
      <c r="A48" s="90" t="s">
        <v>105</v>
      </c>
      <c r="B48" s="81">
        <f>B44+B46</f>
        <v>1798.9</v>
      </c>
      <c r="C48" s="82">
        <f>C46+C44</f>
        <v>45.78</v>
      </c>
      <c r="D48" s="82">
        <f>D46+D44</f>
        <v>45.78</v>
      </c>
      <c r="E48" s="82">
        <f>E46+E44</f>
        <v>0</v>
      </c>
      <c r="F48" s="83">
        <f>E48/B48</f>
        <v>0</v>
      </c>
      <c r="G48" s="83">
        <v>0</v>
      </c>
      <c r="H48" s="82">
        <f>H46+H44</f>
        <v>0</v>
      </c>
      <c r="I48" s="82">
        <f>I46+I44</f>
        <v>0</v>
      </c>
      <c r="J48" s="82">
        <f>J46+J44</f>
        <v>0</v>
      </c>
      <c r="K48" s="82">
        <f t="shared" ref="K48:AE48" si="15">K46+K44</f>
        <v>0</v>
      </c>
      <c r="L48" s="82">
        <f t="shared" si="15"/>
        <v>0</v>
      </c>
      <c r="M48" s="82">
        <f t="shared" si="15"/>
        <v>0</v>
      </c>
      <c r="N48" s="82">
        <f t="shared" si="15"/>
        <v>45.78</v>
      </c>
      <c r="O48" s="82">
        <f t="shared" si="15"/>
        <v>0</v>
      </c>
      <c r="P48" s="82">
        <f t="shared" si="15"/>
        <v>0</v>
      </c>
      <c r="Q48" s="82">
        <f t="shared" si="15"/>
        <v>0</v>
      </c>
      <c r="R48" s="82">
        <f t="shared" si="15"/>
        <v>584.346</v>
      </c>
      <c r="S48" s="82">
        <f t="shared" si="15"/>
        <v>0</v>
      </c>
      <c r="T48" s="82">
        <f t="shared" si="15"/>
        <v>584.346</v>
      </c>
      <c r="U48" s="82">
        <f t="shared" si="15"/>
        <v>0</v>
      </c>
      <c r="V48" s="82">
        <f t="shared" si="15"/>
        <v>584.428</v>
      </c>
      <c r="W48" s="82">
        <f t="shared" si="15"/>
        <v>0</v>
      </c>
      <c r="X48" s="82">
        <f t="shared" si="15"/>
        <v>0</v>
      </c>
      <c r="Y48" s="82">
        <f t="shared" si="15"/>
        <v>0</v>
      </c>
      <c r="Z48" s="82">
        <f t="shared" si="15"/>
        <v>0</v>
      </c>
      <c r="AA48" s="82">
        <f t="shared" si="15"/>
        <v>0</v>
      </c>
      <c r="AB48" s="82">
        <f t="shared" si="15"/>
        <v>0</v>
      </c>
      <c r="AC48" s="82">
        <f t="shared" si="15"/>
        <v>0</v>
      </c>
      <c r="AD48" s="82">
        <f t="shared" si="15"/>
        <v>0</v>
      </c>
      <c r="AE48" s="82">
        <f t="shared" si="15"/>
        <v>0</v>
      </c>
      <c r="AF48" s="82"/>
      <c r="AG48" s="38"/>
      <c r="AH48" s="39"/>
    </row>
    <row r="49" spans="1:34" s="35" customFormat="1" ht="91.5" customHeight="1" x14ac:dyDescent="0.25">
      <c r="A49" s="137" t="s">
        <v>118</v>
      </c>
      <c r="B49" s="147"/>
      <c r="C49" s="144"/>
      <c r="D49" s="144"/>
      <c r="E49" s="144"/>
      <c r="F49" s="145"/>
      <c r="G49" s="145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6"/>
      <c r="AF49" s="165" t="s">
        <v>152</v>
      </c>
      <c r="AH49" s="36"/>
    </row>
    <row r="50" spans="1:34" s="35" customFormat="1" x14ac:dyDescent="0.25">
      <c r="A50" s="72" t="s">
        <v>25</v>
      </c>
      <c r="B50" s="73">
        <f>B51</f>
        <v>0</v>
      </c>
      <c r="C50" s="73">
        <f t="shared" ref="C50:AE50" si="16">C51</f>
        <v>0</v>
      </c>
      <c r="D50" s="73">
        <f t="shared" si="16"/>
        <v>0</v>
      </c>
      <c r="E50" s="73">
        <f t="shared" si="16"/>
        <v>0</v>
      </c>
      <c r="F50" s="74">
        <f t="shared" si="16"/>
        <v>0</v>
      </c>
      <c r="G50" s="74">
        <f t="shared" si="16"/>
        <v>0</v>
      </c>
      <c r="H50" s="75">
        <f t="shared" si="16"/>
        <v>0</v>
      </c>
      <c r="I50" s="75">
        <f t="shared" si="16"/>
        <v>0</v>
      </c>
      <c r="J50" s="75">
        <f t="shared" si="16"/>
        <v>0</v>
      </c>
      <c r="K50" s="75">
        <f t="shared" si="16"/>
        <v>0</v>
      </c>
      <c r="L50" s="75">
        <f t="shared" si="16"/>
        <v>0</v>
      </c>
      <c r="M50" s="75">
        <f t="shared" si="16"/>
        <v>0</v>
      </c>
      <c r="N50" s="75">
        <f t="shared" si="16"/>
        <v>0</v>
      </c>
      <c r="O50" s="75">
        <f t="shared" si="16"/>
        <v>0</v>
      </c>
      <c r="P50" s="75">
        <f t="shared" si="16"/>
        <v>0</v>
      </c>
      <c r="Q50" s="75">
        <f t="shared" si="16"/>
        <v>0</v>
      </c>
      <c r="R50" s="75">
        <f t="shared" si="16"/>
        <v>0</v>
      </c>
      <c r="S50" s="75">
        <f t="shared" si="16"/>
        <v>0</v>
      </c>
      <c r="T50" s="75">
        <f t="shared" si="16"/>
        <v>0</v>
      </c>
      <c r="U50" s="75">
        <f t="shared" si="16"/>
        <v>0</v>
      </c>
      <c r="V50" s="75">
        <f t="shared" si="16"/>
        <v>0</v>
      </c>
      <c r="W50" s="75">
        <f t="shared" si="16"/>
        <v>0</v>
      </c>
      <c r="X50" s="75">
        <f t="shared" si="16"/>
        <v>0</v>
      </c>
      <c r="Y50" s="75">
        <f t="shared" si="16"/>
        <v>0</v>
      </c>
      <c r="Z50" s="75">
        <f t="shared" si="16"/>
        <v>0</v>
      </c>
      <c r="AA50" s="75">
        <f t="shared" si="16"/>
        <v>0</v>
      </c>
      <c r="AB50" s="75">
        <f t="shared" si="16"/>
        <v>0</v>
      </c>
      <c r="AC50" s="75">
        <f t="shared" si="16"/>
        <v>0</v>
      </c>
      <c r="AD50" s="75">
        <f t="shared" si="16"/>
        <v>0</v>
      </c>
      <c r="AE50" s="93">
        <f t="shared" si="16"/>
        <v>0</v>
      </c>
      <c r="AF50" s="40"/>
      <c r="AH50" s="36"/>
    </row>
    <row r="51" spans="1:34" s="33" customFormat="1" ht="23.25" customHeight="1" thickBot="1" x14ac:dyDescent="0.3">
      <c r="A51" s="116" t="s">
        <v>105</v>
      </c>
      <c r="B51" s="117">
        <f>H51+J51+L51+N51+P51+R51+T51+V51+X51+Z51+AB51+AD51</f>
        <v>0</v>
      </c>
      <c r="C51" s="119">
        <f>H51+J51+L51+N51+P51+R51+T51+V51</f>
        <v>0</v>
      </c>
      <c r="D51" s="119">
        <f>H51+J51+L51+N51+P51+R51+T51+V51</f>
        <v>0</v>
      </c>
      <c r="E51" s="119">
        <f>I51+K51+M51+O51+Q51+S51+U51+W51+Y51+AA51+AC51+AE51</f>
        <v>0</v>
      </c>
      <c r="F51" s="118"/>
      <c r="G51" s="118"/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/>
      <c r="AH51" s="34"/>
    </row>
    <row r="52" spans="1:34" s="35" customFormat="1" ht="21.75" customHeight="1" x14ac:dyDescent="0.25">
      <c r="A52" s="154" t="s">
        <v>106</v>
      </c>
      <c r="B52" s="155">
        <f>B53+B54</f>
        <v>14290.300000000001</v>
      </c>
      <c r="C52" s="155">
        <f>C53+C54</f>
        <v>1931.20226</v>
      </c>
      <c r="D52" s="155">
        <f>D53+D54</f>
        <v>1619.79169</v>
      </c>
      <c r="E52" s="155">
        <f t="shared" ref="E52:AC52" si="17">E53+E54</f>
        <v>803.09</v>
      </c>
      <c r="F52" s="156">
        <f>E52/B52</f>
        <v>5.6198260358424942E-2</v>
      </c>
      <c r="G52" s="156">
        <f>E52/C52</f>
        <v>0.41584976189909806</v>
      </c>
      <c r="H52" s="155">
        <f>H53+H54</f>
        <v>0</v>
      </c>
      <c r="I52" s="155">
        <f t="shared" si="17"/>
        <v>0</v>
      </c>
      <c r="J52" s="155">
        <f>J53+J54</f>
        <v>400.92899999999997</v>
      </c>
      <c r="K52" s="155">
        <f t="shared" si="17"/>
        <v>144.26</v>
      </c>
      <c r="L52" s="155">
        <f>L53+L54</f>
        <v>416.36699999999996</v>
      </c>
      <c r="M52" s="155">
        <f t="shared" si="17"/>
        <v>223.36</v>
      </c>
      <c r="N52" s="155">
        <f>N53+N54</f>
        <v>1113.90626</v>
      </c>
      <c r="O52" s="155">
        <f t="shared" si="17"/>
        <v>435.47</v>
      </c>
      <c r="P52" s="155">
        <f>P53+P54</f>
        <v>415.21900000000005</v>
      </c>
      <c r="Q52" s="155">
        <f t="shared" si="17"/>
        <v>0</v>
      </c>
      <c r="R52" s="155">
        <f>R53+R54</f>
        <v>3952.375</v>
      </c>
      <c r="S52" s="155">
        <f t="shared" si="17"/>
        <v>0</v>
      </c>
      <c r="T52" s="155">
        <f>T53+T54</f>
        <v>3810.5930000000003</v>
      </c>
      <c r="U52" s="155">
        <f t="shared" si="17"/>
        <v>0</v>
      </c>
      <c r="V52" s="155">
        <f>V53+V54</f>
        <v>3408.0209999999997</v>
      </c>
      <c r="W52" s="155">
        <f t="shared" si="17"/>
        <v>0</v>
      </c>
      <c r="X52" s="155">
        <f>X53+X54</f>
        <v>284.85599999999999</v>
      </c>
      <c r="Y52" s="155">
        <f t="shared" si="17"/>
        <v>0</v>
      </c>
      <c r="Z52" s="155">
        <f>Z53+Z54</f>
        <v>324.81799999999998</v>
      </c>
      <c r="AA52" s="155">
        <f t="shared" si="17"/>
        <v>0</v>
      </c>
      <c r="AB52" s="155">
        <f>AB53+AB54</f>
        <v>163.21574000000001</v>
      </c>
      <c r="AC52" s="155">
        <f t="shared" si="17"/>
        <v>0</v>
      </c>
      <c r="AD52" s="155">
        <f>AD53+AD54</f>
        <v>0</v>
      </c>
      <c r="AE52" s="155">
        <f>AE53+AE54</f>
        <v>0</v>
      </c>
      <c r="AF52" s="157"/>
      <c r="AG52" s="129"/>
      <c r="AH52" s="36"/>
    </row>
    <row r="53" spans="1:34" s="35" customFormat="1" ht="24" customHeight="1" x14ac:dyDescent="0.25">
      <c r="A53" s="158" t="s">
        <v>104</v>
      </c>
      <c r="B53" s="77">
        <f>B22+B26+B36</f>
        <v>1907.9</v>
      </c>
      <c r="C53" s="78">
        <f>C22+C26+C36</f>
        <v>428.017</v>
      </c>
      <c r="D53" s="78">
        <f>D22+D26+D36</f>
        <v>116.60643</v>
      </c>
      <c r="E53" s="78">
        <f>E22+E26+E36</f>
        <v>116.61000000000001</v>
      </c>
      <c r="F53" s="79">
        <f>E53/B53</f>
        <v>6.1119555532260603E-2</v>
      </c>
      <c r="G53" s="79">
        <f>E53/C53</f>
        <v>0.27244244971578235</v>
      </c>
      <c r="H53" s="78">
        <f t="shared" ref="H53:AE53" si="18">H22+H26+H36</f>
        <v>0</v>
      </c>
      <c r="I53" s="78">
        <f t="shared" si="18"/>
        <v>0</v>
      </c>
      <c r="J53" s="78">
        <f t="shared" si="18"/>
        <v>77.635999999999996</v>
      </c>
      <c r="K53" s="78">
        <f t="shared" si="18"/>
        <v>0</v>
      </c>
      <c r="L53" s="78">
        <f t="shared" si="18"/>
        <v>142.672</v>
      </c>
      <c r="M53" s="78">
        <f t="shared" si="18"/>
        <v>39.96</v>
      </c>
      <c r="N53" s="78">
        <f t="shared" si="18"/>
        <v>207.709</v>
      </c>
      <c r="O53" s="78">
        <f t="shared" si="18"/>
        <v>76.650000000000006</v>
      </c>
      <c r="P53" s="78">
        <f t="shared" si="18"/>
        <v>80.436000000000007</v>
      </c>
      <c r="Q53" s="78">
        <f t="shared" si="18"/>
        <v>0</v>
      </c>
      <c r="R53" s="78">
        <f t="shared" si="18"/>
        <v>407.27199999999999</v>
      </c>
      <c r="S53" s="78">
        <f t="shared" si="18"/>
        <v>0</v>
      </c>
      <c r="T53" s="78">
        <f t="shared" si="18"/>
        <v>470.90899999999999</v>
      </c>
      <c r="U53" s="78">
        <f t="shared" si="18"/>
        <v>0</v>
      </c>
      <c r="V53" s="78">
        <f t="shared" si="18"/>
        <v>311.815</v>
      </c>
      <c r="W53" s="78">
        <f t="shared" si="18"/>
        <v>0</v>
      </c>
      <c r="X53" s="78">
        <f t="shared" si="18"/>
        <v>80.433000000000007</v>
      </c>
      <c r="Y53" s="78">
        <f t="shared" si="18"/>
        <v>0</v>
      </c>
      <c r="Z53" s="78">
        <f t="shared" si="18"/>
        <v>112.218</v>
      </c>
      <c r="AA53" s="78">
        <f t="shared" si="18"/>
        <v>0</v>
      </c>
      <c r="AB53" s="78">
        <f t="shared" si="18"/>
        <v>16.8</v>
      </c>
      <c r="AC53" s="78">
        <f t="shared" si="18"/>
        <v>0</v>
      </c>
      <c r="AD53" s="78">
        <f t="shared" si="18"/>
        <v>0</v>
      </c>
      <c r="AE53" s="78">
        <f t="shared" si="18"/>
        <v>0</v>
      </c>
      <c r="AF53" s="159"/>
      <c r="AH53" s="36"/>
    </row>
    <row r="54" spans="1:34" s="35" customFormat="1" ht="24" customHeight="1" thickBot="1" x14ac:dyDescent="0.3">
      <c r="A54" s="160" t="s">
        <v>105</v>
      </c>
      <c r="B54" s="161">
        <f>B23+B27+B37+B48+B51</f>
        <v>12382.400000000001</v>
      </c>
      <c r="C54" s="161">
        <f>C23+C27+C37+C48+C51</f>
        <v>1503.18526</v>
      </c>
      <c r="D54" s="161">
        <f>D23+D27+D37+D48+D51</f>
        <v>1503.18526</v>
      </c>
      <c r="E54" s="161">
        <f>E23+E27+E37+E48+E51</f>
        <v>686.48</v>
      </c>
      <c r="F54" s="162">
        <f>E54/B54</f>
        <v>5.5439979325494243E-2</v>
      </c>
      <c r="G54" s="162">
        <f>E54/C54</f>
        <v>0.45668356274329092</v>
      </c>
      <c r="H54" s="163">
        <f t="shared" ref="H54:AE54" si="19">H23+H27+H37+H48+H51</f>
        <v>0</v>
      </c>
      <c r="I54" s="163">
        <f t="shared" si="19"/>
        <v>0</v>
      </c>
      <c r="J54" s="163">
        <f t="shared" si="19"/>
        <v>323.29300000000001</v>
      </c>
      <c r="K54" s="163">
        <f t="shared" si="19"/>
        <v>144.26</v>
      </c>
      <c r="L54" s="163">
        <f t="shared" si="19"/>
        <v>273.69499999999999</v>
      </c>
      <c r="M54" s="163">
        <f t="shared" si="19"/>
        <v>183.4</v>
      </c>
      <c r="N54" s="163">
        <f t="shared" si="19"/>
        <v>906.19725999999991</v>
      </c>
      <c r="O54" s="163">
        <f t="shared" si="19"/>
        <v>358.82</v>
      </c>
      <c r="P54" s="163">
        <f t="shared" si="19"/>
        <v>334.78300000000002</v>
      </c>
      <c r="Q54" s="163">
        <f t="shared" si="19"/>
        <v>0</v>
      </c>
      <c r="R54" s="163">
        <f t="shared" si="19"/>
        <v>3545.1030000000001</v>
      </c>
      <c r="S54" s="163">
        <f t="shared" si="19"/>
        <v>0</v>
      </c>
      <c r="T54" s="163">
        <f t="shared" si="19"/>
        <v>3339.6840000000002</v>
      </c>
      <c r="U54" s="163">
        <f t="shared" si="19"/>
        <v>0</v>
      </c>
      <c r="V54" s="163">
        <f t="shared" si="19"/>
        <v>3096.2059999999997</v>
      </c>
      <c r="W54" s="163">
        <f t="shared" si="19"/>
        <v>0</v>
      </c>
      <c r="X54" s="163">
        <f t="shared" si="19"/>
        <v>204.423</v>
      </c>
      <c r="Y54" s="163">
        <f t="shared" si="19"/>
        <v>0</v>
      </c>
      <c r="Z54" s="163">
        <f t="shared" si="19"/>
        <v>212.6</v>
      </c>
      <c r="AA54" s="163">
        <f t="shared" si="19"/>
        <v>0</v>
      </c>
      <c r="AB54" s="163">
        <f t="shared" si="19"/>
        <v>146.41574</v>
      </c>
      <c r="AC54" s="163">
        <f t="shared" si="19"/>
        <v>0</v>
      </c>
      <c r="AD54" s="163">
        <f t="shared" si="19"/>
        <v>0</v>
      </c>
      <c r="AE54" s="163">
        <f t="shared" si="19"/>
        <v>0</v>
      </c>
      <c r="AF54" s="164"/>
      <c r="AH54" s="36"/>
    </row>
    <row r="55" spans="1:34" s="35" customFormat="1" ht="111" customHeight="1" x14ac:dyDescent="0.25">
      <c r="A55" s="149" t="s">
        <v>119</v>
      </c>
      <c r="B55" s="150"/>
      <c r="C55" s="151"/>
      <c r="D55" s="151"/>
      <c r="E55" s="151"/>
      <c r="F55" s="152"/>
      <c r="G55" s="152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3"/>
      <c r="AF55" s="151"/>
      <c r="AH55" s="36"/>
    </row>
    <row r="56" spans="1:34" s="35" customFormat="1" ht="34.5" customHeight="1" x14ac:dyDescent="0.25">
      <c r="A56" s="104" t="s">
        <v>124</v>
      </c>
      <c r="B56" s="87"/>
      <c r="C56" s="85"/>
      <c r="D56" s="85"/>
      <c r="E56" s="85"/>
      <c r="F56" s="86"/>
      <c r="G56" s="86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120"/>
      <c r="AF56" s="209" t="s">
        <v>154</v>
      </c>
      <c r="AH56" s="36"/>
    </row>
    <row r="57" spans="1:34" s="35" customFormat="1" ht="39" customHeight="1" x14ac:dyDescent="0.25">
      <c r="A57" s="113" t="s">
        <v>120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209"/>
      <c r="AH57" s="36"/>
    </row>
    <row r="58" spans="1:34" s="35" customFormat="1" ht="15.75" customHeight="1" x14ac:dyDescent="0.25">
      <c r="A58" s="101" t="s">
        <v>121</v>
      </c>
      <c r="B58" s="106">
        <f>B60+B59</f>
        <v>3595.3580999999995</v>
      </c>
      <c r="C58" s="106">
        <f>C60+C59</f>
        <v>200.79249999999999</v>
      </c>
      <c r="D58" s="106">
        <f>D60+D59</f>
        <v>62.122500000000002</v>
      </c>
      <c r="E58" s="106">
        <f>E60+E59</f>
        <v>22.7</v>
      </c>
      <c r="F58" s="105">
        <f>E58/B58</f>
        <v>6.3136965411039313E-3</v>
      </c>
      <c r="G58" s="105">
        <f>E58/C58</f>
        <v>0.11305203132587124</v>
      </c>
      <c r="H58" s="85">
        <f>H60+H59</f>
        <v>0</v>
      </c>
      <c r="I58" s="85">
        <f>I60+I59</f>
        <v>0</v>
      </c>
      <c r="J58" s="85">
        <f t="shared" ref="J58:AE58" si="20">J60+J59</f>
        <v>0</v>
      </c>
      <c r="K58" s="85">
        <f t="shared" si="20"/>
        <v>0</v>
      </c>
      <c r="L58" s="85">
        <f t="shared" si="20"/>
        <v>0</v>
      </c>
      <c r="M58" s="85">
        <f t="shared" si="20"/>
        <v>0</v>
      </c>
      <c r="N58" s="85">
        <f t="shared" si="20"/>
        <v>200.79249999999999</v>
      </c>
      <c r="O58" s="85">
        <f t="shared" si="20"/>
        <v>22.7</v>
      </c>
      <c r="P58" s="85">
        <f>P60+P59</f>
        <v>346.18560000000002</v>
      </c>
      <c r="Q58" s="85">
        <f t="shared" si="20"/>
        <v>0</v>
      </c>
      <c r="R58" s="85">
        <f t="shared" si="20"/>
        <v>533.67750000000001</v>
      </c>
      <c r="S58" s="85">
        <f t="shared" si="20"/>
        <v>0</v>
      </c>
      <c r="T58" s="85">
        <f t="shared" si="20"/>
        <v>927.36349999999993</v>
      </c>
      <c r="U58" s="85">
        <f t="shared" si="20"/>
        <v>0</v>
      </c>
      <c r="V58" s="85">
        <f t="shared" si="20"/>
        <v>843.34999999999991</v>
      </c>
      <c r="W58" s="85">
        <f t="shared" si="20"/>
        <v>0</v>
      </c>
      <c r="X58" s="85">
        <f t="shared" si="20"/>
        <v>396.40499999999997</v>
      </c>
      <c r="Y58" s="85">
        <f t="shared" si="20"/>
        <v>0</v>
      </c>
      <c r="Z58" s="85">
        <f t="shared" si="20"/>
        <v>281.32499999999999</v>
      </c>
      <c r="AA58" s="85">
        <f t="shared" si="20"/>
        <v>0</v>
      </c>
      <c r="AB58" s="85">
        <f t="shared" si="20"/>
        <v>66.259</v>
      </c>
      <c r="AC58" s="85">
        <f t="shared" si="20"/>
        <v>0</v>
      </c>
      <c r="AD58" s="85">
        <f t="shared" si="20"/>
        <v>0</v>
      </c>
      <c r="AE58" s="85">
        <f t="shared" si="20"/>
        <v>0</v>
      </c>
      <c r="AF58" s="209"/>
      <c r="AH58" s="36"/>
    </row>
    <row r="59" spans="1:34" s="35" customFormat="1" ht="21.75" customHeight="1" x14ac:dyDescent="0.25">
      <c r="A59" s="102" t="s">
        <v>104</v>
      </c>
      <c r="B59" s="87">
        <f>H59+J59+L59+N59+P59+R59+T59+V59+X59+Z59+AB59+AD59</f>
        <v>1466.8</v>
      </c>
      <c r="C59" s="84">
        <f>H59+J59+L59+N59</f>
        <v>138.66999999999999</v>
      </c>
      <c r="D59" s="84"/>
      <c r="E59" s="84">
        <f>I59+K59+M59+O59</f>
        <v>0</v>
      </c>
      <c r="F59" s="107">
        <f>E59/B59</f>
        <v>0</v>
      </c>
      <c r="G59" s="107">
        <v>0</v>
      </c>
      <c r="H59" s="109"/>
      <c r="I59" s="109"/>
      <c r="J59" s="109"/>
      <c r="K59" s="109"/>
      <c r="L59" s="109"/>
      <c r="M59" s="109"/>
      <c r="N59" s="109">
        <f>138670/1000</f>
        <v>138.66999999999999</v>
      </c>
      <c r="O59" s="109"/>
      <c r="P59" s="111">
        <f>138669/1000</f>
        <v>138.66900000000001</v>
      </c>
      <c r="Q59" s="109"/>
      <c r="R59" s="111">
        <f>277340/1000</f>
        <v>277.33999999999997</v>
      </c>
      <c r="S59" s="111"/>
      <c r="T59" s="111">
        <f>480724/1000</f>
        <v>480.72399999999999</v>
      </c>
      <c r="U59" s="109"/>
      <c r="V59" s="111">
        <f>431397/1000</f>
        <v>431.39699999999999</v>
      </c>
      <c r="W59" s="109"/>
      <c r="X59" s="111"/>
      <c r="Y59" s="109"/>
      <c r="Z59" s="111"/>
      <c r="AA59" s="109"/>
      <c r="AB59" s="109"/>
      <c r="AC59" s="109"/>
      <c r="AD59" s="109"/>
      <c r="AE59" s="109"/>
      <c r="AF59" s="209"/>
      <c r="AH59" s="36"/>
    </row>
    <row r="60" spans="1:34" s="35" customFormat="1" ht="22.5" customHeight="1" x14ac:dyDescent="0.25">
      <c r="A60" s="102" t="s">
        <v>105</v>
      </c>
      <c r="B60" s="87">
        <f>H60+J60+L60+N60+P60+R60+T60+V60+X60+Z60+AB60+AD60</f>
        <v>2128.5580999999997</v>
      </c>
      <c r="C60" s="84">
        <f>H60+J60+L60+N60</f>
        <v>62.122500000000002</v>
      </c>
      <c r="D60" s="84">
        <f>62122.5/1000</f>
        <v>62.122500000000002</v>
      </c>
      <c r="E60" s="84">
        <f>I60+K60+M60+O60</f>
        <v>22.7</v>
      </c>
      <c r="F60" s="107">
        <f>E60/B60</f>
        <v>1.0664496308557423E-2</v>
      </c>
      <c r="G60" s="107">
        <f>E60/C60</f>
        <v>0.36540705863415024</v>
      </c>
      <c r="H60" s="109"/>
      <c r="I60" s="109"/>
      <c r="J60" s="109"/>
      <c r="K60" s="109"/>
      <c r="L60" s="109"/>
      <c r="M60" s="109"/>
      <c r="N60" s="111">
        <f>(40685+21437.5)/1000</f>
        <v>62.122500000000002</v>
      </c>
      <c r="O60" s="109">
        <v>22.7</v>
      </c>
      <c r="P60" s="111">
        <f>(186079+21437.6)/1000</f>
        <v>207.51660000000001</v>
      </c>
      <c r="Q60" s="109"/>
      <c r="R60" s="111">
        <f>(234900+21437.5)/1000</f>
        <v>256.33749999999998</v>
      </c>
      <c r="S60" s="109"/>
      <c r="T60" s="111">
        <f>(399477+47162.5)/1000</f>
        <v>446.6395</v>
      </c>
      <c r="U60" s="109"/>
      <c r="V60" s="111">
        <f>(369078+42875)/1000</f>
        <v>411.95299999999997</v>
      </c>
      <c r="W60" s="109"/>
      <c r="X60" s="111">
        <f>(353530+42875)/1000</f>
        <v>396.40499999999997</v>
      </c>
      <c r="Y60" s="109"/>
      <c r="Z60" s="111">
        <f>(247025+34300)/1000</f>
        <v>281.32499999999999</v>
      </c>
      <c r="AA60" s="109"/>
      <c r="AB60" s="111">
        <f>(57684+8575)/1000</f>
        <v>66.259</v>
      </c>
      <c r="AC60" s="109"/>
      <c r="AD60" s="109"/>
      <c r="AE60" s="109"/>
      <c r="AF60" s="209"/>
      <c r="AH60" s="36"/>
    </row>
    <row r="61" spans="1:34" s="35" customFormat="1" ht="102.75" customHeight="1" x14ac:dyDescent="0.25">
      <c r="A61" s="113" t="s">
        <v>122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209"/>
      <c r="AH61" s="36"/>
    </row>
    <row r="62" spans="1:34" s="35" customFormat="1" ht="22.5" customHeight="1" x14ac:dyDescent="0.25">
      <c r="A62" s="102" t="s">
        <v>105</v>
      </c>
      <c r="B62" s="87">
        <f>H62+J62+L62+N62+P62+R62+T62+V62+X62+Z62+AB62+AD62</f>
        <v>236.642</v>
      </c>
      <c r="C62" s="84">
        <f>H62+J62+L62+N62</f>
        <v>75.641999999999996</v>
      </c>
      <c r="D62" s="128">
        <f>75642/1000</f>
        <v>75.641999999999996</v>
      </c>
      <c r="E62" s="84">
        <f>I62+K62+M62+O62</f>
        <v>75.64</v>
      </c>
      <c r="F62" s="107">
        <f>E62/B62</f>
        <v>0.31963894828475081</v>
      </c>
      <c r="G62" s="107">
        <f>E62/C62</f>
        <v>0.99997355966262136</v>
      </c>
      <c r="H62" s="109"/>
      <c r="I62" s="109"/>
      <c r="J62" s="109"/>
      <c r="K62" s="109"/>
      <c r="L62" s="111">
        <f>58142/1000</f>
        <v>58.142000000000003</v>
      </c>
      <c r="M62" s="109"/>
      <c r="N62" s="111">
        <f>17500/1000</f>
        <v>17.5</v>
      </c>
      <c r="O62" s="109">
        <v>75.64</v>
      </c>
      <c r="P62" s="111">
        <f>17500/1000</f>
        <v>17.5</v>
      </c>
      <c r="Q62" s="111"/>
      <c r="R62" s="111">
        <f>38500/1000</f>
        <v>38.5</v>
      </c>
      <c r="S62" s="109"/>
      <c r="T62" s="111">
        <f>35000/1000</f>
        <v>35</v>
      </c>
      <c r="U62" s="109"/>
      <c r="V62" s="111">
        <f>35000/1000</f>
        <v>35</v>
      </c>
      <c r="W62" s="109"/>
      <c r="X62" s="111">
        <f>28000/1000</f>
        <v>28</v>
      </c>
      <c r="Y62" s="109"/>
      <c r="Z62" s="111">
        <f>7000/1000</f>
        <v>7</v>
      </c>
      <c r="AA62" s="109"/>
      <c r="AB62" s="109"/>
      <c r="AC62" s="109"/>
      <c r="AD62" s="109"/>
      <c r="AE62" s="109"/>
      <c r="AF62" s="209"/>
      <c r="AH62" s="36"/>
    </row>
    <row r="63" spans="1:34" s="35" customFormat="1" ht="22.5" customHeight="1" x14ac:dyDescent="0.25">
      <c r="A63" s="96" t="s">
        <v>126</v>
      </c>
      <c r="B63" s="73">
        <f>B65+B64</f>
        <v>3832.0000999999993</v>
      </c>
      <c r="C63" s="73">
        <f>C65+C64</f>
        <v>276.43449999999996</v>
      </c>
      <c r="D63" s="73">
        <f>D65+D64</f>
        <v>137.7645</v>
      </c>
      <c r="E63" s="73">
        <f>E65+E64</f>
        <v>98.34</v>
      </c>
      <c r="F63" s="74">
        <f>E63/B63</f>
        <v>2.5662838578735952E-2</v>
      </c>
      <c r="G63" s="74">
        <f>E63/C63</f>
        <v>0.35574430832620391</v>
      </c>
      <c r="H63" s="75">
        <f>H65+H64</f>
        <v>0</v>
      </c>
      <c r="I63" s="75">
        <f>I65+I64</f>
        <v>0</v>
      </c>
      <c r="J63" s="75">
        <f t="shared" ref="J63:AE63" si="21">J65+J64</f>
        <v>0</v>
      </c>
      <c r="K63" s="75">
        <f t="shared" si="21"/>
        <v>0</v>
      </c>
      <c r="L63" s="75">
        <f t="shared" si="21"/>
        <v>58.142000000000003</v>
      </c>
      <c r="M63" s="75">
        <f t="shared" si="21"/>
        <v>0</v>
      </c>
      <c r="N63" s="75">
        <f t="shared" si="21"/>
        <v>218.29249999999999</v>
      </c>
      <c r="O63" s="75">
        <f t="shared" si="21"/>
        <v>98.34</v>
      </c>
      <c r="P63" s="75">
        <f>P65+P64</f>
        <v>363.68560000000002</v>
      </c>
      <c r="Q63" s="75">
        <f t="shared" si="21"/>
        <v>0</v>
      </c>
      <c r="R63" s="75">
        <f t="shared" si="21"/>
        <v>572.17750000000001</v>
      </c>
      <c r="S63" s="75">
        <f t="shared" si="21"/>
        <v>0</v>
      </c>
      <c r="T63" s="75">
        <f t="shared" si="21"/>
        <v>962.36349999999993</v>
      </c>
      <c r="U63" s="75">
        <f t="shared" si="21"/>
        <v>0</v>
      </c>
      <c r="V63" s="75">
        <f t="shared" si="21"/>
        <v>878.34999999999991</v>
      </c>
      <c r="W63" s="75">
        <f t="shared" si="21"/>
        <v>0</v>
      </c>
      <c r="X63" s="75">
        <f t="shared" si="21"/>
        <v>424.40499999999997</v>
      </c>
      <c r="Y63" s="75">
        <f t="shared" si="21"/>
        <v>0</v>
      </c>
      <c r="Z63" s="75">
        <f t="shared" si="21"/>
        <v>288.32499999999999</v>
      </c>
      <c r="AA63" s="75">
        <f>AA65+AA64</f>
        <v>0</v>
      </c>
      <c r="AB63" s="75">
        <f t="shared" si="21"/>
        <v>66.259</v>
      </c>
      <c r="AC63" s="75">
        <f t="shared" si="21"/>
        <v>0</v>
      </c>
      <c r="AD63" s="75">
        <f t="shared" si="21"/>
        <v>0</v>
      </c>
      <c r="AE63" s="75">
        <f t="shared" si="21"/>
        <v>0</v>
      </c>
      <c r="AF63" s="209"/>
      <c r="AG63" s="129">
        <f>C63-E63</f>
        <v>178.09449999999995</v>
      </c>
      <c r="AH63" s="36"/>
    </row>
    <row r="64" spans="1:34" s="35" customFormat="1" ht="22.5" customHeight="1" x14ac:dyDescent="0.25">
      <c r="A64" s="102" t="s">
        <v>104</v>
      </c>
      <c r="B64" s="87">
        <f>H64+J64+L64+N64+P64+R64+T64+V64+X64+Z64+AB64+AD64</f>
        <v>1466.8</v>
      </c>
      <c r="C64" s="84">
        <f>C59</f>
        <v>138.66999999999999</v>
      </c>
      <c r="D64" s="84">
        <f>D59</f>
        <v>0</v>
      </c>
      <c r="E64" s="84">
        <f>E59</f>
        <v>0</v>
      </c>
      <c r="F64" s="107">
        <f>E64/B64</f>
        <v>0</v>
      </c>
      <c r="G64" s="107">
        <v>0</v>
      </c>
      <c r="H64" s="110">
        <f>H59</f>
        <v>0</v>
      </c>
      <c r="I64" s="110">
        <f t="shared" ref="I64:AE64" si="22">I59</f>
        <v>0</v>
      </c>
      <c r="J64" s="110">
        <f t="shared" si="22"/>
        <v>0</v>
      </c>
      <c r="K64" s="110">
        <f t="shared" si="22"/>
        <v>0</v>
      </c>
      <c r="L64" s="110">
        <f t="shared" si="22"/>
        <v>0</v>
      </c>
      <c r="M64" s="110">
        <f t="shared" si="22"/>
        <v>0</v>
      </c>
      <c r="N64" s="110">
        <f t="shared" si="22"/>
        <v>138.66999999999999</v>
      </c>
      <c r="O64" s="110">
        <f t="shared" si="22"/>
        <v>0</v>
      </c>
      <c r="P64" s="110">
        <f t="shared" si="22"/>
        <v>138.66900000000001</v>
      </c>
      <c r="Q64" s="110">
        <f t="shared" si="22"/>
        <v>0</v>
      </c>
      <c r="R64" s="110">
        <f t="shared" si="22"/>
        <v>277.33999999999997</v>
      </c>
      <c r="S64" s="110">
        <f t="shared" si="22"/>
        <v>0</v>
      </c>
      <c r="T64" s="110">
        <f t="shared" si="22"/>
        <v>480.72399999999999</v>
      </c>
      <c r="U64" s="110">
        <f t="shared" si="22"/>
        <v>0</v>
      </c>
      <c r="V64" s="110">
        <f t="shared" si="22"/>
        <v>431.39699999999999</v>
      </c>
      <c r="W64" s="110">
        <f t="shared" si="22"/>
        <v>0</v>
      </c>
      <c r="X64" s="110">
        <f t="shared" si="22"/>
        <v>0</v>
      </c>
      <c r="Y64" s="110">
        <f t="shared" si="22"/>
        <v>0</v>
      </c>
      <c r="Z64" s="110">
        <f t="shared" si="22"/>
        <v>0</v>
      </c>
      <c r="AA64" s="110">
        <f t="shared" si="22"/>
        <v>0</v>
      </c>
      <c r="AB64" s="110">
        <f t="shared" si="22"/>
        <v>0</v>
      </c>
      <c r="AC64" s="110">
        <f t="shared" si="22"/>
        <v>0</v>
      </c>
      <c r="AD64" s="110">
        <f t="shared" si="22"/>
        <v>0</v>
      </c>
      <c r="AE64" s="110">
        <f t="shared" si="22"/>
        <v>0</v>
      </c>
      <c r="AF64" s="209"/>
      <c r="AH64" s="36"/>
    </row>
    <row r="65" spans="1:34" s="35" customFormat="1" ht="22.5" customHeight="1" x14ac:dyDescent="0.25">
      <c r="A65" s="102" t="s">
        <v>105</v>
      </c>
      <c r="B65" s="87">
        <f>B60+B62</f>
        <v>2365.2000999999996</v>
      </c>
      <c r="C65" s="84">
        <f>C60+C62</f>
        <v>137.7645</v>
      </c>
      <c r="D65" s="84">
        <f>D60+D62</f>
        <v>137.7645</v>
      </c>
      <c r="E65" s="84">
        <f>E60+E62</f>
        <v>98.34</v>
      </c>
      <c r="F65" s="107">
        <f>E65/B65</f>
        <v>4.1577877491211009E-2</v>
      </c>
      <c r="G65" s="107">
        <f>E65/C65</f>
        <v>0.71382685670110957</v>
      </c>
      <c r="H65" s="110">
        <f>H60+H62</f>
        <v>0</v>
      </c>
      <c r="I65" s="110">
        <f t="shared" ref="I65:AE65" si="23">I60+I62</f>
        <v>0</v>
      </c>
      <c r="J65" s="110">
        <f t="shared" si="23"/>
        <v>0</v>
      </c>
      <c r="K65" s="110">
        <f t="shared" si="23"/>
        <v>0</v>
      </c>
      <c r="L65" s="110">
        <f t="shared" si="23"/>
        <v>58.142000000000003</v>
      </c>
      <c r="M65" s="110">
        <f t="shared" si="23"/>
        <v>0</v>
      </c>
      <c r="N65" s="110">
        <f t="shared" si="23"/>
        <v>79.622500000000002</v>
      </c>
      <c r="O65" s="110">
        <f t="shared" si="23"/>
        <v>98.34</v>
      </c>
      <c r="P65" s="110">
        <f t="shared" si="23"/>
        <v>225.01660000000001</v>
      </c>
      <c r="Q65" s="110">
        <f t="shared" si="23"/>
        <v>0</v>
      </c>
      <c r="R65" s="110">
        <f t="shared" si="23"/>
        <v>294.83749999999998</v>
      </c>
      <c r="S65" s="110">
        <f t="shared" si="23"/>
        <v>0</v>
      </c>
      <c r="T65" s="110">
        <f t="shared" si="23"/>
        <v>481.6395</v>
      </c>
      <c r="U65" s="110">
        <f t="shared" si="23"/>
        <v>0</v>
      </c>
      <c r="V65" s="110">
        <f t="shared" si="23"/>
        <v>446.95299999999997</v>
      </c>
      <c r="W65" s="110">
        <f t="shared" si="23"/>
        <v>0</v>
      </c>
      <c r="X65" s="110">
        <f t="shared" si="23"/>
        <v>424.40499999999997</v>
      </c>
      <c r="Y65" s="110">
        <f t="shared" si="23"/>
        <v>0</v>
      </c>
      <c r="Z65" s="110">
        <f t="shared" si="23"/>
        <v>288.32499999999999</v>
      </c>
      <c r="AA65" s="110">
        <f t="shared" si="23"/>
        <v>0</v>
      </c>
      <c r="AB65" s="110">
        <f t="shared" si="23"/>
        <v>66.259</v>
      </c>
      <c r="AC65" s="110">
        <f t="shared" si="23"/>
        <v>0</v>
      </c>
      <c r="AD65" s="110">
        <f t="shared" si="23"/>
        <v>0</v>
      </c>
      <c r="AE65" s="110">
        <f t="shared" si="23"/>
        <v>0</v>
      </c>
      <c r="AF65" s="209"/>
      <c r="AH65" s="36"/>
    </row>
    <row r="66" spans="1:34" s="35" customFormat="1" ht="22.5" customHeight="1" x14ac:dyDescent="0.25">
      <c r="A66" s="104" t="s">
        <v>125</v>
      </c>
      <c r="B66" s="102"/>
      <c r="C66" s="102"/>
      <c r="D66" s="102"/>
      <c r="E66" s="102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209" t="s">
        <v>155</v>
      </c>
      <c r="AH66" s="36"/>
    </row>
    <row r="67" spans="1:34" s="35" customFormat="1" ht="33" customHeight="1" x14ac:dyDescent="0.25">
      <c r="A67" s="113" t="s">
        <v>120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209"/>
      <c r="AH67" s="36"/>
    </row>
    <row r="68" spans="1:34" s="35" customFormat="1" ht="313.5" customHeight="1" x14ac:dyDescent="0.25">
      <c r="A68" s="103" t="s">
        <v>105</v>
      </c>
      <c r="B68" s="87">
        <f>H68+J68+L68+N68+P68+R68+T68+V68+X68+Z68+AB68+AD68</f>
        <v>4705.5</v>
      </c>
      <c r="C68" s="84">
        <f>H68+J68+L68+N68</f>
        <v>1410</v>
      </c>
      <c r="D68" s="84">
        <f>C68</f>
        <v>1410</v>
      </c>
      <c r="E68" s="84">
        <f>I68+K68+M68+O68</f>
        <v>1095.6599999999999</v>
      </c>
      <c r="F68" s="107">
        <f>E68/B68</f>
        <v>0.2328466687918393</v>
      </c>
      <c r="G68" s="107">
        <f>E68/C68</f>
        <v>0.77706382978723398</v>
      </c>
      <c r="H68" s="87"/>
      <c r="I68" s="87"/>
      <c r="J68" s="87">
        <f>470000/1000</f>
        <v>470</v>
      </c>
      <c r="K68" s="87">
        <v>141.06</v>
      </c>
      <c r="L68" s="87">
        <f>470000/1000</f>
        <v>470</v>
      </c>
      <c r="M68" s="87">
        <v>469.7</v>
      </c>
      <c r="N68" s="87">
        <f>470000/1000</f>
        <v>470</v>
      </c>
      <c r="O68" s="87">
        <v>484.9</v>
      </c>
      <c r="P68" s="87">
        <f>450000/1000</f>
        <v>450</v>
      </c>
      <c r="Q68" s="87"/>
      <c r="R68" s="87">
        <f>450000/1000</f>
        <v>450</v>
      </c>
      <c r="S68" s="87"/>
      <c r="T68" s="87">
        <f>170000/1000</f>
        <v>170</v>
      </c>
      <c r="U68" s="87"/>
      <c r="V68" s="87">
        <f>200000/1000</f>
        <v>200</v>
      </c>
      <c r="W68" s="87"/>
      <c r="X68" s="87">
        <f>200000/1000</f>
        <v>200</v>
      </c>
      <c r="Y68" s="87"/>
      <c r="Z68" s="87">
        <f>470000/1000</f>
        <v>470</v>
      </c>
      <c r="AA68" s="87"/>
      <c r="AB68" s="87">
        <f>450000/1000</f>
        <v>450</v>
      </c>
      <c r="AC68" s="87"/>
      <c r="AD68" s="87">
        <f>905500/1000</f>
        <v>905.5</v>
      </c>
      <c r="AE68" s="87"/>
      <c r="AF68" s="209"/>
      <c r="AG68" s="129">
        <f>C68-E68</f>
        <v>314.34000000000015</v>
      </c>
      <c r="AH68" s="36"/>
    </row>
    <row r="69" spans="1:34" s="35" customFormat="1" x14ac:dyDescent="0.25">
      <c r="A69" s="72" t="s">
        <v>141</v>
      </c>
      <c r="B69" s="73">
        <f>B71+B70</f>
        <v>8537.5000999999993</v>
      </c>
      <c r="C69" s="73">
        <f>C71+C70</f>
        <v>1686.4345000000001</v>
      </c>
      <c r="D69" s="73">
        <f>D71+D70</f>
        <v>1547.7645</v>
      </c>
      <c r="E69" s="73">
        <f>E71+E70</f>
        <v>1193.9999999999998</v>
      </c>
      <c r="F69" s="74">
        <f>E69/B69</f>
        <v>0.13985358547755683</v>
      </c>
      <c r="G69" s="74">
        <f>E69/C69</f>
        <v>0.70800259363764184</v>
      </c>
      <c r="H69" s="75">
        <f t="shared" ref="H69:AE69" si="24">H71+H70</f>
        <v>0</v>
      </c>
      <c r="I69" s="75">
        <f t="shared" si="24"/>
        <v>0</v>
      </c>
      <c r="J69" s="75">
        <f t="shared" si="24"/>
        <v>470</v>
      </c>
      <c r="K69" s="75">
        <f>K71+K70</f>
        <v>141.06</v>
      </c>
      <c r="L69" s="75">
        <f t="shared" si="24"/>
        <v>528.14200000000005</v>
      </c>
      <c r="M69" s="75">
        <f t="shared" si="24"/>
        <v>469.7</v>
      </c>
      <c r="N69" s="75">
        <f t="shared" si="24"/>
        <v>688.2924999999999</v>
      </c>
      <c r="O69" s="75">
        <f t="shared" si="24"/>
        <v>583.24</v>
      </c>
      <c r="P69" s="75">
        <f t="shared" si="24"/>
        <v>813.68560000000002</v>
      </c>
      <c r="Q69" s="75">
        <f t="shared" si="24"/>
        <v>0</v>
      </c>
      <c r="R69" s="75">
        <f t="shared" si="24"/>
        <v>1022.1775</v>
      </c>
      <c r="S69" s="75">
        <f t="shared" si="24"/>
        <v>0</v>
      </c>
      <c r="T69" s="75">
        <f>T71+T70</f>
        <v>1132.3634999999999</v>
      </c>
      <c r="U69" s="75">
        <f>U71+U70</f>
        <v>0</v>
      </c>
      <c r="V69" s="75">
        <f t="shared" si="24"/>
        <v>1078.3499999999999</v>
      </c>
      <c r="W69" s="75">
        <f t="shared" si="24"/>
        <v>0</v>
      </c>
      <c r="X69" s="75">
        <f t="shared" si="24"/>
        <v>624.40499999999997</v>
      </c>
      <c r="Y69" s="75">
        <f t="shared" si="24"/>
        <v>0</v>
      </c>
      <c r="Z69" s="75">
        <f t="shared" si="24"/>
        <v>758.32500000000005</v>
      </c>
      <c r="AA69" s="75">
        <f t="shared" si="24"/>
        <v>0</v>
      </c>
      <c r="AB69" s="75">
        <f t="shared" si="24"/>
        <v>516.25900000000001</v>
      </c>
      <c r="AC69" s="75">
        <f t="shared" si="24"/>
        <v>0</v>
      </c>
      <c r="AD69" s="75">
        <f t="shared" si="24"/>
        <v>905.5</v>
      </c>
      <c r="AE69" s="75">
        <f t="shared" si="24"/>
        <v>0</v>
      </c>
      <c r="AF69" s="75"/>
      <c r="AH69" s="36"/>
    </row>
    <row r="70" spans="1:34" s="35" customFormat="1" x14ac:dyDescent="0.25">
      <c r="A70" s="92" t="s">
        <v>104</v>
      </c>
      <c r="B70" s="112">
        <f>B64</f>
        <v>1466.8</v>
      </c>
      <c r="C70" s="108">
        <f>C64</f>
        <v>138.66999999999999</v>
      </c>
      <c r="D70" s="108">
        <f>D64</f>
        <v>0</v>
      </c>
      <c r="E70" s="108">
        <f>E64</f>
        <v>0</v>
      </c>
      <c r="F70" s="79">
        <f>E70/B70</f>
        <v>0</v>
      </c>
      <c r="G70" s="79">
        <v>0</v>
      </c>
      <c r="H70" s="112">
        <f>H64</f>
        <v>0</v>
      </c>
      <c r="I70" s="112">
        <f t="shared" ref="I70:AE70" si="25">I64</f>
        <v>0</v>
      </c>
      <c r="J70" s="112">
        <f>J64</f>
        <v>0</v>
      </c>
      <c r="K70" s="112">
        <f t="shared" si="25"/>
        <v>0</v>
      </c>
      <c r="L70" s="112">
        <f t="shared" ref="L70:AA70" si="26">L64</f>
        <v>0</v>
      </c>
      <c r="M70" s="112">
        <f t="shared" si="26"/>
        <v>0</v>
      </c>
      <c r="N70" s="112">
        <f t="shared" si="26"/>
        <v>138.66999999999999</v>
      </c>
      <c r="O70" s="112">
        <f t="shared" si="26"/>
        <v>0</v>
      </c>
      <c r="P70" s="112">
        <f t="shared" si="26"/>
        <v>138.66900000000001</v>
      </c>
      <c r="Q70" s="112">
        <f t="shared" si="26"/>
        <v>0</v>
      </c>
      <c r="R70" s="112">
        <f t="shared" si="26"/>
        <v>277.33999999999997</v>
      </c>
      <c r="S70" s="112">
        <f t="shared" si="26"/>
        <v>0</v>
      </c>
      <c r="T70" s="112">
        <f t="shared" si="26"/>
        <v>480.72399999999999</v>
      </c>
      <c r="U70" s="112">
        <f t="shared" si="26"/>
        <v>0</v>
      </c>
      <c r="V70" s="112">
        <f t="shared" si="26"/>
        <v>431.39699999999999</v>
      </c>
      <c r="W70" s="112">
        <f t="shared" si="26"/>
        <v>0</v>
      </c>
      <c r="X70" s="112">
        <f t="shared" si="26"/>
        <v>0</v>
      </c>
      <c r="Y70" s="112">
        <f t="shared" si="26"/>
        <v>0</v>
      </c>
      <c r="Z70" s="112">
        <f t="shared" si="26"/>
        <v>0</v>
      </c>
      <c r="AA70" s="112">
        <f t="shared" si="26"/>
        <v>0</v>
      </c>
      <c r="AB70" s="112">
        <f t="shared" si="25"/>
        <v>0</v>
      </c>
      <c r="AC70" s="112">
        <f t="shared" si="25"/>
        <v>0</v>
      </c>
      <c r="AD70" s="112">
        <f t="shared" si="25"/>
        <v>0</v>
      </c>
      <c r="AE70" s="112">
        <f t="shared" si="25"/>
        <v>0</v>
      </c>
      <c r="AF70" s="108"/>
      <c r="AH70" s="36"/>
    </row>
    <row r="71" spans="1:34" s="33" customFormat="1" ht="26.25" customHeight="1" x14ac:dyDescent="0.25">
      <c r="A71" s="90" t="s">
        <v>105</v>
      </c>
      <c r="B71" s="81">
        <f>B65+B68</f>
        <v>7070.7001</v>
      </c>
      <c r="C71" s="81">
        <f>C65+C68</f>
        <v>1547.7645</v>
      </c>
      <c r="D71" s="81">
        <f>D65+D68</f>
        <v>1547.7645</v>
      </c>
      <c r="E71" s="81">
        <f>E65+E68</f>
        <v>1193.9999999999998</v>
      </c>
      <c r="F71" s="83">
        <f>E71/B71</f>
        <v>0.16886588076334899</v>
      </c>
      <c r="G71" s="83">
        <f>E71/C71</f>
        <v>0.77143518926813459</v>
      </c>
      <c r="H71" s="81">
        <f t="shared" ref="H71:AE71" si="27">H65+H68</f>
        <v>0</v>
      </c>
      <c r="I71" s="81">
        <f t="shared" si="27"/>
        <v>0</v>
      </c>
      <c r="J71" s="81">
        <f t="shared" si="27"/>
        <v>470</v>
      </c>
      <c r="K71" s="81">
        <f t="shared" si="27"/>
        <v>141.06</v>
      </c>
      <c r="L71" s="81">
        <f>L65+L68</f>
        <v>528.14200000000005</v>
      </c>
      <c r="M71" s="81">
        <f t="shared" si="27"/>
        <v>469.7</v>
      </c>
      <c r="N71" s="81">
        <f t="shared" si="27"/>
        <v>549.62249999999995</v>
      </c>
      <c r="O71" s="81">
        <f t="shared" si="27"/>
        <v>583.24</v>
      </c>
      <c r="P71" s="81">
        <f t="shared" si="27"/>
        <v>675.01660000000004</v>
      </c>
      <c r="Q71" s="81">
        <f t="shared" si="27"/>
        <v>0</v>
      </c>
      <c r="R71" s="81">
        <f t="shared" si="27"/>
        <v>744.83749999999998</v>
      </c>
      <c r="S71" s="81">
        <f t="shared" si="27"/>
        <v>0</v>
      </c>
      <c r="T71" s="81">
        <f t="shared" si="27"/>
        <v>651.6395</v>
      </c>
      <c r="U71" s="81">
        <f t="shared" si="27"/>
        <v>0</v>
      </c>
      <c r="V71" s="81">
        <f t="shared" si="27"/>
        <v>646.95299999999997</v>
      </c>
      <c r="W71" s="81">
        <f t="shared" si="27"/>
        <v>0</v>
      </c>
      <c r="X71" s="81">
        <f t="shared" si="27"/>
        <v>624.40499999999997</v>
      </c>
      <c r="Y71" s="81">
        <f t="shared" si="27"/>
        <v>0</v>
      </c>
      <c r="Z71" s="81">
        <f t="shared" si="27"/>
        <v>758.32500000000005</v>
      </c>
      <c r="AA71" s="81">
        <f t="shared" si="27"/>
        <v>0</v>
      </c>
      <c r="AB71" s="81">
        <f t="shared" si="27"/>
        <v>516.25900000000001</v>
      </c>
      <c r="AC71" s="81">
        <f t="shared" si="27"/>
        <v>0</v>
      </c>
      <c r="AD71" s="81">
        <f t="shared" si="27"/>
        <v>905.5</v>
      </c>
      <c r="AE71" s="81">
        <f t="shared" si="27"/>
        <v>0</v>
      </c>
      <c r="AF71" s="81"/>
      <c r="AH71" s="34"/>
    </row>
    <row r="72" spans="1:34" s="35" customFormat="1" ht="122.25" customHeight="1" x14ac:dyDescent="0.25">
      <c r="A72" s="137" t="s">
        <v>134</v>
      </c>
      <c r="B72" s="147"/>
      <c r="C72" s="144"/>
      <c r="D72" s="144"/>
      <c r="E72" s="144"/>
      <c r="F72" s="145"/>
      <c r="G72" s="145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6"/>
      <c r="AF72" s="148" t="s">
        <v>142</v>
      </c>
      <c r="AH72" s="36"/>
    </row>
    <row r="73" spans="1:34" s="35" customFormat="1" x14ac:dyDescent="0.25">
      <c r="A73" s="72" t="s">
        <v>25</v>
      </c>
      <c r="B73" s="73">
        <f>B74</f>
        <v>0</v>
      </c>
      <c r="C73" s="73">
        <f>C74</f>
        <v>0</v>
      </c>
      <c r="D73" s="73">
        <f>D74</f>
        <v>0</v>
      </c>
      <c r="E73" s="73">
        <f t="shared" ref="E73:AE73" si="28">E74</f>
        <v>0</v>
      </c>
      <c r="F73" s="74">
        <f t="shared" si="28"/>
        <v>0</v>
      </c>
      <c r="G73" s="74">
        <v>0</v>
      </c>
      <c r="H73" s="73">
        <f t="shared" si="28"/>
        <v>0</v>
      </c>
      <c r="I73" s="73">
        <f t="shared" si="28"/>
        <v>0</v>
      </c>
      <c r="J73" s="73">
        <f t="shared" si="28"/>
        <v>0</v>
      </c>
      <c r="K73" s="73">
        <f t="shared" si="28"/>
        <v>0</v>
      </c>
      <c r="L73" s="73">
        <f t="shared" si="28"/>
        <v>0</v>
      </c>
      <c r="M73" s="73">
        <f t="shared" si="28"/>
        <v>0</v>
      </c>
      <c r="N73" s="73">
        <f t="shared" si="28"/>
        <v>0</v>
      </c>
      <c r="O73" s="73">
        <f t="shared" si="28"/>
        <v>0</v>
      </c>
      <c r="P73" s="73">
        <f t="shared" si="28"/>
        <v>0</v>
      </c>
      <c r="Q73" s="73">
        <f t="shared" si="28"/>
        <v>0</v>
      </c>
      <c r="R73" s="73">
        <f t="shared" si="28"/>
        <v>0</v>
      </c>
      <c r="S73" s="73">
        <f t="shared" si="28"/>
        <v>0</v>
      </c>
      <c r="T73" s="73">
        <f t="shared" si="28"/>
        <v>0</v>
      </c>
      <c r="U73" s="73">
        <f t="shared" si="28"/>
        <v>0</v>
      </c>
      <c r="V73" s="73">
        <f t="shared" si="28"/>
        <v>0</v>
      </c>
      <c r="W73" s="73">
        <f t="shared" si="28"/>
        <v>0</v>
      </c>
      <c r="X73" s="73">
        <f t="shared" si="28"/>
        <v>0</v>
      </c>
      <c r="Y73" s="73">
        <f t="shared" si="28"/>
        <v>0</v>
      </c>
      <c r="Z73" s="73">
        <f t="shared" si="28"/>
        <v>0</v>
      </c>
      <c r="AA73" s="73">
        <f t="shared" si="28"/>
        <v>0</v>
      </c>
      <c r="AB73" s="73">
        <f t="shared" si="28"/>
        <v>0</v>
      </c>
      <c r="AC73" s="73">
        <f t="shared" si="28"/>
        <v>0</v>
      </c>
      <c r="AD73" s="73">
        <f t="shared" si="28"/>
        <v>0</v>
      </c>
      <c r="AE73" s="73">
        <f t="shared" si="28"/>
        <v>0</v>
      </c>
      <c r="AF73" s="73"/>
      <c r="AH73" s="36"/>
    </row>
    <row r="74" spans="1:34" s="35" customFormat="1" ht="21" customHeight="1" x14ac:dyDescent="0.25">
      <c r="A74" s="76" t="s">
        <v>104</v>
      </c>
      <c r="B74" s="77">
        <f>H74+J74+L74+N74+P74+R74+T74+V74+X74+Z74+AB74+AD74</f>
        <v>0</v>
      </c>
      <c r="C74" s="78">
        <f>H74+J74+L74+N74+P74+R74+T74+V74+X74</f>
        <v>0</v>
      </c>
      <c r="D74" s="78">
        <f>H74+J74+L74+N74+P74+R74+T74+V74</f>
        <v>0</v>
      </c>
      <c r="E74" s="78">
        <f>I74+K74+M74+O74+Q74+S74+U74+W74+Y74+AA74+AC74+AE74</f>
        <v>0</v>
      </c>
      <c r="F74" s="79">
        <v>0</v>
      </c>
      <c r="G74" s="79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8"/>
      <c r="AH74" s="36"/>
    </row>
    <row r="75" spans="1:34" s="35" customFormat="1" ht="51" customHeight="1" x14ac:dyDescent="0.25">
      <c r="A75" s="95" t="s">
        <v>115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41"/>
      <c r="AH75" s="36"/>
    </row>
    <row r="76" spans="1:34" s="35" customFormat="1" x14ac:dyDescent="0.25">
      <c r="A76" s="72" t="s">
        <v>25</v>
      </c>
      <c r="B76" s="73">
        <f>B77+B78</f>
        <v>3144.1000000000004</v>
      </c>
      <c r="C76" s="73">
        <f>C77+C78</f>
        <v>1110.1747800000001</v>
      </c>
      <c r="D76" s="73">
        <f>D77+D78</f>
        <v>1167</v>
      </c>
      <c r="E76" s="73">
        <f>E77+E78</f>
        <v>1088.19751</v>
      </c>
      <c r="F76" s="74">
        <f>E76/B76</f>
        <v>0.34610779237301609</v>
      </c>
      <c r="G76" s="74">
        <f>E76/C76</f>
        <v>0.98020377476058307</v>
      </c>
      <c r="H76" s="73">
        <f t="shared" ref="H76" si="29">H77+H78</f>
        <v>524.64462000000003</v>
      </c>
      <c r="I76" s="73">
        <f t="shared" ref="I76" si="30">I77+I78</f>
        <v>484.70751000000001</v>
      </c>
      <c r="J76" s="73">
        <f t="shared" ref="J76" si="31">J77+J78</f>
        <v>249.03572</v>
      </c>
      <c r="K76" s="73">
        <f t="shared" ref="K76" si="32">K77+K78</f>
        <v>285.25</v>
      </c>
      <c r="L76" s="73">
        <f t="shared" ref="L76" si="33">L77+L78</f>
        <v>102.92872</v>
      </c>
      <c r="M76" s="73">
        <f t="shared" ref="M76" si="34">M77+M78</f>
        <v>90.22</v>
      </c>
      <c r="N76" s="73">
        <f t="shared" ref="N76" si="35">N77+N78</f>
        <v>233.56572</v>
      </c>
      <c r="O76" s="73">
        <f t="shared" ref="O76" si="36">O77+O78</f>
        <v>228.02</v>
      </c>
      <c r="P76" s="73">
        <f t="shared" ref="P76" si="37">P77+P78</f>
        <v>308.98971999999998</v>
      </c>
      <c r="Q76" s="73">
        <f t="shared" ref="Q76" si="38">Q77+Q78</f>
        <v>0</v>
      </c>
      <c r="R76" s="73">
        <f t="shared" ref="R76" si="39">R77+R78</f>
        <v>147.68472</v>
      </c>
      <c r="S76" s="73">
        <f t="shared" ref="S76" si="40">S77+S78</f>
        <v>0</v>
      </c>
      <c r="T76" s="73">
        <f t="shared" ref="T76" si="41">T77+T78</f>
        <v>480.25071999999994</v>
      </c>
      <c r="U76" s="73">
        <f t="shared" ref="U76" si="42">U77+U78</f>
        <v>0</v>
      </c>
      <c r="V76" s="73">
        <f t="shared" ref="V76" si="43">V77+V78</f>
        <v>190.57772</v>
      </c>
      <c r="W76" s="73">
        <f t="shared" ref="W76" si="44">W77+W78</f>
        <v>0</v>
      </c>
      <c r="X76" s="73">
        <f t="shared" ref="X76" si="45">X77+X78</f>
        <v>234.16872000000001</v>
      </c>
      <c r="Y76" s="73">
        <f t="shared" ref="Y76" si="46">Y77+Y78</f>
        <v>0</v>
      </c>
      <c r="Z76" s="73">
        <f t="shared" ref="Z76" si="47">Z77+Z78</f>
        <v>251.24572000000001</v>
      </c>
      <c r="AA76" s="73">
        <f t="shared" ref="AA76" si="48">AA77+AA78</f>
        <v>0</v>
      </c>
      <c r="AB76" s="73">
        <f t="shared" ref="AB76" si="49">AB77+AB78</f>
        <v>139.53971999999999</v>
      </c>
      <c r="AC76" s="73">
        <f t="shared" ref="AC76" si="50">AC77+AC78</f>
        <v>0</v>
      </c>
      <c r="AD76" s="73">
        <f t="shared" ref="AD76" si="51">AD77+AD78</f>
        <v>281.46818000000002</v>
      </c>
      <c r="AE76" s="73">
        <f>AE77+AE78</f>
        <v>0</v>
      </c>
      <c r="AF76" s="73"/>
      <c r="AH76" s="36"/>
    </row>
    <row r="77" spans="1:34" s="35" customFormat="1" x14ac:dyDescent="0.25">
      <c r="A77" s="76" t="s">
        <v>104</v>
      </c>
      <c r="B77" s="77">
        <f>B81</f>
        <v>3144.1000000000004</v>
      </c>
      <c r="C77" s="77">
        <f t="shared" ref="C77:AE77" si="52">C81</f>
        <v>1110.1747800000001</v>
      </c>
      <c r="D77" s="77">
        <f t="shared" si="52"/>
        <v>1167</v>
      </c>
      <c r="E77" s="77">
        <f t="shared" si="52"/>
        <v>1088.19751</v>
      </c>
      <c r="F77" s="121">
        <f>E77/B77</f>
        <v>0.34610779237301609</v>
      </c>
      <c r="G77" s="121">
        <f>E77/C77</f>
        <v>0.98020377476058307</v>
      </c>
      <c r="H77" s="77">
        <f t="shared" si="52"/>
        <v>524.64462000000003</v>
      </c>
      <c r="I77" s="77">
        <f t="shared" si="52"/>
        <v>484.70751000000001</v>
      </c>
      <c r="J77" s="77">
        <f t="shared" si="52"/>
        <v>249.03572</v>
      </c>
      <c r="K77" s="77">
        <f t="shared" si="52"/>
        <v>285.25</v>
      </c>
      <c r="L77" s="77">
        <f t="shared" si="52"/>
        <v>102.92872</v>
      </c>
      <c r="M77" s="77">
        <f t="shared" si="52"/>
        <v>90.22</v>
      </c>
      <c r="N77" s="77">
        <f t="shared" si="52"/>
        <v>233.56572</v>
      </c>
      <c r="O77" s="77">
        <f t="shared" si="52"/>
        <v>228.02</v>
      </c>
      <c r="P77" s="77">
        <f t="shared" si="52"/>
        <v>308.98971999999998</v>
      </c>
      <c r="Q77" s="77">
        <f t="shared" si="52"/>
        <v>0</v>
      </c>
      <c r="R77" s="77">
        <f t="shared" si="52"/>
        <v>147.68472</v>
      </c>
      <c r="S77" s="77">
        <f t="shared" si="52"/>
        <v>0</v>
      </c>
      <c r="T77" s="77">
        <f t="shared" si="52"/>
        <v>480.25071999999994</v>
      </c>
      <c r="U77" s="77">
        <f t="shared" si="52"/>
        <v>0</v>
      </c>
      <c r="V77" s="77">
        <f t="shared" si="52"/>
        <v>190.57772</v>
      </c>
      <c r="W77" s="77">
        <f t="shared" si="52"/>
        <v>0</v>
      </c>
      <c r="X77" s="77">
        <f t="shared" si="52"/>
        <v>234.16872000000001</v>
      </c>
      <c r="Y77" s="77">
        <f t="shared" si="52"/>
        <v>0</v>
      </c>
      <c r="Z77" s="77">
        <f t="shared" si="52"/>
        <v>251.24572000000001</v>
      </c>
      <c r="AA77" s="77">
        <f t="shared" si="52"/>
        <v>0</v>
      </c>
      <c r="AB77" s="77">
        <f t="shared" si="52"/>
        <v>139.53971999999999</v>
      </c>
      <c r="AC77" s="77">
        <f t="shared" si="52"/>
        <v>0</v>
      </c>
      <c r="AD77" s="77">
        <f t="shared" si="52"/>
        <v>281.46818000000002</v>
      </c>
      <c r="AE77" s="77">
        <f t="shared" si="52"/>
        <v>0</v>
      </c>
      <c r="AF77" s="77"/>
      <c r="AH77" s="36"/>
    </row>
    <row r="78" spans="1:34" s="35" customFormat="1" x14ac:dyDescent="0.25">
      <c r="A78" s="80" t="s">
        <v>105</v>
      </c>
      <c r="B78" s="81">
        <f>B84</f>
        <v>0</v>
      </c>
      <c r="C78" s="81">
        <f t="shared" ref="C78:AE78" si="53">C84</f>
        <v>0</v>
      </c>
      <c r="D78" s="81">
        <f t="shared" si="53"/>
        <v>0</v>
      </c>
      <c r="E78" s="81">
        <f t="shared" si="53"/>
        <v>0</v>
      </c>
      <c r="F78" s="122">
        <v>0</v>
      </c>
      <c r="G78" s="122">
        <v>0</v>
      </c>
      <c r="H78" s="81">
        <f t="shared" si="53"/>
        <v>0</v>
      </c>
      <c r="I78" s="81">
        <f t="shared" si="53"/>
        <v>0</v>
      </c>
      <c r="J78" s="81">
        <f t="shared" si="53"/>
        <v>0</v>
      </c>
      <c r="K78" s="81">
        <f t="shared" si="53"/>
        <v>0</v>
      </c>
      <c r="L78" s="81">
        <f t="shared" si="53"/>
        <v>0</v>
      </c>
      <c r="M78" s="81">
        <f t="shared" si="53"/>
        <v>0</v>
      </c>
      <c r="N78" s="81">
        <f t="shared" si="53"/>
        <v>0</v>
      </c>
      <c r="O78" s="81">
        <f t="shared" si="53"/>
        <v>0</v>
      </c>
      <c r="P78" s="81">
        <f t="shared" si="53"/>
        <v>0</v>
      </c>
      <c r="Q78" s="81">
        <f t="shared" si="53"/>
        <v>0</v>
      </c>
      <c r="R78" s="81">
        <f t="shared" si="53"/>
        <v>0</v>
      </c>
      <c r="S78" s="81">
        <f t="shared" si="53"/>
        <v>0</v>
      </c>
      <c r="T78" s="81">
        <f t="shared" si="53"/>
        <v>0</v>
      </c>
      <c r="U78" s="81">
        <f t="shared" si="53"/>
        <v>0</v>
      </c>
      <c r="V78" s="81">
        <f t="shared" si="53"/>
        <v>0</v>
      </c>
      <c r="W78" s="81">
        <f t="shared" si="53"/>
        <v>0</v>
      </c>
      <c r="X78" s="81">
        <f t="shared" si="53"/>
        <v>0</v>
      </c>
      <c r="Y78" s="81">
        <f t="shared" si="53"/>
        <v>0</v>
      </c>
      <c r="Z78" s="81">
        <f t="shared" si="53"/>
        <v>0</v>
      </c>
      <c r="AA78" s="81">
        <f t="shared" si="53"/>
        <v>0</v>
      </c>
      <c r="AB78" s="81">
        <f t="shared" si="53"/>
        <v>0</v>
      </c>
      <c r="AC78" s="81">
        <f t="shared" si="53"/>
        <v>0</v>
      </c>
      <c r="AD78" s="81">
        <f t="shared" si="53"/>
        <v>0</v>
      </c>
      <c r="AE78" s="81">
        <f t="shared" si="53"/>
        <v>0</v>
      </c>
      <c r="AF78" s="81"/>
      <c r="AH78" s="36"/>
    </row>
    <row r="79" spans="1:34" s="35" customFormat="1" ht="130.5" customHeight="1" x14ac:dyDescent="0.25">
      <c r="A79" s="133" t="s">
        <v>135</v>
      </c>
      <c r="B79" s="70"/>
      <c r="C79" s="134"/>
      <c r="D79" s="134"/>
      <c r="E79" s="134"/>
      <c r="F79" s="135"/>
      <c r="G79" s="135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6"/>
      <c r="AF79" s="209" t="s">
        <v>156</v>
      </c>
      <c r="AG79" s="129">
        <f>C80-E80</f>
        <v>21.97727000000009</v>
      </c>
      <c r="AH79" s="36"/>
    </row>
    <row r="80" spans="1:34" s="35" customFormat="1" x14ac:dyDescent="0.25">
      <c r="A80" s="72" t="s">
        <v>25</v>
      </c>
      <c r="B80" s="73">
        <f>B81</f>
        <v>3144.1000000000004</v>
      </c>
      <c r="C80" s="73">
        <f>C81</f>
        <v>1110.1747800000001</v>
      </c>
      <c r="D80" s="73">
        <f>D81</f>
        <v>1167</v>
      </c>
      <c r="E80" s="73">
        <f>E81</f>
        <v>1088.19751</v>
      </c>
      <c r="F80" s="74">
        <f>E80/B80</f>
        <v>0.34610779237301609</v>
      </c>
      <c r="G80" s="74">
        <f>E80/C80</f>
        <v>0.98020377476058307</v>
      </c>
      <c r="H80" s="73">
        <f t="shared" ref="H80:AE80" si="54">H81</f>
        <v>524.64462000000003</v>
      </c>
      <c r="I80" s="73">
        <f t="shared" si="54"/>
        <v>484.70751000000001</v>
      </c>
      <c r="J80" s="73">
        <f t="shared" si="54"/>
        <v>249.03572</v>
      </c>
      <c r="K80" s="73">
        <f t="shared" si="54"/>
        <v>285.25</v>
      </c>
      <c r="L80" s="73">
        <f t="shared" si="54"/>
        <v>102.92872</v>
      </c>
      <c r="M80" s="73">
        <f t="shared" si="54"/>
        <v>90.22</v>
      </c>
      <c r="N80" s="73">
        <f t="shared" si="54"/>
        <v>233.56572</v>
      </c>
      <c r="O80" s="73">
        <f t="shared" si="54"/>
        <v>228.02</v>
      </c>
      <c r="P80" s="73">
        <f t="shared" si="54"/>
        <v>308.98971999999998</v>
      </c>
      <c r="Q80" s="73">
        <f t="shared" si="54"/>
        <v>0</v>
      </c>
      <c r="R80" s="73">
        <f t="shared" si="54"/>
        <v>147.68472</v>
      </c>
      <c r="S80" s="73">
        <f t="shared" si="54"/>
        <v>0</v>
      </c>
      <c r="T80" s="73">
        <f t="shared" si="54"/>
        <v>480.25071999999994</v>
      </c>
      <c r="U80" s="73">
        <f t="shared" si="54"/>
        <v>0</v>
      </c>
      <c r="V80" s="73">
        <f t="shared" si="54"/>
        <v>190.57772</v>
      </c>
      <c r="W80" s="73">
        <f t="shared" si="54"/>
        <v>0</v>
      </c>
      <c r="X80" s="73">
        <f t="shared" si="54"/>
        <v>234.16872000000001</v>
      </c>
      <c r="Y80" s="73">
        <f t="shared" si="54"/>
        <v>0</v>
      </c>
      <c r="Z80" s="73">
        <f t="shared" si="54"/>
        <v>251.24572000000001</v>
      </c>
      <c r="AA80" s="73">
        <f t="shared" si="54"/>
        <v>0</v>
      </c>
      <c r="AB80" s="73">
        <f t="shared" si="54"/>
        <v>139.53971999999999</v>
      </c>
      <c r="AC80" s="73">
        <f t="shared" si="54"/>
        <v>0</v>
      </c>
      <c r="AD80" s="73">
        <f t="shared" si="54"/>
        <v>281.46818000000002</v>
      </c>
      <c r="AE80" s="73">
        <f t="shared" si="54"/>
        <v>0</v>
      </c>
      <c r="AF80" s="209"/>
      <c r="AH80" s="36"/>
    </row>
    <row r="81" spans="1:34" s="35" customFormat="1" ht="38.25" customHeight="1" x14ac:dyDescent="0.25">
      <c r="A81" s="92" t="s">
        <v>104</v>
      </c>
      <c r="B81" s="77">
        <f>H81+J81+L81+N81+P81+R81+T81+V81+X81+Z81+AB81+AD81</f>
        <v>3144.1000000000004</v>
      </c>
      <c r="C81" s="78">
        <f>H81+J81+L81+N81</f>
        <v>1110.1747800000001</v>
      </c>
      <c r="D81" s="78">
        <f>1167000/1000</f>
        <v>1167</v>
      </c>
      <c r="E81" s="78">
        <f>I81+K81+M81+O81</f>
        <v>1088.19751</v>
      </c>
      <c r="F81" s="79">
        <f>E81/B81</f>
        <v>0.34610779237301609</v>
      </c>
      <c r="G81" s="79">
        <f>E81/C81</f>
        <v>0.98020377476058307</v>
      </c>
      <c r="H81" s="78">
        <f>524644.62/1000</f>
        <v>524.64462000000003</v>
      </c>
      <c r="I81" s="78">
        <f>484707.51/1000</f>
        <v>484.70751000000001</v>
      </c>
      <c r="J81" s="78">
        <f>249035.72/1000</f>
        <v>249.03572</v>
      </c>
      <c r="K81" s="78">
        <v>285.25</v>
      </c>
      <c r="L81" s="78">
        <f>102928.72/1000</f>
        <v>102.92872</v>
      </c>
      <c r="M81" s="78">
        <v>90.22</v>
      </c>
      <c r="N81" s="78">
        <f>233565.72/1000</f>
        <v>233.56572</v>
      </c>
      <c r="O81" s="78">
        <f>228.02</f>
        <v>228.02</v>
      </c>
      <c r="P81" s="78">
        <f>308989.72/1000</f>
        <v>308.98971999999998</v>
      </c>
      <c r="Q81" s="78"/>
      <c r="R81" s="78">
        <f>147684.72/1000</f>
        <v>147.68472</v>
      </c>
      <c r="S81" s="78"/>
      <c r="T81" s="78">
        <f>480250.72/1000</f>
        <v>480.25071999999994</v>
      </c>
      <c r="U81" s="78"/>
      <c r="V81" s="78">
        <f>190577.72/1000</f>
        <v>190.57772</v>
      </c>
      <c r="W81" s="78"/>
      <c r="X81" s="78">
        <f>234168.72/1000</f>
        <v>234.16872000000001</v>
      </c>
      <c r="Y81" s="78"/>
      <c r="Z81" s="78">
        <f>251245.72/1000</f>
        <v>251.24572000000001</v>
      </c>
      <c r="AA81" s="78"/>
      <c r="AB81" s="78">
        <f>139539.72/1000</f>
        <v>139.53971999999999</v>
      </c>
      <c r="AC81" s="78"/>
      <c r="AD81" s="78">
        <f>281468.18/1000</f>
        <v>281.46818000000002</v>
      </c>
      <c r="AE81" s="78"/>
      <c r="AF81" s="209"/>
      <c r="AG81" s="129"/>
      <c r="AH81" s="36"/>
    </row>
    <row r="82" spans="1:34" s="61" customFormat="1" ht="126" customHeight="1" x14ac:dyDescent="0.25">
      <c r="A82" s="133" t="s">
        <v>136</v>
      </c>
      <c r="B82" s="70">
        <v>0</v>
      </c>
      <c r="C82" s="71">
        <v>0</v>
      </c>
      <c r="D82" s="134"/>
      <c r="E82" s="134">
        <v>0</v>
      </c>
      <c r="F82" s="135">
        <v>0</v>
      </c>
      <c r="G82" s="135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134">
        <v>0</v>
      </c>
      <c r="S82" s="134">
        <v>0</v>
      </c>
      <c r="T82" s="134">
        <v>0</v>
      </c>
      <c r="U82" s="134">
        <v>0</v>
      </c>
      <c r="V82" s="134">
        <v>0</v>
      </c>
      <c r="W82" s="134">
        <v>0</v>
      </c>
      <c r="X82" s="134">
        <v>0</v>
      </c>
      <c r="Y82" s="134">
        <v>0</v>
      </c>
      <c r="Z82" s="134">
        <v>0</v>
      </c>
      <c r="AA82" s="134">
        <v>0</v>
      </c>
      <c r="AB82" s="134">
        <v>0</v>
      </c>
      <c r="AC82" s="134">
        <v>0</v>
      </c>
      <c r="AD82" s="134">
        <v>0</v>
      </c>
      <c r="AE82" s="136"/>
      <c r="AF82" s="63"/>
      <c r="AH82" s="62"/>
    </row>
    <row r="83" spans="1:34" s="61" customFormat="1" x14ac:dyDescent="0.25">
      <c r="A83" s="72" t="s">
        <v>25</v>
      </c>
      <c r="B83" s="73">
        <f>B84</f>
        <v>0</v>
      </c>
      <c r="C83" s="73">
        <f t="shared" ref="C83:E83" si="55">C84</f>
        <v>0</v>
      </c>
      <c r="D83" s="73">
        <f t="shared" si="55"/>
        <v>0</v>
      </c>
      <c r="E83" s="73">
        <f t="shared" si="55"/>
        <v>0</v>
      </c>
      <c r="F83" s="74">
        <v>0</v>
      </c>
      <c r="G83" s="74">
        <v>0</v>
      </c>
      <c r="H83" s="73">
        <f>H84</f>
        <v>0</v>
      </c>
      <c r="I83" s="73">
        <f t="shared" ref="I83:AD83" si="56">I84</f>
        <v>0</v>
      </c>
      <c r="J83" s="73">
        <f t="shared" si="56"/>
        <v>0</v>
      </c>
      <c r="K83" s="73">
        <f t="shared" si="56"/>
        <v>0</v>
      </c>
      <c r="L83" s="73">
        <f t="shared" si="56"/>
        <v>0</v>
      </c>
      <c r="M83" s="73">
        <f t="shared" si="56"/>
        <v>0</v>
      </c>
      <c r="N83" s="73">
        <f>N84</f>
        <v>0</v>
      </c>
      <c r="O83" s="73">
        <f t="shared" si="56"/>
        <v>0</v>
      </c>
      <c r="P83" s="73">
        <f t="shared" si="56"/>
        <v>0</v>
      </c>
      <c r="Q83" s="73">
        <f t="shared" si="56"/>
        <v>0</v>
      </c>
      <c r="R83" s="73">
        <f t="shared" si="56"/>
        <v>0</v>
      </c>
      <c r="S83" s="73">
        <f t="shared" si="56"/>
        <v>0</v>
      </c>
      <c r="T83" s="73">
        <f t="shared" si="56"/>
        <v>0</v>
      </c>
      <c r="U83" s="73">
        <f t="shared" si="56"/>
        <v>0</v>
      </c>
      <c r="V83" s="73">
        <f t="shared" si="56"/>
        <v>0</v>
      </c>
      <c r="W83" s="73">
        <f t="shared" si="56"/>
        <v>0</v>
      </c>
      <c r="X83" s="73">
        <f t="shared" si="56"/>
        <v>0</v>
      </c>
      <c r="Y83" s="73">
        <f t="shared" si="56"/>
        <v>0</v>
      </c>
      <c r="Z83" s="73">
        <f t="shared" si="56"/>
        <v>0</v>
      </c>
      <c r="AA83" s="73">
        <f t="shared" si="56"/>
        <v>0</v>
      </c>
      <c r="AB83" s="73">
        <f t="shared" si="56"/>
        <v>0</v>
      </c>
      <c r="AC83" s="73">
        <f t="shared" si="56"/>
        <v>0</v>
      </c>
      <c r="AD83" s="73">
        <f t="shared" si="56"/>
        <v>0</v>
      </c>
      <c r="AE83" s="94">
        <f t="shared" ref="AE83" si="57">AE84</f>
        <v>0</v>
      </c>
      <c r="AF83" s="42"/>
      <c r="AH83" s="62"/>
    </row>
    <row r="84" spans="1:34" s="61" customFormat="1" ht="18.75" customHeight="1" x14ac:dyDescent="0.25">
      <c r="A84" s="80" t="s">
        <v>105</v>
      </c>
      <c r="B84" s="81">
        <f>H84+J84+L84+N84+P84+R84+T84+V84+X84+Z84+AB84+AD84</f>
        <v>0</v>
      </c>
      <c r="C84" s="82">
        <f>H84+J84+L84+N84+P84+R84+T84+V84</f>
        <v>0</v>
      </c>
      <c r="D84" s="82"/>
      <c r="E84" s="82">
        <f>I84+K84+M84+O84+Q84+S84+U84+W84+Y84+AA84+AC84+AE84</f>
        <v>0</v>
      </c>
      <c r="F84" s="83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/>
      <c r="AH84" s="62"/>
    </row>
    <row r="85" spans="1:34" s="35" customFormat="1" ht="90.75" customHeight="1" x14ac:dyDescent="0.25">
      <c r="A85" s="137" t="s">
        <v>137</v>
      </c>
      <c r="B85" s="147"/>
      <c r="C85" s="144"/>
      <c r="D85" s="144"/>
      <c r="E85" s="144"/>
      <c r="F85" s="145"/>
      <c r="G85" s="145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6"/>
      <c r="AF85" s="132" t="s">
        <v>143</v>
      </c>
      <c r="AH85" s="36"/>
    </row>
    <row r="86" spans="1:34" s="35" customFormat="1" x14ac:dyDescent="0.25">
      <c r="A86" s="72" t="s">
        <v>25</v>
      </c>
      <c r="B86" s="73">
        <f>B87</f>
        <v>0</v>
      </c>
      <c r="C86" s="73">
        <f>C87</f>
        <v>0</v>
      </c>
      <c r="D86" s="73">
        <f>D87</f>
        <v>0</v>
      </c>
      <c r="E86" s="73">
        <f>E87</f>
        <v>0</v>
      </c>
      <c r="F86" s="74">
        <f t="shared" ref="F86:AE86" si="58">F87</f>
        <v>0</v>
      </c>
      <c r="G86" s="74">
        <v>0</v>
      </c>
      <c r="H86" s="73">
        <f t="shared" si="58"/>
        <v>0</v>
      </c>
      <c r="I86" s="73">
        <f t="shared" si="58"/>
        <v>0</v>
      </c>
      <c r="J86" s="73">
        <f t="shared" si="58"/>
        <v>0</v>
      </c>
      <c r="K86" s="73">
        <f t="shared" si="58"/>
        <v>0</v>
      </c>
      <c r="L86" s="73">
        <f t="shared" si="58"/>
        <v>0</v>
      </c>
      <c r="M86" s="73">
        <f t="shared" si="58"/>
        <v>0</v>
      </c>
      <c r="N86" s="73">
        <f t="shared" si="58"/>
        <v>0</v>
      </c>
      <c r="O86" s="73">
        <f t="shared" si="58"/>
        <v>0</v>
      </c>
      <c r="P86" s="73">
        <f t="shared" si="58"/>
        <v>0</v>
      </c>
      <c r="Q86" s="73">
        <f t="shared" si="58"/>
        <v>0</v>
      </c>
      <c r="R86" s="73">
        <f t="shared" si="58"/>
        <v>0</v>
      </c>
      <c r="S86" s="73">
        <f t="shared" si="58"/>
        <v>0</v>
      </c>
      <c r="T86" s="73">
        <f t="shared" si="58"/>
        <v>0</v>
      </c>
      <c r="U86" s="73">
        <f t="shared" si="58"/>
        <v>0</v>
      </c>
      <c r="V86" s="73">
        <f t="shared" si="58"/>
        <v>0</v>
      </c>
      <c r="W86" s="73">
        <f t="shared" si="58"/>
        <v>0</v>
      </c>
      <c r="X86" s="73">
        <f t="shared" si="58"/>
        <v>0</v>
      </c>
      <c r="Y86" s="73">
        <f t="shared" si="58"/>
        <v>0</v>
      </c>
      <c r="Z86" s="73">
        <f t="shared" si="58"/>
        <v>0</v>
      </c>
      <c r="AA86" s="73">
        <f t="shared" si="58"/>
        <v>0</v>
      </c>
      <c r="AB86" s="73">
        <f t="shared" si="58"/>
        <v>0</v>
      </c>
      <c r="AC86" s="73">
        <f t="shared" si="58"/>
        <v>0</v>
      </c>
      <c r="AD86" s="73">
        <f t="shared" si="58"/>
        <v>0</v>
      </c>
      <c r="AE86" s="94">
        <f t="shared" si="58"/>
        <v>0</v>
      </c>
      <c r="AF86" s="42"/>
      <c r="AH86" s="36"/>
    </row>
    <row r="87" spans="1:34" s="35" customFormat="1" ht="27.75" customHeight="1" x14ac:dyDescent="0.25">
      <c r="A87" s="80" t="s">
        <v>105</v>
      </c>
      <c r="B87" s="81">
        <f>H87+J87+L87+N87+P87+R87+T87+V87+X87+Z87+AB87+AD87</f>
        <v>0</v>
      </c>
      <c r="C87" s="82">
        <f>H87+J87+L87+N87+P87+R87+T87+V87+X87</f>
        <v>0</v>
      </c>
      <c r="D87" s="82"/>
      <c r="E87" s="82">
        <f>I87+K87+M87+O87+Q87+S87+U87+W87+Y87+AA87+AC87+AE87</f>
        <v>0</v>
      </c>
      <c r="F87" s="83">
        <v>0</v>
      </c>
      <c r="G87" s="83">
        <v>0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H87" s="36"/>
    </row>
    <row r="88" spans="1:34" s="35" customFormat="1" ht="291" customHeight="1" x14ac:dyDescent="0.25">
      <c r="A88" s="137" t="s">
        <v>138</v>
      </c>
      <c r="B88" s="147"/>
      <c r="C88" s="144"/>
      <c r="D88" s="144"/>
      <c r="E88" s="144"/>
      <c r="F88" s="145"/>
      <c r="G88" s="145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6"/>
      <c r="AF88" s="130" t="s">
        <v>144</v>
      </c>
      <c r="AH88" s="36"/>
    </row>
    <row r="89" spans="1:34" s="35" customFormat="1" x14ac:dyDescent="0.25">
      <c r="A89" s="72" t="s">
        <v>25</v>
      </c>
      <c r="B89" s="73">
        <f>B90</f>
        <v>0</v>
      </c>
      <c r="C89" s="73">
        <f>C90</f>
        <v>0</v>
      </c>
      <c r="D89" s="73">
        <f>D90</f>
        <v>0</v>
      </c>
      <c r="E89" s="73">
        <f>E90</f>
        <v>0</v>
      </c>
      <c r="F89" s="74">
        <f t="shared" ref="F89:AE89" si="59">F90</f>
        <v>0</v>
      </c>
      <c r="G89" s="74">
        <v>0</v>
      </c>
      <c r="H89" s="73">
        <f t="shared" si="59"/>
        <v>0</v>
      </c>
      <c r="I89" s="73">
        <f t="shared" si="59"/>
        <v>0</v>
      </c>
      <c r="J89" s="73">
        <f t="shared" si="59"/>
        <v>0</v>
      </c>
      <c r="K89" s="73">
        <f t="shared" si="59"/>
        <v>0</v>
      </c>
      <c r="L89" s="73">
        <f t="shared" si="59"/>
        <v>0</v>
      </c>
      <c r="M89" s="73">
        <f t="shared" si="59"/>
        <v>0</v>
      </c>
      <c r="N89" s="73">
        <f t="shared" si="59"/>
        <v>0</v>
      </c>
      <c r="O89" s="73">
        <f t="shared" si="59"/>
        <v>0</v>
      </c>
      <c r="P89" s="73">
        <f t="shared" si="59"/>
        <v>0</v>
      </c>
      <c r="Q89" s="73">
        <f t="shared" si="59"/>
        <v>0</v>
      </c>
      <c r="R89" s="73">
        <f t="shared" si="59"/>
        <v>0</v>
      </c>
      <c r="S89" s="73">
        <f t="shared" si="59"/>
        <v>0</v>
      </c>
      <c r="T89" s="73">
        <f t="shared" si="59"/>
        <v>0</v>
      </c>
      <c r="U89" s="73">
        <f t="shared" si="59"/>
        <v>0</v>
      </c>
      <c r="V89" s="73">
        <f t="shared" si="59"/>
        <v>0</v>
      </c>
      <c r="W89" s="73">
        <f t="shared" si="59"/>
        <v>0</v>
      </c>
      <c r="X89" s="73">
        <f t="shared" si="59"/>
        <v>0</v>
      </c>
      <c r="Y89" s="73">
        <f t="shared" si="59"/>
        <v>0</v>
      </c>
      <c r="Z89" s="73">
        <f t="shared" si="59"/>
        <v>0</v>
      </c>
      <c r="AA89" s="73">
        <f t="shared" si="59"/>
        <v>0</v>
      </c>
      <c r="AB89" s="73">
        <f t="shared" si="59"/>
        <v>0</v>
      </c>
      <c r="AC89" s="73">
        <f t="shared" si="59"/>
        <v>0</v>
      </c>
      <c r="AD89" s="73">
        <f t="shared" si="59"/>
        <v>0</v>
      </c>
      <c r="AE89" s="73">
        <f t="shared" si="59"/>
        <v>0</v>
      </c>
      <c r="AF89" s="42"/>
      <c r="AH89" s="36"/>
    </row>
    <row r="90" spans="1:34" s="35" customFormat="1" ht="22.5" customHeight="1" x14ac:dyDescent="0.25">
      <c r="A90" s="80" t="s">
        <v>105</v>
      </c>
      <c r="B90" s="81">
        <f>H90+J90+L90+N90+P90+R90+T90+V90+X90+Z90+AB90+AD90</f>
        <v>0</v>
      </c>
      <c r="C90" s="82">
        <f>H90+J90+L90+N90+P90+R90+T90+V90+X90</f>
        <v>0</v>
      </c>
      <c r="D90" s="82"/>
      <c r="E90" s="82">
        <f>I90+K90+M90+O90+Q90+S90+U90+W90+Y90+AA90+AC90+AE90</f>
        <v>0</v>
      </c>
      <c r="F90" s="83">
        <v>0</v>
      </c>
      <c r="G90" s="83"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H90" s="36"/>
    </row>
    <row r="91" spans="1:34" s="35" customFormat="1" ht="75.75" customHeight="1" x14ac:dyDescent="0.25">
      <c r="A91" s="95" t="s">
        <v>139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H91" s="36"/>
    </row>
    <row r="92" spans="1:34" s="35" customFormat="1" ht="111" customHeight="1" x14ac:dyDescent="0.25">
      <c r="A92" s="137" t="s">
        <v>140</v>
      </c>
      <c r="B92" s="147"/>
      <c r="C92" s="144"/>
      <c r="D92" s="144"/>
      <c r="E92" s="144"/>
      <c r="F92" s="145"/>
      <c r="G92" s="145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6"/>
      <c r="AF92" s="148" t="s">
        <v>142</v>
      </c>
      <c r="AH92" s="36"/>
    </row>
    <row r="93" spans="1:34" s="35" customFormat="1" x14ac:dyDescent="0.25">
      <c r="A93" s="72" t="s">
        <v>25</v>
      </c>
      <c r="B93" s="73">
        <f>B94</f>
        <v>0</v>
      </c>
      <c r="C93" s="73">
        <f>C94</f>
        <v>0</v>
      </c>
      <c r="D93" s="73">
        <f>D94</f>
        <v>0</v>
      </c>
      <c r="E93" s="73">
        <f>E94</f>
        <v>0</v>
      </c>
      <c r="F93" s="74">
        <v>0</v>
      </c>
      <c r="G93" s="74">
        <v>0</v>
      </c>
      <c r="H93" s="73">
        <f t="shared" ref="H93:AE93" si="60">H94</f>
        <v>0</v>
      </c>
      <c r="I93" s="73">
        <f t="shared" si="60"/>
        <v>0</v>
      </c>
      <c r="J93" s="73">
        <f t="shared" si="60"/>
        <v>0</v>
      </c>
      <c r="K93" s="73">
        <f t="shared" si="60"/>
        <v>0</v>
      </c>
      <c r="L93" s="73">
        <f t="shared" si="60"/>
        <v>0</v>
      </c>
      <c r="M93" s="73">
        <f t="shared" si="60"/>
        <v>0</v>
      </c>
      <c r="N93" s="73">
        <f t="shared" si="60"/>
        <v>0</v>
      </c>
      <c r="O93" s="73">
        <f t="shared" si="60"/>
        <v>0</v>
      </c>
      <c r="P93" s="73">
        <f t="shared" si="60"/>
        <v>0</v>
      </c>
      <c r="Q93" s="73">
        <f t="shared" si="60"/>
        <v>0</v>
      </c>
      <c r="R93" s="73">
        <f t="shared" si="60"/>
        <v>0</v>
      </c>
      <c r="S93" s="73">
        <f t="shared" si="60"/>
        <v>0</v>
      </c>
      <c r="T93" s="73">
        <f t="shared" si="60"/>
        <v>0</v>
      </c>
      <c r="U93" s="73">
        <f t="shared" si="60"/>
        <v>0</v>
      </c>
      <c r="V93" s="73">
        <f t="shared" si="60"/>
        <v>0</v>
      </c>
      <c r="W93" s="73">
        <f t="shared" si="60"/>
        <v>0</v>
      </c>
      <c r="X93" s="73">
        <f t="shared" si="60"/>
        <v>0</v>
      </c>
      <c r="Y93" s="73">
        <f t="shared" si="60"/>
        <v>0</v>
      </c>
      <c r="Z93" s="73">
        <f t="shared" si="60"/>
        <v>0</v>
      </c>
      <c r="AA93" s="73">
        <f t="shared" si="60"/>
        <v>0</v>
      </c>
      <c r="AB93" s="73">
        <f t="shared" si="60"/>
        <v>0</v>
      </c>
      <c r="AC93" s="73">
        <f t="shared" si="60"/>
        <v>0</v>
      </c>
      <c r="AD93" s="73">
        <f t="shared" si="60"/>
        <v>0</v>
      </c>
      <c r="AE93" s="73">
        <f t="shared" si="60"/>
        <v>0</v>
      </c>
      <c r="AF93" s="73"/>
      <c r="AH93" s="36"/>
    </row>
    <row r="94" spans="1:34" s="35" customFormat="1" ht="20.25" customHeight="1" x14ac:dyDescent="0.25">
      <c r="A94" s="76" t="s">
        <v>104</v>
      </c>
      <c r="B94" s="77">
        <f>H94+J94+L94+N94+P94+R94+T94+V94+X94+Z94+AB94+AD94</f>
        <v>0</v>
      </c>
      <c r="C94" s="78">
        <f>H94+J94+L94+N94+P94+R94+T94+V94+X94+Z94+AB94</f>
        <v>0</v>
      </c>
      <c r="D94" s="78">
        <v>0</v>
      </c>
      <c r="E94" s="78">
        <f>I94+K94+M94+O94+Q94+S94+U94+W94+Y94+AA94+AC94+AE94</f>
        <v>0</v>
      </c>
      <c r="F94" s="79">
        <v>0</v>
      </c>
      <c r="G94" s="79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/>
      <c r="U94" s="78"/>
      <c r="V94" s="78">
        <v>0</v>
      </c>
      <c r="W94" s="78">
        <v>0</v>
      </c>
      <c r="X94" s="78">
        <v>0</v>
      </c>
      <c r="Y94" s="78">
        <v>0</v>
      </c>
      <c r="Z94" s="78"/>
      <c r="AA94" s="78"/>
      <c r="AB94" s="78"/>
      <c r="AC94" s="78">
        <v>0</v>
      </c>
      <c r="AD94" s="78">
        <v>0</v>
      </c>
      <c r="AE94" s="78">
        <v>0</v>
      </c>
      <c r="AF94" s="78"/>
      <c r="AH94" s="36"/>
    </row>
    <row r="95" spans="1:34" s="43" customFormat="1" ht="37.5" customHeight="1" x14ac:dyDescent="0.25">
      <c r="A95" s="72" t="s">
        <v>107</v>
      </c>
      <c r="B95" s="73">
        <f>B96+B97</f>
        <v>25971.900100000003</v>
      </c>
      <c r="C95" s="73">
        <f>C96+C97</f>
        <v>4727.8115400000006</v>
      </c>
      <c r="D95" s="73">
        <f t="shared" ref="D95:AE95" si="61">D96+D97</f>
        <v>4334.5561900000002</v>
      </c>
      <c r="E95" s="73">
        <f t="shared" si="61"/>
        <v>3085.2875100000001</v>
      </c>
      <c r="F95" s="74">
        <f>E95/B95</f>
        <v>0.11879329190858853</v>
      </c>
      <c r="G95" s="74">
        <f>E95/C95</f>
        <v>0.65258259215637004</v>
      </c>
      <c r="H95" s="73">
        <f t="shared" si="61"/>
        <v>524.64462000000003</v>
      </c>
      <c r="I95" s="73">
        <f t="shared" si="61"/>
        <v>484.70751000000001</v>
      </c>
      <c r="J95" s="73">
        <f t="shared" si="61"/>
        <v>1119.9647199999999</v>
      </c>
      <c r="K95" s="73">
        <f t="shared" si="61"/>
        <v>570.56999999999994</v>
      </c>
      <c r="L95" s="73">
        <f t="shared" si="61"/>
        <v>1047.4377199999999</v>
      </c>
      <c r="M95" s="73">
        <f t="shared" si="61"/>
        <v>783.28</v>
      </c>
      <c r="N95" s="73">
        <f t="shared" si="61"/>
        <v>2035.7644799999998</v>
      </c>
      <c r="O95" s="73">
        <f t="shared" si="61"/>
        <v>1246.73</v>
      </c>
      <c r="P95" s="73">
        <f t="shared" si="61"/>
        <v>1537.8943200000001</v>
      </c>
      <c r="Q95" s="73">
        <f t="shared" si="61"/>
        <v>0</v>
      </c>
      <c r="R95" s="73">
        <f t="shared" si="61"/>
        <v>5122.23722</v>
      </c>
      <c r="S95" s="73">
        <f t="shared" si="61"/>
        <v>0</v>
      </c>
      <c r="T95" s="73">
        <f t="shared" si="61"/>
        <v>5423.2072200000002</v>
      </c>
      <c r="U95" s="73">
        <f t="shared" si="61"/>
        <v>0</v>
      </c>
      <c r="V95" s="73">
        <f t="shared" si="61"/>
        <v>4676.9487199999994</v>
      </c>
      <c r="W95" s="73">
        <f t="shared" si="61"/>
        <v>0</v>
      </c>
      <c r="X95" s="73">
        <f t="shared" si="61"/>
        <v>1143.4297200000001</v>
      </c>
      <c r="Y95" s="73">
        <f t="shared" si="61"/>
        <v>0</v>
      </c>
      <c r="Z95" s="73">
        <f t="shared" si="61"/>
        <v>1334.3887200000001</v>
      </c>
      <c r="AA95" s="73">
        <f t="shared" si="61"/>
        <v>0</v>
      </c>
      <c r="AB95" s="73">
        <f t="shared" si="61"/>
        <v>819.0144600000001</v>
      </c>
      <c r="AC95" s="73">
        <f t="shared" si="61"/>
        <v>0</v>
      </c>
      <c r="AD95" s="73">
        <f t="shared" si="61"/>
        <v>1186.9681800000001</v>
      </c>
      <c r="AE95" s="73">
        <f t="shared" si="61"/>
        <v>0</v>
      </c>
      <c r="AF95" s="42"/>
      <c r="AG95" s="66"/>
      <c r="AH95" s="44"/>
    </row>
    <row r="96" spans="1:34" s="35" customFormat="1" ht="24" customHeight="1" x14ac:dyDescent="0.25">
      <c r="A96" s="76" t="s">
        <v>104</v>
      </c>
      <c r="B96" s="77">
        <f>B10+B77+B94</f>
        <v>6518.8</v>
      </c>
      <c r="C96" s="77">
        <f t="shared" ref="C96:AE96" si="62">C10+C77+C94</f>
        <v>1676.8617800000002</v>
      </c>
      <c r="D96" s="77">
        <f t="shared" si="62"/>
        <v>1283.60643</v>
      </c>
      <c r="E96" s="77">
        <f t="shared" si="62"/>
        <v>1204.8075100000001</v>
      </c>
      <c r="F96" s="121">
        <f>E96/B96</f>
        <v>0.18482044394673866</v>
      </c>
      <c r="G96" s="121">
        <f>E96/C96</f>
        <v>0.71848945713343171</v>
      </c>
      <c r="H96" s="77">
        <f t="shared" si="62"/>
        <v>524.64462000000003</v>
      </c>
      <c r="I96" s="77">
        <f t="shared" si="62"/>
        <v>484.70751000000001</v>
      </c>
      <c r="J96" s="77">
        <f t="shared" si="62"/>
        <v>326.67171999999999</v>
      </c>
      <c r="K96" s="77">
        <f t="shared" si="62"/>
        <v>285.25</v>
      </c>
      <c r="L96" s="77">
        <f t="shared" si="62"/>
        <v>245.60072</v>
      </c>
      <c r="M96" s="77">
        <f t="shared" si="62"/>
        <v>130.18</v>
      </c>
      <c r="N96" s="77">
        <f t="shared" si="62"/>
        <v>579.94471999999996</v>
      </c>
      <c r="O96" s="77">
        <f t="shared" si="62"/>
        <v>304.67</v>
      </c>
      <c r="P96" s="77">
        <f t="shared" si="62"/>
        <v>528.09472000000005</v>
      </c>
      <c r="Q96" s="77">
        <f t="shared" si="62"/>
        <v>0</v>
      </c>
      <c r="R96" s="77">
        <f t="shared" si="62"/>
        <v>832.29671999999994</v>
      </c>
      <c r="S96" s="77">
        <f t="shared" si="62"/>
        <v>0</v>
      </c>
      <c r="T96" s="77">
        <f t="shared" si="62"/>
        <v>1431.88372</v>
      </c>
      <c r="U96" s="77">
        <f t="shared" si="62"/>
        <v>0</v>
      </c>
      <c r="V96" s="77">
        <f t="shared" si="62"/>
        <v>933.78971999999999</v>
      </c>
      <c r="W96" s="77">
        <f t="shared" si="62"/>
        <v>0</v>
      </c>
      <c r="X96" s="77">
        <f t="shared" si="62"/>
        <v>314.60172</v>
      </c>
      <c r="Y96" s="77">
        <f t="shared" si="62"/>
        <v>0</v>
      </c>
      <c r="Z96" s="77">
        <f t="shared" si="62"/>
        <v>363.46372000000002</v>
      </c>
      <c r="AA96" s="77">
        <f t="shared" si="62"/>
        <v>0</v>
      </c>
      <c r="AB96" s="77">
        <f t="shared" si="62"/>
        <v>156.33972</v>
      </c>
      <c r="AC96" s="77">
        <f t="shared" si="62"/>
        <v>0</v>
      </c>
      <c r="AD96" s="77">
        <f t="shared" si="62"/>
        <v>281.46818000000002</v>
      </c>
      <c r="AE96" s="77">
        <f t="shared" si="62"/>
        <v>0</v>
      </c>
      <c r="AF96" s="77"/>
      <c r="AG96" s="66"/>
      <c r="AH96" s="36"/>
    </row>
    <row r="97" spans="1:43" s="35" customFormat="1" ht="24" customHeight="1" x14ac:dyDescent="0.25">
      <c r="A97" s="80" t="s">
        <v>105</v>
      </c>
      <c r="B97" s="81">
        <f>B11+B78</f>
        <v>19453.100100000003</v>
      </c>
      <c r="C97" s="81">
        <f t="shared" ref="C97:AE97" si="63">C11+C78</f>
        <v>3050.94976</v>
      </c>
      <c r="D97" s="81">
        <f t="shared" si="63"/>
        <v>3050.94976</v>
      </c>
      <c r="E97" s="81">
        <f t="shared" si="63"/>
        <v>1880.4799999999998</v>
      </c>
      <c r="F97" s="122">
        <f>E97/B97</f>
        <v>9.6667368714151602E-2</v>
      </c>
      <c r="G97" s="122">
        <f>E97/C97</f>
        <v>0.61635888753540136</v>
      </c>
      <c r="H97" s="81">
        <f t="shared" si="63"/>
        <v>0</v>
      </c>
      <c r="I97" s="81">
        <f t="shared" si="63"/>
        <v>0</v>
      </c>
      <c r="J97" s="81">
        <f t="shared" si="63"/>
        <v>793.29300000000001</v>
      </c>
      <c r="K97" s="81">
        <f t="shared" si="63"/>
        <v>285.32</v>
      </c>
      <c r="L97" s="81">
        <f t="shared" si="63"/>
        <v>801.83699999999999</v>
      </c>
      <c r="M97" s="81">
        <f t="shared" si="63"/>
        <v>653.1</v>
      </c>
      <c r="N97" s="81">
        <f t="shared" si="63"/>
        <v>1455.8197599999999</v>
      </c>
      <c r="O97" s="81">
        <f t="shared" si="63"/>
        <v>942.06</v>
      </c>
      <c r="P97" s="81">
        <f t="shared" si="63"/>
        <v>1009.7996000000001</v>
      </c>
      <c r="Q97" s="81">
        <f t="shared" si="63"/>
        <v>0</v>
      </c>
      <c r="R97" s="81">
        <f t="shared" si="63"/>
        <v>4289.9404999999997</v>
      </c>
      <c r="S97" s="81">
        <f t="shared" si="63"/>
        <v>0</v>
      </c>
      <c r="T97" s="81">
        <f t="shared" si="63"/>
        <v>3991.3235000000004</v>
      </c>
      <c r="U97" s="81">
        <f t="shared" si="63"/>
        <v>0</v>
      </c>
      <c r="V97" s="81">
        <f t="shared" si="63"/>
        <v>3743.1589999999997</v>
      </c>
      <c r="W97" s="81">
        <f t="shared" si="63"/>
        <v>0</v>
      </c>
      <c r="X97" s="81">
        <f t="shared" si="63"/>
        <v>828.82799999999997</v>
      </c>
      <c r="Y97" s="81">
        <f t="shared" si="63"/>
        <v>0</v>
      </c>
      <c r="Z97" s="81">
        <f t="shared" si="63"/>
        <v>970.92500000000007</v>
      </c>
      <c r="AA97" s="81">
        <f t="shared" si="63"/>
        <v>0</v>
      </c>
      <c r="AB97" s="81">
        <f t="shared" si="63"/>
        <v>662.67474000000004</v>
      </c>
      <c r="AC97" s="81">
        <f t="shared" si="63"/>
        <v>0</v>
      </c>
      <c r="AD97" s="81">
        <f t="shared" si="63"/>
        <v>905.5</v>
      </c>
      <c r="AE97" s="81">
        <f t="shared" si="63"/>
        <v>0</v>
      </c>
      <c r="AF97" s="81"/>
      <c r="AG97" s="66"/>
      <c r="AH97" s="36"/>
    </row>
    <row r="98" spans="1:43" s="35" customFormat="1" x14ac:dyDescent="0.3">
      <c r="A98" s="45"/>
      <c r="B98" s="45"/>
      <c r="C98" s="46"/>
      <c r="D98" s="46"/>
      <c r="E98" s="47"/>
      <c r="F98" s="47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9"/>
      <c r="AH98" s="36"/>
    </row>
    <row r="99" spans="1:43" s="35" customFormat="1" ht="42" customHeight="1" x14ac:dyDescent="0.3">
      <c r="A99" s="127" t="s">
        <v>131</v>
      </c>
      <c r="B99" s="200"/>
      <c r="C99" s="200"/>
      <c r="D99" s="201" t="s">
        <v>132</v>
      </c>
      <c r="E99" s="202"/>
      <c r="F99" s="202"/>
      <c r="G99" s="202"/>
      <c r="H99" s="203"/>
      <c r="I99" s="203"/>
      <c r="J99" s="203"/>
      <c r="K99" s="48"/>
      <c r="L99" s="48"/>
      <c r="M99" s="48"/>
      <c r="N99" s="48"/>
      <c r="O99" s="48"/>
      <c r="P99" s="48"/>
      <c r="Q99" s="48"/>
      <c r="R99" s="48"/>
      <c r="S99" s="48"/>
      <c r="T99" s="46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9"/>
      <c r="AH99" s="36"/>
    </row>
    <row r="100" spans="1:43" ht="15.75" customHeight="1" x14ac:dyDescent="0.3">
      <c r="B100" s="58" t="s">
        <v>108</v>
      </c>
      <c r="D100" s="204" t="s">
        <v>109</v>
      </c>
      <c r="E100" s="204"/>
      <c r="F100" s="204"/>
      <c r="G100" s="60"/>
      <c r="H100" s="205"/>
      <c r="I100" s="205"/>
      <c r="J100" s="205"/>
      <c r="M100" s="33"/>
      <c r="N100" s="33"/>
      <c r="U100" s="51"/>
      <c r="AA100" s="59"/>
      <c r="AB100" s="59"/>
      <c r="AC100" s="59"/>
      <c r="AD100" s="52"/>
    </row>
    <row r="101" spans="1:43" ht="15.75" customHeight="1" x14ac:dyDescent="0.3">
      <c r="A101" s="51"/>
      <c r="B101" s="50"/>
      <c r="E101" s="51"/>
      <c r="F101" s="52"/>
      <c r="G101" s="52"/>
      <c r="H101" s="53"/>
      <c r="I101" s="54"/>
      <c r="M101" s="33"/>
      <c r="N101" s="33"/>
      <c r="R101" s="55"/>
      <c r="S101" s="19"/>
      <c r="U101" s="51"/>
      <c r="V101" s="20"/>
      <c r="W101" s="20"/>
      <c r="X101" s="20"/>
      <c r="Y101" s="20"/>
      <c r="AA101" s="20"/>
      <c r="AB101" s="33"/>
      <c r="AC101" s="59"/>
      <c r="AD101" s="52"/>
      <c r="AE101" s="20"/>
      <c r="AF101" s="19"/>
      <c r="AG101" s="19"/>
      <c r="AH101" s="56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 x14ac:dyDescent="0.25">
      <c r="A102" s="199" t="s">
        <v>110</v>
      </c>
      <c r="B102" s="199"/>
      <c r="C102" s="199"/>
      <c r="D102" s="199"/>
      <c r="E102" s="199"/>
      <c r="F102" s="199"/>
      <c r="G102" s="199"/>
      <c r="H102" s="199"/>
      <c r="U102" s="57"/>
      <c r="Y102" s="57"/>
    </row>
    <row r="103" spans="1:43" ht="15.75" customHeight="1" x14ac:dyDescent="0.25">
      <c r="A103" s="18" t="s">
        <v>128</v>
      </c>
    </row>
    <row r="104" spans="1:43" ht="15.75" customHeight="1" x14ac:dyDescent="0.25">
      <c r="A104" s="64"/>
    </row>
    <row r="105" spans="1:43" ht="15.75" customHeight="1" x14ac:dyDescent="0.25"/>
    <row r="106" spans="1:43" ht="15.75" customHeight="1" x14ac:dyDescent="0.25"/>
    <row r="107" spans="1:43" ht="15.75" customHeight="1" x14ac:dyDescent="0.25">
      <c r="F107" s="20"/>
      <c r="G107" s="20"/>
    </row>
    <row r="108" spans="1:43" ht="15.75" customHeight="1" x14ac:dyDescent="0.25"/>
  </sheetData>
  <mergeCells count="32">
    <mergeCell ref="Z4:AA4"/>
    <mergeCell ref="AB4:AC4"/>
    <mergeCell ref="AD4:AE4"/>
    <mergeCell ref="AF4:AF5"/>
    <mergeCell ref="A102:H102"/>
    <mergeCell ref="AF79:AF81"/>
    <mergeCell ref="B99:C99"/>
    <mergeCell ref="D99:G99"/>
    <mergeCell ref="H99:J99"/>
    <mergeCell ref="D100:F100"/>
    <mergeCell ref="H100:J100"/>
    <mergeCell ref="AF38:AF46"/>
    <mergeCell ref="AF56:AF65"/>
    <mergeCell ref="AF66:AF68"/>
    <mergeCell ref="AF12:AF20"/>
    <mergeCell ref="AF28:AF34"/>
    <mergeCell ref="V4:W4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X4:Y4"/>
  </mergeCells>
  <printOptions horizontalCentered="1"/>
  <pageMargins left="0" right="0" top="0.19685039370078741" bottom="0.19685039370078741" header="0" footer="0"/>
  <pageSetup paperSize="9" scale="50" fitToHeight="0" orientation="landscape" r:id="rId1"/>
  <rowBreaks count="1" manualBreakCount="1">
    <brk id="7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2018 </vt:lpstr>
      <vt:lpstr>'сетевой 2018 '!Заголовки_для_печати</vt:lpstr>
      <vt:lpstr>'сетевой 2018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2018-05-07T09:28:49Z</dcterms:modified>
</cp:coreProperties>
</file>